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 tabRatio="500" activeTab="2"/>
  </bookViews>
  <sheets>
    <sheet name="MC" sheetId="1" r:id="rId1"/>
    <sheet name="Insumos" sheetId="2" r:id="rId2"/>
    <sheet name="Resumo Proposta" sheetId="3" r:id="rId3"/>
    <sheet name="Prod. GEXPEL" sheetId="4" r:id="rId4"/>
    <sheet name="GEXPEL Limp.Ord." sheetId="5" r:id="rId5"/>
    <sheet name="GEXPEL Covid" sheetId="6" r:id="rId6"/>
    <sheet name="Prod. GEXSTM" sheetId="7" r:id="rId7"/>
    <sheet name="GEXSTM Limp.Ord. " sheetId="8" r:id="rId8"/>
    <sheet name="GEXSTM Covid " sheetId="9" r:id="rId9"/>
    <sheet name="Prod. GEXURG" sheetId="10" r:id="rId10"/>
    <sheet name="GEXURG Limp. Ord." sheetId="11" r:id="rId11"/>
    <sheet name="GEXURG Covid" sheetId="12" r:id="rId12"/>
  </sheets>
  <definedNames>
    <definedName name="_xlnm._FilterDatabase" localSheetId="6">'Prod. GEXURG'!$A$2:$Y$2</definedName>
    <definedName name="Print_Area" localSheetId="5">MC!$A$1:$D$141</definedName>
    <definedName name="Print_Area" localSheetId="4">'GEXPEL Limp.Ord.'!$A$1:$E$205</definedName>
    <definedName name="Print_Area" localSheetId="8">'GEXURG Covid'!$A$1:$D$139</definedName>
    <definedName name="Print_Area" localSheetId="7">'GEXURG Limp. Ord.'!$A$1:$D$198</definedName>
    <definedName name="Print_Area" localSheetId="0">MC!$A$3:$W$22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47" i="3" l="1"/>
  <c r="AD47" i="3"/>
  <c r="AC47" i="3"/>
  <c r="AB47" i="3"/>
  <c r="AA47" i="3"/>
  <c r="P36" i="3" l="1"/>
  <c r="J36" i="3"/>
  <c r="F36" i="3"/>
  <c r="D5" i="10"/>
  <c r="E7" i="12" l="1"/>
  <c r="C7" i="12"/>
  <c r="D7" i="12" s="1"/>
  <c r="C7" i="11"/>
  <c r="I13" i="11"/>
  <c r="H13" i="11"/>
  <c r="G13" i="11"/>
  <c r="F13" i="11"/>
  <c r="E13" i="11"/>
  <c r="E5" i="11"/>
  <c r="D13" i="11"/>
  <c r="C13" i="11"/>
  <c r="I5" i="11"/>
  <c r="H5" i="11"/>
  <c r="G5" i="11"/>
  <c r="C5" i="11"/>
  <c r="E13" i="6"/>
  <c r="D13" i="6"/>
  <c r="C13" i="6"/>
  <c r="E5" i="6"/>
  <c r="D5" i="6"/>
  <c r="C5" i="6"/>
  <c r="I6" i="5"/>
  <c r="H6" i="5"/>
  <c r="G6" i="5"/>
  <c r="E6" i="5"/>
  <c r="C6" i="5"/>
  <c r="I13" i="5"/>
  <c r="H13" i="5"/>
  <c r="G13" i="5"/>
  <c r="F13" i="5"/>
  <c r="E13" i="5"/>
  <c r="D13" i="5"/>
  <c r="C13" i="5"/>
  <c r="I5" i="5"/>
  <c r="H5" i="5"/>
  <c r="G5" i="5"/>
  <c r="E5" i="5"/>
  <c r="C5" i="5"/>
  <c r="D8" i="9"/>
  <c r="E6" i="9"/>
  <c r="D6" i="9"/>
  <c r="C7" i="9"/>
  <c r="D7" i="9" s="1"/>
  <c r="C6" i="9"/>
  <c r="C8" i="9"/>
  <c r="E8" i="9" s="1"/>
  <c r="E5" i="9"/>
  <c r="E13" i="9" s="1"/>
  <c r="D5" i="9"/>
  <c r="D13" i="9" s="1"/>
  <c r="C5" i="9"/>
  <c r="C13" i="9" s="1"/>
  <c r="I6" i="8"/>
  <c r="H6" i="8"/>
  <c r="G6" i="8"/>
  <c r="E6" i="8"/>
  <c r="C6" i="8"/>
  <c r="I7" i="8"/>
  <c r="H7" i="8"/>
  <c r="G7" i="8"/>
  <c r="E7" i="8"/>
  <c r="C7" i="8"/>
  <c r="I13" i="8"/>
  <c r="H13" i="8"/>
  <c r="G13" i="8"/>
  <c r="F13" i="8"/>
  <c r="E13" i="8"/>
  <c r="D13" i="8"/>
  <c r="C13" i="8"/>
  <c r="I5" i="8"/>
  <c r="H5" i="8"/>
  <c r="G5" i="8"/>
  <c r="E5" i="8"/>
  <c r="C5" i="8"/>
  <c r="E5" i="12"/>
  <c r="E13" i="12" s="1"/>
  <c r="D5" i="12"/>
  <c r="D13" i="12" s="1"/>
  <c r="C5" i="12"/>
  <c r="C13" i="12" s="1"/>
  <c r="E10" i="10"/>
  <c r="E13" i="10"/>
  <c r="E11" i="10"/>
  <c r="Q20" i="7"/>
  <c r="I19" i="4"/>
  <c r="E17" i="7"/>
  <c r="E16" i="7"/>
  <c r="E15" i="7"/>
  <c r="E13" i="7"/>
  <c r="E7" i="7"/>
  <c r="E5" i="7"/>
  <c r="G14" i="11"/>
  <c r="F14" i="11"/>
  <c r="E14" i="11"/>
  <c r="D14" i="11"/>
  <c r="C14" i="11"/>
  <c r="B202" i="11"/>
  <c r="B199" i="11"/>
  <c r="B196" i="11"/>
  <c r="B190" i="11"/>
  <c r="B187" i="11"/>
  <c r="B184" i="11"/>
  <c r="B178" i="11"/>
  <c r="B172" i="11"/>
  <c r="B166" i="11"/>
  <c r="B160" i="11"/>
  <c r="B154" i="11"/>
  <c r="F90" i="1"/>
  <c r="F91" i="1"/>
  <c r="F92" i="1"/>
  <c r="F93" i="1"/>
  <c r="F94" i="1"/>
  <c r="F95" i="1"/>
  <c r="F96" i="1"/>
  <c r="F97" i="1"/>
  <c r="F98" i="1"/>
  <c r="E89" i="1"/>
  <c r="H88" i="8"/>
  <c r="G14" i="8"/>
  <c r="F14" i="8"/>
  <c r="E14" i="8"/>
  <c r="D14" i="8"/>
  <c r="C14" i="8"/>
  <c r="AE20" i="3"/>
  <c r="AE34" i="3" s="1"/>
  <c r="I26" i="3"/>
  <c r="B202" i="8"/>
  <c r="B199" i="8"/>
  <c r="B196" i="8"/>
  <c r="B190" i="8"/>
  <c r="B187" i="8"/>
  <c r="B184" i="8"/>
  <c r="B178" i="8"/>
  <c r="B172" i="8"/>
  <c r="B166" i="8"/>
  <c r="B203" i="8"/>
  <c r="B200" i="8"/>
  <c r="B191" i="8"/>
  <c r="B188" i="8"/>
  <c r="B185" i="8"/>
  <c r="B179" i="8"/>
  <c r="B173" i="8"/>
  <c r="B167" i="8"/>
  <c r="B160" i="8"/>
  <c r="B161" i="8" s="1"/>
  <c r="B154" i="8"/>
  <c r="B155" i="8" s="1"/>
  <c r="E84" i="1"/>
  <c r="E73" i="1"/>
  <c r="E74" i="1"/>
  <c r="E75" i="1"/>
  <c r="E76" i="1"/>
  <c r="E77" i="1"/>
  <c r="E78" i="1"/>
  <c r="E79" i="1"/>
  <c r="E80" i="1"/>
  <c r="E81" i="1"/>
  <c r="E82" i="1"/>
  <c r="E83" i="1"/>
  <c r="L85" i="1"/>
  <c r="F72" i="1"/>
  <c r="F73" i="1"/>
  <c r="F74" i="1"/>
  <c r="F75" i="1"/>
  <c r="F76" i="1"/>
  <c r="F77" i="1"/>
  <c r="F78" i="1"/>
  <c r="F79" i="1"/>
  <c r="F80" i="1"/>
  <c r="F81" i="1"/>
  <c r="F82" i="1"/>
  <c r="F83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E71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E120" i="12"/>
  <c r="D120" i="12"/>
  <c r="C120" i="12"/>
  <c r="B110" i="12"/>
  <c r="B109" i="12"/>
  <c r="B107" i="12"/>
  <c r="B106" i="12"/>
  <c r="B104" i="12"/>
  <c r="B103" i="12"/>
  <c r="B101" i="12"/>
  <c r="B100" i="12"/>
  <c r="B98" i="12"/>
  <c r="B97" i="12"/>
  <c r="B95" i="12"/>
  <c r="B94" i="12"/>
  <c r="E87" i="12"/>
  <c r="D87" i="12"/>
  <c r="C87" i="12"/>
  <c r="E85" i="12"/>
  <c r="D85" i="12"/>
  <c r="C85" i="12"/>
  <c r="E84" i="12"/>
  <c r="D84" i="12"/>
  <c r="C84" i="12"/>
  <c r="E78" i="12"/>
  <c r="D78" i="12"/>
  <c r="B78" i="12"/>
  <c r="B74" i="12"/>
  <c r="B79" i="12" s="1"/>
  <c r="C72" i="12"/>
  <c r="C78" i="12" s="1"/>
  <c r="B67" i="12"/>
  <c r="B66" i="12"/>
  <c r="B65" i="12"/>
  <c r="B64" i="12"/>
  <c r="B59" i="12"/>
  <c r="B57" i="12"/>
  <c r="B54" i="12"/>
  <c r="B42" i="12"/>
  <c r="B41" i="12"/>
  <c r="B40" i="12"/>
  <c r="E39" i="12"/>
  <c r="D39" i="12"/>
  <c r="C39" i="12"/>
  <c r="B36" i="12"/>
  <c r="B24" i="12"/>
  <c r="B23" i="12"/>
  <c r="E8" i="12"/>
  <c r="D8" i="12"/>
  <c r="C8" i="12"/>
  <c r="E6" i="12"/>
  <c r="D6" i="12"/>
  <c r="C6" i="12"/>
  <c r="E120" i="9"/>
  <c r="D120" i="9"/>
  <c r="C120" i="9"/>
  <c r="B110" i="9"/>
  <c r="B109" i="9" s="1"/>
  <c r="B107" i="9"/>
  <c r="B106" i="9"/>
  <c r="B104" i="9"/>
  <c r="B103" i="9" s="1"/>
  <c r="B101" i="9"/>
  <c r="B100" i="9"/>
  <c r="B98" i="9"/>
  <c r="B97" i="9" s="1"/>
  <c r="B95" i="9"/>
  <c r="B94" i="9"/>
  <c r="E87" i="9"/>
  <c r="D87" i="9"/>
  <c r="C87" i="9"/>
  <c r="E85" i="9"/>
  <c r="D85" i="9"/>
  <c r="C85" i="9"/>
  <c r="E84" i="9"/>
  <c r="D84" i="9"/>
  <c r="C84" i="9"/>
  <c r="C88" i="9" s="1"/>
  <c r="C126" i="9" s="1"/>
  <c r="E78" i="9"/>
  <c r="D78" i="9"/>
  <c r="B78" i="9"/>
  <c r="B74" i="9"/>
  <c r="B79" i="9" s="1"/>
  <c r="C72" i="9"/>
  <c r="C78" i="9" s="1"/>
  <c r="B67" i="9"/>
  <c r="B66" i="9"/>
  <c r="B65" i="9"/>
  <c r="B64" i="9"/>
  <c r="B59" i="9"/>
  <c r="B57" i="9"/>
  <c r="B54" i="9"/>
  <c r="B42" i="9"/>
  <c r="B41" i="9"/>
  <c r="B40" i="9"/>
  <c r="E39" i="9"/>
  <c r="D39" i="9"/>
  <c r="C39" i="9"/>
  <c r="B36" i="9"/>
  <c r="B24" i="9"/>
  <c r="B23" i="9"/>
  <c r="B104" i="6"/>
  <c r="B103" i="6"/>
  <c r="I131" i="11"/>
  <c r="I125" i="11"/>
  <c r="H125" i="11"/>
  <c r="G125" i="11"/>
  <c r="F125" i="11"/>
  <c r="E125" i="11"/>
  <c r="D125" i="11"/>
  <c r="C125" i="11"/>
  <c r="B113" i="11"/>
  <c r="B112" i="11"/>
  <c r="B110" i="11"/>
  <c r="B109" i="11"/>
  <c r="B107" i="11"/>
  <c r="B106" i="11"/>
  <c r="B104" i="11"/>
  <c r="B103" i="11"/>
  <c r="B101" i="11"/>
  <c r="B100" i="11"/>
  <c r="B98" i="11"/>
  <c r="B97" i="11"/>
  <c r="B96" i="11"/>
  <c r="B95" i="11"/>
  <c r="I131" i="8"/>
  <c r="I125" i="8"/>
  <c r="H125" i="8"/>
  <c r="G125" i="8"/>
  <c r="F125" i="8"/>
  <c r="E125" i="8"/>
  <c r="D125" i="8"/>
  <c r="C125" i="8"/>
  <c r="B113" i="8"/>
  <c r="B112" i="8"/>
  <c r="B110" i="8"/>
  <c r="B109" i="8"/>
  <c r="B107" i="8"/>
  <c r="B106" i="8"/>
  <c r="B104" i="8"/>
  <c r="B103" i="8"/>
  <c r="B101" i="8"/>
  <c r="B100" i="8"/>
  <c r="B98" i="8"/>
  <c r="B97" i="8"/>
  <c r="B96" i="8"/>
  <c r="B95" i="8"/>
  <c r="B107" i="5"/>
  <c r="B106" i="5"/>
  <c r="E10" i="4"/>
  <c r="Y8" i="3"/>
  <c r="Y9" i="3"/>
  <c r="Y10" i="3"/>
  <c r="Y11" i="3"/>
  <c r="Y12" i="3"/>
  <c r="Y13" i="3"/>
  <c r="Y14" i="3"/>
  <c r="Y15" i="3"/>
  <c r="Y16" i="3"/>
  <c r="Y17" i="3"/>
  <c r="Y18" i="3"/>
  <c r="W8" i="3"/>
  <c r="W9" i="3"/>
  <c r="W10" i="3"/>
  <c r="W11" i="3"/>
  <c r="W12" i="3"/>
  <c r="W13" i="3"/>
  <c r="W14" i="3"/>
  <c r="W15" i="3"/>
  <c r="W16" i="3"/>
  <c r="W17" i="3"/>
  <c r="W18" i="3"/>
  <c r="U8" i="3"/>
  <c r="U9" i="3"/>
  <c r="U10" i="3"/>
  <c r="U11" i="3"/>
  <c r="U12" i="3"/>
  <c r="U13" i="3"/>
  <c r="U14" i="3"/>
  <c r="U15" i="3"/>
  <c r="U16" i="3"/>
  <c r="U17" i="3"/>
  <c r="U18" i="3"/>
  <c r="S8" i="3"/>
  <c r="S9" i="3"/>
  <c r="Q8" i="3"/>
  <c r="Q9" i="3"/>
  <c r="Q10" i="3"/>
  <c r="E12" i="3"/>
  <c r="E13" i="3"/>
  <c r="E14" i="3"/>
  <c r="E15" i="3"/>
  <c r="E16" i="3"/>
  <c r="E17" i="3"/>
  <c r="E18" i="3"/>
  <c r="O8" i="3"/>
  <c r="O9" i="3"/>
  <c r="O10" i="3"/>
  <c r="O11" i="3"/>
  <c r="O12" i="3"/>
  <c r="O13" i="3"/>
  <c r="O14" i="3"/>
  <c r="O15" i="3"/>
  <c r="O16" i="3"/>
  <c r="O17" i="3"/>
  <c r="O18" i="3"/>
  <c r="M8" i="3"/>
  <c r="M9" i="3"/>
  <c r="M10" i="3"/>
  <c r="M11" i="3"/>
  <c r="M12" i="3"/>
  <c r="M13" i="3"/>
  <c r="M14" i="3"/>
  <c r="M15" i="3"/>
  <c r="M16" i="3"/>
  <c r="M17" i="3"/>
  <c r="M18" i="3"/>
  <c r="K8" i="3"/>
  <c r="K9" i="3"/>
  <c r="K10" i="3"/>
  <c r="K11" i="3"/>
  <c r="K12" i="3"/>
  <c r="K13" i="3"/>
  <c r="K14" i="3"/>
  <c r="K15" i="3"/>
  <c r="K16" i="3"/>
  <c r="K17" i="3"/>
  <c r="K18" i="3"/>
  <c r="I9" i="3"/>
  <c r="I10" i="3"/>
  <c r="I11" i="3"/>
  <c r="I12" i="3"/>
  <c r="I13" i="3"/>
  <c r="I14" i="3"/>
  <c r="I15" i="3"/>
  <c r="I16" i="3"/>
  <c r="I17" i="3"/>
  <c r="I18" i="3"/>
  <c r="B78" i="11"/>
  <c r="B74" i="11"/>
  <c r="B79" i="11" s="1"/>
  <c r="I72" i="11"/>
  <c r="I78" i="11" s="1"/>
  <c r="H72" i="11"/>
  <c r="H78" i="11" s="1"/>
  <c r="G72" i="11"/>
  <c r="G78" i="11" s="1"/>
  <c r="F72" i="11"/>
  <c r="F78" i="11" s="1"/>
  <c r="E72" i="11"/>
  <c r="E78" i="11" s="1"/>
  <c r="D72" i="11"/>
  <c r="D78" i="11" s="1"/>
  <c r="C72" i="11"/>
  <c r="C78" i="11" s="1"/>
  <c r="B67" i="11"/>
  <c r="B66" i="11"/>
  <c r="B64" i="11"/>
  <c r="B59" i="11"/>
  <c r="B57" i="11"/>
  <c r="B54" i="11"/>
  <c r="B36" i="11"/>
  <c r="B24" i="11"/>
  <c r="B23" i="11"/>
  <c r="I8" i="11"/>
  <c r="H8" i="11"/>
  <c r="G8" i="11"/>
  <c r="E8" i="11"/>
  <c r="C8" i="11"/>
  <c r="I7" i="11"/>
  <c r="H7" i="11"/>
  <c r="G7" i="11"/>
  <c r="E7" i="11"/>
  <c r="I6" i="11"/>
  <c r="H6" i="11"/>
  <c r="G6" i="11"/>
  <c r="E6" i="11"/>
  <c r="C6" i="11"/>
  <c r="H19" i="11"/>
  <c r="H127" i="11" s="1"/>
  <c r="L22" i="10"/>
  <c r="N22" i="10" s="1"/>
  <c r="N23" i="10" s="1"/>
  <c r="N18" i="10"/>
  <c r="M18" i="10"/>
  <c r="L18" i="10"/>
  <c r="K18" i="10"/>
  <c r="J18" i="10"/>
  <c r="I18" i="10"/>
  <c r="H18" i="10"/>
  <c r="G18" i="10"/>
  <c r="F18" i="10"/>
  <c r="D18" i="10"/>
  <c r="Y14" i="10"/>
  <c r="X14" i="10"/>
  <c r="W14" i="10"/>
  <c r="V14" i="10"/>
  <c r="U14" i="10"/>
  <c r="T14" i="10"/>
  <c r="U15" i="10" s="1"/>
  <c r="S14" i="10"/>
  <c r="Q16" i="10" s="1"/>
  <c r="R14" i="10"/>
  <c r="Q14" i="10"/>
  <c r="P14" i="10"/>
  <c r="N14" i="10"/>
  <c r="N16" i="10" s="1"/>
  <c r="M14" i="10"/>
  <c r="M16" i="10" s="1"/>
  <c r="L14" i="10"/>
  <c r="L16" i="10" s="1"/>
  <c r="K14" i="10"/>
  <c r="J14" i="10"/>
  <c r="I14" i="10"/>
  <c r="H14" i="10"/>
  <c r="G14" i="10"/>
  <c r="F14" i="10"/>
  <c r="O13" i="10"/>
  <c r="B13" i="10"/>
  <c r="E12" i="10"/>
  <c r="B12" i="10"/>
  <c r="O11" i="10"/>
  <c r="B11" i="10"/>
  <c r="B10" i="10"/>
  <c r="E9" i="10"/>
  <c r="B9" i="10"/>
  <c r="E8" i="10"/>
  <c r="O8" i="10" s="1"/>
  <c r="B8" i="10"/>
  <c r="E7" i="10"/>
  <c r="D7" i="10" s="1"/>
  <c r="B7" i="10"/>
  <c r="E6" i="10"/>
  <c r="B6" i="10"/>
  <c r="E5" i="10"/>
  <c r="O5" i="10" s="1"/>
  <c r="B5" i="10"/>
  <c r="E4" i="10"/>
  <c r="D4" i="10" s="1"/>
  <c r="B4" i="10"/>
  <c r="B78" i="8"/>
  <c r="B74" i="8"/>
  <c r="B79" i="8" s="1"/>
  <c r="I72" i="8"/>
  <c r="I78" i="8" s="1"/>
  <c r="H72" i="8"/>
  <c r="H78" i="8" s="1"/>
  <c r="G72" i="8"/>
  <c r="G78" i="8" s="1"/>
  <c r="F72" i="8"/>
  <c r="F78" i="8" s="1"/>
  <c r="E72" i="8"/>
  <c r="E78" i="8" s="1"/>
  <c r="D72" i="8"/>
  <c r="D78" i="8" s="1"/>
  <c r="C72" i="8"/>
  <c r="C78" i="8" s="1"/>
  <c r="B67" i="8"/>
  <c r="B66" i="8"/>
  <c r="B64" i="8"/>
  <c r="B59" i="8"/>
  <c r="B57" i="8"/>
  <c r="B54" i="8"/>
  <c r="B36" i="8"/>
  <c r="B24" i="8"/>
  <c r="B23" i="8"/>
  <c r="I8" i="8"/>
  <c r="H8" i="8"/>
  <c r="G8" i="8"/>
  <c r="E8" i="8"/>
  <c r="C8" i="8"/>
  <c r="H19" i="8"/>
  <c r="H127" i="8" s="1"/>
  <c r="L26" i="7"/>
  <c r="N26" i="7" s="1"/>
  <c r="N27" i="7" s="1"/>
  <c r="N22" i="7"/>
  <c r="M22" i="7"/>
  <c r="L22" i="7"/>
  <c r="K22" i="7"/>
  <c r="J22" i="7"/>
  <c r="I22" i="7"/>
  <c r="H22" i="7"/>
  <c r="G22" i="7"/>
  <c r="F22" i="7"/>
  <c r="D22" i="7"/>
  <c r="Z18" i="7"/>
  <c r="Y18" i="7"/>
  <c r="X18" i="7"/>
  <c r="W18" i="7"/>
  <c r="V18" i="7"/>
  <c r="U18" i="7"/>
  <c r="T18" i="7"/>
  <c r="U19" i="7" s="1"/>
  <c r="S18" i="7"/>
  <c r="R18" i="7"/>
  <c r="Q18" i="7"/>
  <c r="P18" i="7"/>
  <c r="N18" i="7"/>
  <c r="N20" i="7" s="1"/>
  <c r="M18" i="7"/>
  <c r="M20" i="7" s="1"/>
  <c r="L18" i="7"/>
  <c r="L20" i="7" s="1"/>
  <c r="J18" i="7"/>
  <c r="G18" i="7"/>
  <c r="B17" i="7"/>
  <c r="B16" i="7"/>
  <c r="B15" i="7"/>
  <c r="H14" i="7"/>
  <c r="E14" i="7"/>
  <c r="K14" i="7" s="1"/>
  <c r="B14" i="7"/>
  <c r="B13" i="7"/>
  <c r="E12" i="7"/>
  <c r="B12" i="7"/>
  <c r="H11" i="7"/>
  <c r="E11" i="7"/>
  <c r="K11" i="7" s="1"/>
  <c r="B11" i="7"/>
  <c r="E10" i="7"/>
  <c r="B10" i="7"/>
  <c r="I9" i="7"/>
  <c r="H9" i="7"/>
  <c r="F9" i="7"/>
  <c r="E9" i="7"/>
  <c r="B9" i="7"/>
  <c r="H8" i="7"/>
  <c r="F8" i="7"/>
  <c r="E8" i="7"/>
  <c r="B8" i="7"/>
  <c r="B7" i="7"/>
  <c r="I6" i="7"/>
  <c r="I18" i="7" s="1"/>
  <c r="H6" i="7"/>
  <c r="F6" i="7"/>
  <c r="E6" i="7"/>
  <c r="B6" i="7"/>
  <c r="H18" i="7"/>
  <c r="F18" i="7"/>
  <c r="B5" i="7"/>
  <c r="E4" i="7"/>
  <c r="B4" i="7"/>
  <c r="E120" i="6"/>
  <c r="D120" i="6"/>
  <c r="C120" i="6"/>
  <c r="B110" i="6"/>
  <c r="B109" i="6"/>
  <c r="B107" i="6"/>
  <c r="B106" i="6"/>
  <c r="B101" i="6"/>
  <c r="B100" i="6"/>
  <c r="B98" i="6"/>
  <c r="B97" i="6"/>
  <c r="B95" i="6"/>
  <c r="B94" i="6"/>
  <c r="E78" i="6"/>
  <c r="D78" i="6"/>
  <c r="B78" i="6"/>
  <c r="B74" i="6"/>
  <c r="B79" i="6" s="1"/>
  <c r="C72" i="6"/>
  <c r="C78" i="6" s="1"/>
  <c r="B67" i="6"/>
  <c r="B66" i="6"/>
  <c r="B64" i="6"/>
  <c r="B59" i="6"/>
  <c r="B57" i="6"/>
  <c r="B54" i="6"/>
  <c r="B41" i="6"/>
  <c r="B40" i="6"/>
  <c r="B36" i="6"/>
  <c r="B24" i="6"/>
  <c r="B23" i="6"/>
  <c r="E8" i="6"/>
  <c r="D8" i="6"/>
  <c r="C8" i="6"/>
  <c r="E7" i="6"/>
  <c r="D7" i="6"/>
  <c r="C7" i="6"/>
  <c r="E6" i="6"/>
  <c r="D6" i="6"/>
  <c r="C6" i="6"/>
  <c r="B202" i="5"/>
  <c r="B199" i="5"/>
  <c r="B196" i="5"/>
  <c r="B190" i="5"/>
  <c r="B187" i="5"/>
  <c r="B184" i="5"/>
  <c r="B178" i="5"/>
  <c r="B172" i="5"/>
  <c r="B166" i="5"/>
  <c r="B160" i="5"/>
  <c r="B154" i="5"/>
  <c r="I125" i="5"/>
  <c r="H125" i="5"/>
  <c r="G125" i="5"/>
  <c r="F125" i="5"/>
  <c r="E125" i="5"/>
  <c r="D125" i="5"/>
  <c r="C125" i="5"/>
  <c r="B113" i="5"/>
  <c r="B112" i="5"/>
  <c r="B110" i="5"/>
  <c r="B109" i="5"/>
  <c r="B104" i="5"/>
  <c r="B103" i="5"/>
  <c r="B101" i="5"/>
  <c r="B100" i="5"/>
  <c r="B98" i="5"/>
  <c r="B97" i="5"/>
  <c r="B96" i="5"/>
  <c r="B95" i="5"/>
  <c r="B78" i="5"/>
  <c r="B74" i="5"/>
  <c r="B79" i="5" s="1"/>
  <c r="I72" i="5"/>
  <c r="I78" i="5" s="1"/>
  <c r="H72" i="5"/>
  <c r="H78" i="5" s="1"/>
  <c r="G72" i="5"/>
  <c r="G78" i="5" s="1"/>
  <c r="F72" i="5"/>
  <c r="F78" i="5" s="1"/>
  <c r="E72" i="5"/>
  <c r="E78" i="5" s="1"/>
  <c r="D72" i="5"/>
  <c r="D78" i="5" s="1"/>
  <c r="C72" i="5"/>
  <c r="C78" i="5" s="1"/>
  <c r="B67" i="5"/>
  <c r="B66" i="5"/>
  <c r="B64" i="5"/>
  <c r="B59" i="5"/>
  <c r="B57" i="5"/>
  <c r="B54" i="5"/>
  <c r="B36" i="5"/>
  <c r="B24" i="5"/>
  <c r="B23" i="5"/>
  <c r="I8" i="5"/>
  <c r="H8" i="5"/>
  <c r="G8" i="5"/>
  <c r="E8" i="5"/>
  <c r="C8" i="5"/>
  <c r="I7" i="5"/>
  <c r="H7" i="5"/>
  <c r="G7" i="5"/>
  <c r="E7" i="5"/>
  <c r="C7" i="5"/>
  <c r="H19" i="5"/>
  <c r="L25" i="4"/>
  <c r="N25" i="4" s="1"/>
  <c r="N26" i="4" s="1"/>
  <c r="N21" i="4"/>
  <c r="M21" i="4"/>
  <c r="L21" i="4"/>
  <c r="K21" i="4"/>
  <c r="J21" i="4"/>
  <c r="I21" i="4"/>
  <c r="H21" i="4"/>
  <c r="G21" i="4"/>
  <c r="F21" i="4"/>
  <c r="D21" i="4"/>
  <c r="Y17" i="4"/>
  <c r="X17" i="4"/>
  <c r="W17" i="4"/>
  <c r="V17" i="4"/>
  <c r="U17" i="4"/>
  <c r="T17" i="4"/>
  <c r="U18" i="4" s="1"/>
  <c r="S17" i="4"/>
  <c r="R17" i="4"/>
  <c r="Q17" i="4"/>
  <c r="P17" i="4"/>
  <c r="N17" i="4"/>
  <c r="N19" i="4" s="1"/>
  <c r="M17" i="4"/>
  <c r="M19" i="4" s="1"/>
  <c r="L17" i="4"/>
  <c r="L19" i="4" s="1"/>
  <c r="K17" i="4"/>
  <c r="J17" i="4"/>
  <c r="I17" i="4"/>
  <c r="H17" i="4"/>
  <c r="G17" i="4"/>
  <c r="F17" i="4"/>
  <c r="C17" i="4"/>
  <c r="E16" i="4"/>
  <c r="E15" i="4"/>
  <c r="E14" i="4"/>
  <c r="E13" i="4"/>
  <c r="E12" i="4"/>
  <c r="E11" i="4"/>
  <c r="O11" i="4" s="1"/>
  <c r="O10" i="4"/>
  <c r="E9" i="4"/>
  <c r="D9" i="4"/>
  <c r="E8" i="4"/>
  <c r="D8" i="4"/>
  <c r="E7" i="4"/>
  <c r="E6" i="4"/>
  <c r="E5" i="4"/>
  <c r="D5" i="4"/>
  <c r="O5" i="4" s="1"/>
  <c r="E4" i="4"/>
  <c r="E17" i="4" s="1"/>
  <c r="D4" i="4"/>
  <c r="Y44" i="3"/>
  <c r="W44" i="3"/>
  <c r="U44" i="3"/>
  <c r="S44" i="3"/>
  <c r="Q44" i="3"/>
  <c r="O44" i="3"/>
  <c r="M44" i="3"/>
  <c r="K44" i="3"/>
  <c r="I44" i="3"/>
  <c r="G44" i="3"/>
  <c r="E44" i="3"/>
  <c r="D44" i="3"/>
  <c r="Y43" i="3"/>
  <c r="W43" i="3"/>
  <c r="U43" i="3"/>
  <c r="S43" i="3"/>
  <c r="Q43" i="3"/>
  <c r="O43" i="3"/>
  <c r="M43" i="3"/>
  <c r="K43" i="3"/>
  <c r="I43" i="3"/>
  <c r="G43" i="3"/>
  <c r="D43" i="3"/>
  <c r="Y42" i="3"/>
  <c r="W42" i="3"/>
  <c r="U42" i="3"/>
  <c r="S42" i="3"/>
  <c r="Q42" i="3"/>
  <c r="O42" i="3"/>
  <c r="M42" i="3"/>
  <c r="K42" i="3"/>
  <c r="I42" i="3"/>
  <c r="G42" i="3"/>
  <c r="E42" i="3"/>
  <c r="D42" i="3"/>
  <c r="Y41" i="3"/>
  <c r="W41" i="3"/>
  <c r="U41" i="3"/>
  <c r="S41" i="3"/>
  <c r="Q41" i="3"/>
  <c r="O41" i="3"/>
  <c r="M41" i="3"/>
  <c r="K41" i="3"/>
  <c r="I41" i="3"/>
  <c r="G41" i="3"/>
  <c r="D41" i="3"/>
  <c r="Y40" i="3"/>
  <c r="W40" i="3"/>
  <c r="U40" i="3"/>
  <c r="S40" i="3"/>
  <c r="Q40" i="3"/>
  <c r="O40" i="3"/>
  <c r="M40" i="3"/>
  <c r="K40" i="3"/>
  <c r="I40" i="3"/>
  <c r="G40" i="3"/>
  <c r="D40" i="3"/>
  <c r="Y39" i="3"/>
  <c r="W39" i="3"/>
  <c r="U39" i="3"/>
  <c r="S39" i="3"/>
  <c r="Q39" i="3"/>
  <c r="O39" i="3"/>
  <c r="M39" i="3"/>
  <c r="K39" i="3"/>
  <c r="I39" i="3"/>
  <c r="G39" i="3"/>
  <c r="E39" i="3"/>
  <c r="D39" i="3"/>
  <c r="Y38" i="3"/>
  <c r="W38" i="3"/>
  <c r="U38" i="3"/>
  <c r="S38" i="3"/>
  <c r="Q38" i="3"/>
  <c r="O38" i="3"/>
  <c r="M38" i="3"/>
  <c r="K38" i="3"/>
  <c r="I38" i="3"/>
  <c r="G38" i="3"/>
  <c r="E38" i="3"/>
  <c r="D38" i="3"/>
  <c r="Y37" i="3"/>
  <c r="W37" i="3"/>
  <c r="U37" i="3"/>
  <c r="S37" i="3"/>
  <c r="Q37" i="3"/>
  <c r="O37" i="3"/>
  <c r="M37" i="3"/>
  <c r="K37" i="3"/>
  <c r="I37" i="3"/>
  <c r="G37" i="3"/>
  <c r="D37" i="3"/>
  <c r="Y36" i="3"/>
  <c r="W36" i="3"/>
  <c r="U36" i="3"/>
  <c r="S36" i="3"/>
  <c r="Q36" i="3"/>
  <c r="O36" i="3"/>
  <c r="M36" i="3"/>
  <c r="K36" i="3"/>
  <c r="I36" i="3"/>
  <c r="G36" i="3"/>
  <c r="E36" i="3"/>
  <c r="D36" i="3"/>
  <c r="AE35" i="3"/>
  <c r="AE45" i="3" s="1"/>
  <c r="Y35" i="3"/>
  <c r="W35" i="3"/>
  <c r="U35" i="3"/>
  <c r="S35" i="3"/>
  <c r="Q35" i="3"/>
  <c r="Q45" i="3" s="1"/>
  <c r="O35" i="3"/>
  <c r="M35" i="3"/>
  <c r="K35" i="3"/>
  <c r="I35" i="3"/>
  <c r="I45" i="3" s="1"/>
  <c r="G35" i="3"/>
  <c r="E35" i="3"/>
  <c r="D35" i="3"/>
  <c r="Y33" i="3"/>
  <c r="W33" i="3"/>
  <c r="U33" i="3"/>
  <c r="Q33" i="3"/>
  <c r="O33" i="3"/>
  <c r="M33" i="3"/>
  <c r="K33" i="3"/>
  <c r="I33" i="3"/>
  <c r="G33" i="3"/>
  <c r="E33" i="3"/>
  <c r="D33" i="3"/>
  <c r="Y32" i="3"/>
  <c r="W32" i="3"/>
  <c r="U32" i="3"/>
  <c r="Q32" i="3"/>
  <c r="O32" i="3"/>
  <c r="M32" i="3"/>
  <c r="K32" i="3"/>
  <c r="I32" i="3"/>
  <c r="G32" i="3"/>
  <c r="E32" i="3"/>
  <c r="D32" i="3"/>
  <c r="Y31" i="3"/>
  <c r="W31" i="3"/>
  <c r="U31" i="3"/>
  <c r="Q31" i="3"/>
  <c r="O31" i="3"/>
  <c r="M31" i="3"/>
  <c r="K31" i="3"/>
  <c r="I31" i="3"/>
  <c r="G31" i="3"/>
  <c r="E31" i="3"/>
  <c r="D31" i="3"/>
  <c r="Y30" i="3"/>
  <c r="W30" i="3"/>
  <c r="U30" i="3"/>
  <c r="Q30" i="3"/>
  <c r="O30" i="3"/>
  <c r="M30" i="3"/>
  <c r="K30" i="3"/>
  <c r="I30" i="3"/>
  <c r="G30" i="3"/>
  <c r="E30" i="3"/>
  <c r="D30" i="3"/>
  <c r="Y29" i="3"/>
  <c r="W29" i="3"/>
  <c r="U29" i="3"/>
  <c r="Q29" i="3"/>
  <c r="O29" i="3"/>
  <c r="M29" i="3"/>
  <c r="K29" i="3"/>
  <c r="I29" i="3"/>
  <c r="G29" i="3"/>
  <c r="E29" i="3"/>
  <c r="D29" i="3"/>
  <c r="Y28" i="3"/>
  <c r="W28" i="3"/>
  <c r="U28" i="3"/>
  <c r="Q28" i="3"/>
  <c r="O28" i="3"/>
  <c r="M28" i="3"/>
  <c r="K28" i="3"/>
  <c r="I28" i="3"/>
  <c r="G28" i="3"/>
  <c r="E28" i="3"/>
  <c r="D28" i="3"/>
  <c r="Y27" i="3"/>
  <c r="W27" i="3"/>
  <c r="U27" i="3"/>
  <c r="Q27" i="3"/>
  <c r="O27" i="3"/>
  <c r="M27" i="3"/>
  <c r="K27" i="3"/>
  <c r="I27" i="3"/>
  <c r="G27" i="3"/>
  <c r="E27" i="3"/>
  <c r="D27" i="3"/>
  <c r="Y26" i="3"/>
  <c r="W26" i="3"/>
  <c r="U26" i="3"/>
  <c r="Q26" i="3"/>
  <c r="O26" i="3"/>
  <c r="M26" i="3"/>
  <c r="K26" i="3"/>
  <c r="G26" i="3"/>
  <c r="D26" i="3"/>
  <c r="Y25" i="3"/>
  <c r="W25" i="3"/>
  <c r="U25" i="3"/>
  <c r="Q25" i="3"/>
  <c r="O25" i="3"/>
  <c r="M25" i="3"/>
  <c r="K25" i="3"/>
  <c r="I25" i="3"/>
  <c r="G25" i="3"/>
  <c r="D25" i="3"/>
  <c r="Y24" i="3"/>
  <c r="W24" i="3"/>
  <c r="U24" i="3"/>
  <c r="Q24" i="3"/>
  <c r="O24" i="3"/>
  <c r="M24" i="3"/>
  <c r="K24" i="3"/>
  <c r="I24" i="3"/>
  <c r="G24" i="3"/>
  <c r="D24" i="3"/>
  <c r="Y23" i="3"/>
  <c r="W23" i="3"/>
  <c r="U23" i="3"/>
  <c r="Q23" i="3"/>
  <c r="O23" i="3"/>
  <c r="M23" i="3"/>
  <c r="K23" i="3"/>
  <c r="I23" i="3"/>
  <c r="G23" i="3"/>
  <c r="E23" i="3"/>
  <c r="D23" i="3"/>
  <c r="Y22" i="3"/>
  <c r="W22" i="3"/>
  <c r="U22" i="3"/>
  <c r="Q22" i="3"/>
  <c r="O22" i="3"/>
  <c r="M22" i="3"/>
  <c r="K22" i="3"/>
  <c r="I22" i="3"/>
  <c r="G22" i="3"/>
  <c r="D22" i="3"/>
  <c r="Y21" i="3"/>
  <c r="W21" i="3"/>
  <c r="U21" i="3"/>
  <c r="Q21" i="3"/>
  <c r="O21" i="3"/>
  <c r="M21" i="3"/>
  <c r="K21" i="3"/>
  <c r="I21" i="3"/>
  <c r="G21" i="3"/>
  <c r="E21" i="3"/>
  <c r="D21" i="3"/>
  <c r="Y20" i="3"/>
  <c r="W20" i="3"/>
  <c r="W34" i="3" s="1"/>
  <c r="U20" i="3"/>
  <c r="Q20" i="3"/>
  <c r="O20" i="3"/>
  <c r="M20" i="3"/>
  <c r="M34" i="3" s="1"/>
  <c r="K20" i="3"/>
  <c r="I20" i="3"/>
  <c r="G20" i="3"/>
  <c r="D20" i="3"/>
  <c r="D18" i="3"/>
  <c r="B16" i="4" s="1"/>
  <c r="D17" i="3"/>
  <c r="B15" i="4" s="1"/>
  <c r="D16" i="3"/>
  <c r="B14" i="4" s="1"/>
  <c r="D15" i="3"/>
  <c r="B13" i="4" s="1"/>
  <c r="D14" i="3"/>
  <c r="B12" i="4" s="1"/>
  <c r="G13" i="3"/>
  <c r="D13" i="3"/>
  <c r="B11" i="4" s="1"/>
  <c r="G12" i="3"/>
  <c r="D12" i="3"/>
  <c r="B10" i="4" s="1"/>
  <c r="G11" i="3"/>
  <c r="D11" i="3"/>
  <c r="B9" i="4" s="1"/>
  <c r="G10" i="3"/>
  <c r="D10" i="3"/>
  <c r="B8" i="4" s="1"/>
  <c r="G9" i="3"/>
  <c r="D9" i="3"/>
  <c r="B7" i="4" s="1"/>
  <c r="I8" i="3"/>
  <c r="G8" i="3"/>
  <c r="D8" i="3"/>
  <c r="B6" i="4" s="1"/>
  <c r="Y7" i="3"/>
  <c r="W7" i="3"/>
  <c r="U7" i="3"/>
  <c r="S7" i="3"/>
  <c r="Q7" i="3"/>
  <c r="O7" i="3"/>
  <c r="M7" i="3"/>
  <c r="K7" i="3"/>
  <c r="I7" i="3"/>
  <c r="G7" i="3"/>
  <c r="E7" i="3"/>
  <c r="D7" i="3"/>
  <c r="B5" i="4" s="1"/>
  <c r="AE6" i="3"/>
  <c r="AE19" i="3" s="1"/>
  <c r="Y6" i="3"/>
  <c r="Y19" i="3" s="1"/>
  <c r="W6" i="3"/>
  <c r="U6" i="3"/>
  <c r="S6" i="3"/>
  <c r="Q6" i="3"/>
  <c r="Q19" i="3" s="1"/>
  <c r="O6" i="3"/>
  <c r="M6" i="3"/>
  <c r="K6" i="3"/>
  <c r="I6" i="3"/>
  <c r="I19" i="3" s="1"/>
  <c r="G6" i="3"/>
  <c r="E6" i="3"/>
  <c r="D6" i="3"/>
  <c r="B4" i="4" s="1"/>
  <c r="D147" i="2"/>
  <c r="H147" i="2" s="1"/>
  <c r="H146" i="2"/>
  <c r="G134" i="2"/>
  <c r="G133" i="2"/>
  <c r="D133" i="2"/>
  <c r="I133" i="2" s="1"/>
  <c r="C133" i="2"/>
  <c r="H133" i="2" s="1"/>
  <c r="G132" i="2"/>
  <c r="G131" i="2"/>
  <c r="G128" i="2"/>
  <c r="D128" i="2"/>
  <c r="I128" i="2" s="1"/>
  <c r="C128" i="2"/>
  <c r="H128" i="2" s="1"/>
  <c r="G127" i="2"/>
  <c r="D127" i="2"/>
  <c r="I127" i="2" s="1"/>
  <c r="C127" i="2"/>
  <c r="H127" i="2" s="1"/>
  <c r="G126" i="2"/>
  <c r="D126" i="2"/>
  <c r="I126" i="2" s="1"/>
  <c r="C126" i="2"/>
  <c r="H126" i="2" s="1"/>
  <c r="G125" i="2"/>
  <c r="D125" i="2"/>
  <c r="I125" i="2" s="1"/>
  <c r="C125" i="2"/>
  <c r="H125" i="2" s="1"/>
  <c r="G124" i="2"/>
  <c r="D124" i="2"/>
  <c r="I124" i="2" s="1"/>
  <c r="C124" i="2"/>
  <c r="H124" i="2" s="1"/>
  <c r="I123" i="2"/>
  <c r="H123" i="2"/>
  <c r="H117" i="2"/>
  <c r="H116" i="2"/>
  <c r="H115" i="2"/>
  <c r="H114" i="2"/>
  <c r="H112" i="2"/>
  <c r="H111" i="2"/>
  <c r="H110" i="2"/>
  <c r="H109" i="2"/>
  <c r="H108" i="2"/>
  <c r="H107" i="2"/>
  <c r="K97" i="2"/>
  <c r="J97" i="2"/>
  <c r="I97" i="2"/>
  <c r="H96" i="2"/>
  <c r="E96" i="2"/>
  <c r="K96" i="2" s="1"/>
  <c r="D96" i="2"/>
  <c r="J96" i="2" s="1"/>
  <c r="C96" i="2"/>
  <c r="I96" i="2" s="1"/>
  <c r="H95" i="2"/>
  <c r="E95" i="2"/>
  <c r="K95" i="2" s="1"/>
  <c r="D95" i="2"/>
  <c r="J95" i="2" s="1"/>
  <c r="C95" i="2"/>
  <c r="I95" i="2" s="1"/>
  <c r="H94" i="2"/>
  <c r="E94" i="2"/>
  <c r="K94" i="2" s="1"/>
  <c r="D94" i="2"/>
  <c r="J94" i="2" s="1"/>
  <c r="C94" i="2"/>
  <c r="I94" i="2" s="1"/>
  <c r="H93" i="2"/>
  <c r="E93" i="2"/>
  <c r="K93" i="2" s="1"/>
  <c r="D93" i="2"/>
  <c r="J93" i="2" s="1"/>
  <c r="C93" i="2"/>
  <c r="I93" i="2" s="1"/>
  <c r="H92" i="2"/>
  <c r="E92" i="2"/>
  <c r="K92" i="2" s="1"/>
  <c r="D92" i="2"/>
  <c r="J92" i="2" s="1"/>
  <c r="C92" i="2"/>
  <c r="I92" i="2" s="1"/>
  <c r="H91" i="2"/>
  <c r="E91" i="2"/>
  <c r="K91" i="2" s="1"/>
  <c r="D91" i="2"/>
  <c r="J91" i="2" s="1"/>
  <c r="C91" i="2"/>
  <c r="I91" i="2" s="1"/>
  <c r="H90" i="2"/>
  <c r="E90" i="2"/>
  <c r="K90" i="2" s="1"/>
  <c r="D90" i="2"/>
  <c r="J90" i="2" s="1"/>
  <c r="C90" i="2"/>
  <c r="I90" i="2" s="1"/>
  <c r="H89" i="2"/>
  <c r="E89" i="2"/>
  <c r="K89" i="2" s="1"/>
  <c r="D89" i="2"/>
  <c r="J89" i="2" s="1"/>
  <c r="C89" i="2"/>
  <c r="I89" i="2" s="1"/>
  <c r="H88" i="2"/>
  <c r="F69" i="2"/>
  <c r="C69" i="2"/>
  <c r="G69" i="2" s="1"/>
  <c r="F67" i="2"/>
  <c r="C67" i="2"/>
  <c r="G67" i="2" s="1"/>
  <c r="F66" i="2"/>
  <c r="G66" i="2" s="1"/>
  <c r="F65" i="2"/>
  <c r="C65" i="2"/>
  <c r="G65" i="2" s="1"/>
  <c r="F64" i="2"/>
  <c r="C64" i="2"/>
  <c r="G64" i="2" s="1"/>
  <c r="G70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G59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G37" i="2" s="1"/>
  <c r="D99" i="1"/>
  <c r="E98" i="1"/>
  <c r="E97" i="1"/>
  <c r="E96" i="1"/>
  <c r="E95" i="1"/>
  <c r="E94" i="1"/>
  <c r="E93" i="1"/>
  <c r="E92" i="1"/>
  <c r="E91" i="1"/>
  <c r="E90" i="1"/>
  <c r="K85" i="1"/>
  <c r="D84" i="1"/>
  <c r="E72" i="1"/>
  <c r="E54" i="1"/>
  <c r="K27" i="1"/>
  <c r="E27" i="1"/>
  <c r="I20" i="1"/>
  <c r="H20" i="1"/>
  <c r="K20" i="1" s="1"/>
  <c r="D20" i="1"/>
  <c r="C20" i="1"/>
  <c r="E20" i="1" s="1"/>
  <c r="H19" i="1"/>
  <c r="K19" i="1" s="1"/>
  <c r="C19" i="1"/>
  <c r="E19" i="1" s="1"/>
  <c r="K13" i="1"/>
  <c r="J13" i="1"/>
  <c r="I13" i="1"/>
  <c r="F13" i="1"/>
  <c r="E13" i="1"/>
  <c r="D13" i="1"/>
  <c r="H12" i="1"/>
  <c r="C12" i="1"/>
  <c r="K11" i="1"/>
  <c r="J11" i="1"/>
  <c r="I11" i="1"/>
  <c r="F11" i="1"/>
  <c r="E11" i="1"/>
  <c r="D11" i="1"/>
  <c r="Y45" i="3" l="1"/>
  <c r="C88" i="12"/>
  <c r="C126" i="12" s="1"/>
  <c r="D88" i="12"/>
  <c r="D126" i="12" s="1"/>
  <c r="E88" i="12"/>
  <c r="E126" i="12" s="1"/>
  <c r="E7" i="9"/>
  <c r="D88" i="9"/>
  <c r="D126" i="9" s="1"/>
  <c r="E88" i="9"/>
  <c r="E126" i="9" s="1"/>
  <c r="K19" i="3"/>
  <c r="S19" i="3"/>
  <c r="G34" i="3"/>
  <c r="O34" i="3"/>
  <c r="Y34" i="3"/>
  <c r="K45" i="3"/>
  <c r="S45" i="3"/>
  <c r="M19" i="3"/>
  <c r="U19" i="3"/>
  <c r="I34" i="3"/>
  <c r="Q34" i="3"/>
  <c r="M45" i="3"/>
  <c r="U45" i="3"/>
  <c r="O19" i="3"/>
  <c r="W19" i="3"/>
  <c r="K34" i="3"/>
  <c r="U34" i="3"/>
  <c r="G45" i="3"/>
  <c r="O45" i="3"/>
  <c r="W45" i="3"/>
  <c r="B197" i="11"/>
  <c r="D4" i="7"/>
  <c r="K4" i="7"/>
  <c r="D6" i="7"/>
  <c r="E22" i="3" s="1"/>
  <c r="K6" i="7"/>
  <c r="D8" i="7"/>
  <c r="E24" i="3" s="1"/>
  <c r="K8" i="7"/>
  <c r="D9" i="7"/>
  <c r="E25" i="3" s="1"/>
  <c r="K9" i="7"/>
  <c r="D10" i="7"/>
  <c r="E26" i="3" s="1"/>
  <c r="K10" i="7"/>
  <c r="C14" i="12"/>
  <c r="C19" i="12" s="1"/>
  <c r="D14" i="12"/>
  <c r="D19" i="12" s="1"/>
  <c r="E14" i="12"/>
  <c r="E19" i="12" s="1"/>
  <c r="E23" i="12" s="1"/>
  <c r="B25" i="12"/>
  <c r="B46" i="12" s="1"/>
  <c r="D23" i="12"/>
  <c r="C23" i="12"/>
  <c r="B58" i="12"/>
  <c r="B47" i="12"/>
  <c r="D41" i="12"/>
  <c r="C41" i="12"/>
  <c r="E42" i="12"/>
  <c r="D42" i="12"/>
  <c r="C42" i="12"/>
  <c r="B55" i="12"/>
  <c r="B69" i="12"/>
  <c r="B77" i="12" s="1"/>
  <c r="C14" i="9"/>
  <c r="C19" i="9" s="1"/>
  <c r="C23" i="9" s="1"/>
  <c r="D14" i="9"/>
  <c r="D19" i="9" s="1"/>
  <c r="E14" i="9"/>
  <c r="E19" i="9" s="1"/>
  <c r="B25" i="9"/>
  <c r="B46" i="9" s="1"/>
  <c r="E23" i="9"/>
  <c r="D23" i="9"/>
  <c r="B58" i="9"/>
  <c r="B47" i="9"/>
  <c r="D41" i="9"/>
  <c r="C41" i="9"/>
  <c r="E42" i="9"/>
  <c r="D42" i="9"/>
  <c r="C42" i="9"/>
  <c r="B55" i="9"/>
  <c r="B69" i="9"/>
  <c r="B77" i="9" s="1"/>
  <c r="B197" i="8"/>
  <c r="D6" i="10"/>
  <c r="D9" i="10"/>
  <c r="D12" i="10"/>
  <c r="D6" i="4"/>
  <c r="D7" i="4"/>
  <c r="O8" i="4"/>
  <c r="E10" i="3"/>
  <c r="O9" i="4"/>
  <c r="E11" i="3"/>
  <c r="O12" i="4"/>
  <c r="G14" i="3"/>
  <c r="O13" i="4"/>
  <c r="G15" i="3"/>
  <c r="O14" i="4"/>
  <c r="G16" i="3"/>
  <c r="O15" i="4"/>
  <c r="G17" i="3"/>
  <c r="O16" i="4"/>
  <c r="G18" i="3"/>
  <c r="D14" i="5"/>
  <c r="C14" i="5"/>
  <c r="F14" i="5"/>
  <c r="E14" i="5"/>
  <c r="G19" i="11"/>
  <c r="G127" i="11" s="1"/>
  <c r="G19" i="8"/>
  <c r="G127" i="8" s="1"/>
  <c r="F12" i="1"/>
  <c r="E12" i="1"/>
  <c r="D12" i="1"/>
  <c r="K12" i="1"/>
  <c r="J12" i="1"/>
  <c r="I12" i="1"/>
  <c r="I39" i="8"/>
  <c r="H39" i="8"/>
  <c r="D39" i="8"/>
  <c r="C39" i="8"/>
  <c r="C39" i="6"/>
  <c r="I39" i="5"/>
  <c r="H39" i="5"/>
  <c r="D39" i="5"/>
  <c r="C39" i="5"/>
  <c r="I39" i="11"/>
  <c r="H39" i="11"/>
  <c r="D39" i="11"/>
  <c r="C39" i="11"/>
  <c r="G39" i="8"/>
  <c r="F39" i="8"/>
  <c r="E39" i="8"/>
  <c r="E39" i="6"/>
  <c r="D39" i="6"/>
  <c r="G39" i="5"/>
  <c r="F39" i="5"/>
  <c r="E39" i="5"/>
  <c r="G39" i="11"/>
  <c r="F39" i="11"/>
  <c r="E39" i="11"/>
  <c r="B42" i="11"/>
  <c r="B42" i="8"/>
  <c r="B42" i="6"/>
  <c r="B42" i="5"/>
  <c r="B65" i="11"/>
  <c r="B65" i="8"/>
  <c r="B65" i="6"/>
  <c r="B65" i="5"/>
  <c r="F71" i="1"/>
  <c r="F84" i="1" s="1"/>
  <c r="D85" i="1" s="1"/>
  <c r="M71" i="1"/>
  <c r="M85" i="1" s="1"/>
  <c r="K86" i="1" s="1"/>
  <c r="E99" i="1"/>
  <c r="F89" i="1"/>
  <c r="F99" i="1" s="1"/>
  <c r="G60" i="2"/>
  <c r="E85" i="6"/>
  <c r="D85" i="6"/>
  <c r="C85" i="6"/>
  <c r="K88" i="2"/>
  <c r="K98" i="2" s="1"/>
  <c r="K99" i="2" s="1"/>
  <c r="J88" i="2"/>
  <c r="J98" i="2" s="1"/>
  <c r="J99" i="2" s="1"/>
  <c r="I88" i="2"/>
  <c r="I98" i="2" s="1"/>
  <c r="I99" i="2" s="1"/>
  <c r="K107" i="2"/>
  <c r="J107" i="2"/>
  <c r="I107" i="2"/>
  <c r="K108" i="2"/>
  <c r="J108" i="2"/>
  <c r="I108" i="2"/>
  <c r="K109" i="2"/>
  <c r="J109" i="2"/>
  <c r="I109" i="2"/>
  <c r="K110" i="2"/>
  <c r="J110" i="2"/>
  <c r="I110" i="2"/>
  <c r="K111" i="2"/>
  <c r="J111" i="2"/>
  <c r="I111" i="2"/>
  <c r="K112" i="2"/>
  <c r="J112" i="2"/>
  <c r="I112" i="2"/>
  <c r="K114" i="2"/>
  <c r="J114" i="2"/>
  <c r="I114" i="2"/>
  <c r="K115" i="2"/>
  <c r="J115" i="2"/>
  <c r="I115" i="2"/>
  <c r="K116" i="2"/>
  <c r="J116" i="2"/>
  <c r="I116" i="2"/>
  <c r="K117" i="2"/>
  <c r="J117" i="2"/>
  <c r="I117" i="2"/>
  <c r="E87" i="6"/>
  <c r="D87" i="6"/>
  <c r="C87" i="6"/>
  <c r="F84" i="5"/>
  <c r="E84" i="5"/>
  <c r="D84" i="5"/>
  <c r="C84" i="5"/>
  <c r="I131" i="2"/>
  <c r="H131" i="2"/>
  <c r="I132" i="2"/>
  <c r="H132" i="2"/>
  <c r="I134" i="2"/>
  <c r="H134" i="2"/>
  <c r="I89" i="11"/>
  <c r="I89" i="8"/>
  <c r="I89" i="5"/>
  <c r="D17" i="4"/>
  <c r="O4" i="4"/>
  <c r="E19" i="4"/>
  <c r="F19" i="4"/>
  <c r="G19" i="4"/>
  <c r="H19" i="4"/>
  <c r="J19" i="4"/>
  <c r="K19" i="4"/>
  <c r="D174" i="10"/>
  <c r="D178" i="7"/>
  <c r="D177" i="4"/>
  <c r="Q19" i="4"/>
  <c r="Q18" i="4"/>
  <c r="D22" i="4"/>
  <c r="F22" i="4"/>
  <c r="G22" i="4"/>
  <c r="H22" i="4"/>
  <c r="I22" i="4"/>
  <c r="J22" i="4"/>
  <c r="K22" i="4"/>
  <c r="L22" i="4"/>
  <c r="M22" i="4"/>
  <c r="N22" i="4"/>
  <c r="H127" i="5"/>
  <c r="H59" i="5"/>
  <c r="H57" i="5"/>
  <c r="H54" i="5"/>
  <c r="H24" i="5"/>
  <c r="B25" i="5"/>
  <c r="B46" i="5" s="1"/>
  <c r="H23" i="5"/>
  <c r="H25" i="5" s="1"/>
  <c r="B58" i="5"/>
  <c r="B47" i="5"/>
  <c r="B55" i="5"/>
  <c r="B69" i="5"/>
  <c r="B77" i="5" s="1"/>
  <c r="B155" i="5"/>
  <c r="B161" i="5"/>
  <c r="B167" i="5"/>
  <c r="B173" i="5"/>
  <c r="B179" i="5"/>
  <c r="B185" i="5"/>
  <c r="B188" i="5"/>
  <c r="B191" i="5"/>
  <c r="B197" i="5"/>
  <c r="B25" i="6"/>
  <c r="B46" i="6" s="1"/>
  <c r="B58" i="6"/>
  <c r="B47" i="6"/>
  <c r="D41" i="6"/>
  <c r="C41" i="6"/>
  <c r="B55" i="6"/>
  <c r="B69" i="6"/>
  <c r="B77" i="6" s="1"/>
  <c r="E18" i="7"/>
  <c r="F20" i="7"/>
  <c r="H20" i="7"/>
  <c r="I20" i="7"/>
  <c r="G20" i="7"/>
  <c r="J20" i="7"/>
  <c r="Q19" i="7"/>
  <c r="D23" i="7"/>
  <c r="F23" i="7"/>
  <c r="G23" i="7"/>
  <c r="H23" i="7"/>
  <c r="I23" i="7"/>
  <c r="J23" i="7"/>
  <c r="K23" i="7"/>
  <c r="L23" i="7"/>
  <c r="M23" i="7"/>
  <c r="N23" i="7"/>
  <c r="H59" i="8"/>
  <c r="H57" i="8"/>
  <c r="H54" i="8"/>
  <c r="H24" i="8"/>
  <c r="B25" i="8"/>
  <c r="B46" i="8" s="1"/>
  <c r="H23" i="8"/>
  <c r="H25" i="8" s="1"/>
  <c r="G23" i="8"/>
  <c r="B58" i="8"/>
  <c r="B47" i="8"/>
  <c r="B55" i="8"/>
  <c r="B69" i="8"/>
  <c r="B77" i="8" s="1"/>
  <c r="E14" i="10"/>
  <c r="O4" i="10"/>
  <c r="D14" i="10"/>
  <c r="O7" i="10"/>
  <c r="F16" i="10"/>
  <c r="G16" i="10"/>
  <c r="H16" i="10"/>
  <c r="I16" i="10"/>
  <c r="J16" i="10"/>
  <c r="K16" i="10"/>
  <c r="Q15" i="10"/>
  <c r="D19" i="10"/>
  <c r="F19" i="10"/>
  <c r="G19" i="10"/>
  <c r="H19" i="10"/>
  <c r="I19" i="10"/>
  <c r="J19" i="10"/>
  <c r="K19" i="10"/>
  <c r="L19" i="10"/>
  <c r="M19" i="10"/>
  <c r="N19" i="10"/>
  <c r="H59" i="11"/>
  <c r="H57" i="11"/>
  <c r="H54" i="11"/>
  <c r="H24" i="11"/>
  <c r="B25" i="11"/>
  <c r="B46" i="11" s="1"/>
  <c r="H23" i="11"/>
  <c r="H25" i="11" s="1"/>
  <c r="G23" i="11"/>
  <c r="B58" i="11"/>
  <c r="B47" i="11"/>
  <c r="B55" i="11"/>
  <c r="B69" i="11"/>
  <c r="B77" i="11" s="1"/>
  <c r="B203" i="11" l="1"/>
  <c r="B179" i="11"/>
  <c r="B191" i="11"/>
  <c r="B173" i="11"/>
  <c r="B188" i="11"/>
  <c r="B200" i="11"/>
  <c r="B185" i="11"/>
  <c r="B161" i="11"/>
  <c r="B167" i="11"/>
  <c r="D100" i="1"/>
  <c r="B155" i="11"/>
  <c r="B38" i="12"/>
  <c r="B38" i="9"/>
  <c r="D18" i="7"/>
  <c r="D20" i="7" s="1"/>
  <c r="E20" i="3"/>
  <c r="E34" i="3" s="1"/>
  <c r="E55" i="12"/>
  <c r="D55" i="12"/>
  <c r="C55" i="12"/>
  <c r="B60" i="12"/>
  <c r="E58" i="12"/>
  <c r="D58" i="12"/>
  <c r="C58" i="12"/>
  <c r="E122" i="12"/>
  <c r="E59" i="12"/>
  <c r="E57" i="12"/>
  <c r="E54" i="12"/>
  <c r="E24" i="12"/>
  <c r="E25" i="12" s="1"/>
  <c r="D122" i="12"/>
  <c r="D59" i="12"/>
  <c r="D57" i="12"/>
  <c r="D54" i="12"/>
  <c r="D24" i="12"/>
  <c r="D25" i="12" s="1"/>
  <c r="C122" i="12"/>
  <c r="C59" i="12"/>
  <c r="C57" i="12"/>
  <c r="C54" i="12"/>
  <c r="C24" i="12"/>
  <c r="C25" i="12" s="1"/>
  <c r="E55" i="9"/>
  <c r="D55" i="9"/>
  <c r="C55" i="9"/>
  <c r="B60" i="9"/>
  <c r="E58" i="9"/>
  <c r="D58" i="9"/>
  <c r="C58" i="9"/>
  <c r="E122" i="9"/>
  <c r="E59" i="9"/>
  <c r="E57" i="9"/>
  <c r="E54" i="9"/>
  <c r="E24" i="9"/>
  <c r="E25" i="9" s="1"/>
  <c r="D122" i="9"/>
  <c r="D59" i="9"/>
  <c r="D57" i="9"/>
  <c r="D54" i="9"/>
  <c r="D24" i="9"/>
  <c r="D25" i="9" s="1"/>
  <c r="C122" i="9"/>
  <c r="C59" i="9"/>
  <c r="C57" i="9"/>
  <c r="C54" i="9"/>
  <c r="C24" i="9"/>
  <c r="C25" i="9" s="1"/>
  <c r="E14" i="6"/>
  <c r="E19" i="6" s="1"/>
  <c r="E23" i="6" s="1"/>
  <c r="G14" i="5"/>
  <c r="G19" i="5" s="1"/>
  <c r="E43" i="3"/>
  <c r="O12" i="10"/>
  <c r="E41" i="3"/>
  <c r="O10" i="10"/>
  <c r="E40" i="3"/>
  <c r="O9" i="10"/>
  <c r="E37" i="3"/>
  <c r="E45" i="3" s="1"/>
  <c r="O6" i="10"/>
  <c r="E9" i="3"/>
  <c r="O7" i="4"/>
  <c r="E8" i="3"/>
  <c r="E19" i="3" s="1"/>
  <c r="O6" i="4"/>
  <c r="O17" i="4" s="1"/>
  <c r="G19" i="3"/>
  <c r="H55" i="11"/>
  <c r="G55" i="11"/>
  <c r="B60" i="11"/>
  <c r="H58" i="11"/>
  <c r="G58" i="11"/>
  <c r="H46" i="11"/>
  <c r="H35" i="11"/>
  <c r="H56" i="11" s="1"/>
  <c r="H34" i="11"/>
  <c r="H33" i="11"/>
  <c r="H32" i="11"/>
  <c r="H31" i="11"/>
  <c r="H30" i="11"/>
  <c r="H29" i="11"/>
  <c r="H28" i="11"/>
  <c r="H36" i="11" s="1"/>
  <c r="H60" i="11"/>
  <c r="H129" i="11" s="1"/>
  <c r="D16" i="10"/>
  <c r="O14" i="10"/>
  <c r="E16" i="10"/>
  <c r="H55" i="8"/>
  <c r="G55" i="8"/>
  <c r="B60" i="8"/>
  <c r="H58" i="8"/>
  <c r="G58" i="8"/>
  <c r="H46" i="8"/>
  <c r="H35" i="8"/>
  <c r="H56" i="8" s="1"/>
  <c r="H34" i="8"/>
  <c r="H33" i="8"/>
  <c r="H32" i="8"/>
  <c r="H31" i="8"/>
  <c r="H30" i="8"/>
  <c r="H29" i="8"/>
  <c r="H28" i="8"/>
  <c r="H36" i="8" s="1"/>
  <c r="H60" i="8"/>
  <c r="H129" i="8" s="1"/>
  <c r="S33" i="3"/>
  <c r="O17" i="7"/>
  <c r="S32" i="3"/>
  <c r="O16" i="7"/>
  <c r="S31" i="3"/>
  <c r="O15" i="7"/>
  <c r="S30" i="3"/>
  <c r="O14" i="7"/>
  <c r="S29" i="3"/>
  <c r="O13" i="7"/>
  <c r="S28" i="3"/>
  <c r="O12" i="7"/>
  <c r="S27" i="3"/>
  <c r="O11" i="7"/>
  <c r="S26" i="3"/>
  <c r="O10" i="7"/>
  <c r="S25" i="3"/>
  <c r="O9" i="7"/>
  <c r="S24" i="3"/>
  <c r="O8" i="7"/>
  <c r="S23" i="3"/>
  <c r="O7" i="7"/>
  <c r="S22" i="3"/>
  <c r="O6" i="7"/>
  <c r="S21" i="3"/>
  <c r="O5" i="7"/>
  <c r="K18" i="7"/>
  <c r="S20" i="3"/>
  <c r="O4" i="7"/>
  <c r="O18" i="7" s="1"/>
  <c r="E20" i="7"/>
  <c r="E55" i="6"/>
  <c r="B60" i="6"/>
  <c r="E58" i="6"/>
  <c r="H55" i="5"/>
  <c r="G55" i="5"/>
  <c r="B60" i="5"/>
  <c r="H58" i="5"/>
  <c r="G58" i="5"/>
  <c r="H46" i="5"/>
  <c r="H35" i="5"/>
  <c r="H56" i="5" s="1"/>
  <c r="H34" i="5"/>
  <c r="H33" i="5"/>
  <c r="H32" i="5"/>
  <c r="H31" i="5"/>
  <c r="H30" i="5"/>
  <c r="H29" i="5"/>
  <c r="H28" i="5"/>
  <c r="H36" i="5" s="1"/>
  <c r="H60" i="5"/>
  <c r="H129" i="5" s="1"/>
  <c r="B203" i="5"/>
  <c r="B200" i="5"/>
  <c r="D19" i="4"/>
  <c r="O19" i="4" s="1"/>
  <c r="H130" i="2"/>
  <c r="I130" i="2"/>
  <c r="I113" i="2"/>
  <c r="I119" i="2" s="1"/>
  <c r="I84" i="5" s="1"/>
  <c r="I91" i="5" s="1"/>
  <c r="I131" i="5" s="1"/>
  <c r="J113" i="2"/>
  <c r="J119" i="2" s="1"/>
  <c r="K113" i="2"/>
  <c r="K119" i="2" s="1"/>
  <c r="I106" i="2"/>
  <c r="I118" i="2" s="1"/>
  <c r="J106" i="2"/>
  <c r="J118" i="2" s="1"/>
  <c r="I84" i="8" s="1"/>
  <c r="I91" i="8" s="1"/>
  <c r="K106" i="2"/>
  <c r="K118" i="2" s="1"/>
  <c r="I84" i="11" s="1"/>
  <c r="I91" i="11" s="1"/>
  <c r="I100" i="2"/>
  <c r="J100" i="2"/>
  <c r="K100" i="2"/>
  <c r="G85" i="11"/>
  <c r="F85" i="11"/>
  <c r="E85" i="11"/>
  <c r="D85" i="11"/>
  <c r="C85" i="11"/>
  <c r="G85" i="8"/>
  <c r="F85" i="8"/>
  <c r="E85" i="8"/>
  <c r="D85" i="8"/>
  <c r="C85" i="8"/>
  <c r="G85" i="5"/>
  <c r="F85" i="5"/>
  <c r="E85" i="5"/>
  <c r="D85" i="5"/>
  <c r="C85" i="5"/>
  <c r="B38" i="11"/>
  <c r="B38" i="8"/>
  <c r="B38" i="6"/>
  <c r="B38" i="5"/>
  <c r="I42" i="5"/>
  <c r="H42" i="5"/>
  <c r="G42" i="5"/>
  <c r="F42" i="5"/>
  <c r="E42" i="5"/>
  <c r="D42" i="5"/>
  <c r="C42" i="5"/>
  <c r="E42" i="6"/>
  <c r="D42" i="6"/>
  <c r="C42" i="6"/>
  <c r="I42" i="8"/>
  <c r="H42" i="8"/>
  <c r="G42" i="8"/>
  <c r="F42" i="8"/>
  <c r="E42" i="8"/>
  <c r="D42" i="8"/>
  <c r="C42" i="8"/>
  <c r="I42" i="11"/>
  <c r="H42" i="11"/>
  <c r="G42" i="11"/>
  <c r="F42" i="11"/>
  <c r="E42" i="11"/>
  <c r="D42" i="11"/>
  <c r="C42" i="11"/>
  <c r="I19" i="11"/>
  <c r="I127" i="11" s="1"/>
  <c r="I19" i="8"/>
  <c r="I127" i="8" s="1"/>
  <c r="I19" i="5"/>
  <c r="G127" i="5"/>
  <c r="G59" i="5"/>
  <c r="G57" i="5"/>
  <c r="G54" i="5"/>
  <c r="G24" i="5"/>
  <c r="E122" i="6"/>
  <c r="E59" i="6"/>
  <c r="E57" i="6"/>
  <c r="E54" i="6"/>
  <c r="E24" i="6"/>
  <c r="E25" i="6" s="1"/>
  <c r="G59" i="8"/>
  <c r="G57" i="8"/>
  <c r="G54" i="8"/>
  <c r="G24" i="8"/>
  <c r="G25" i="8" s="1"/>
  <c r="G59" i="11"/>
  <c r="G57" i="11"/>
  <c r="G54" i="11"/>
  <c r="G24" i="11"/>
  <c r="G25" i="11" s="1"/>
  <c r="E19" i="5"/>
  <c r="F19" i="5"/>
  <c r="D14" i="6"/>
  <c r="D19" i="6" s="1"/>
  <c r="E19" i="8"/>
  <c r="E127" i="8" s="1"/>
  <c r="F19" i="8"/>
  <c r="F127" i="8" s="1"/>
  <c r="E19" i="11"/>
  <c r="E127" i="11" s="1"/>
  <c r="F19" i="11"/>
  <c r="F127" i="11" s="1"/>
  <c r="C19" i="5"/>
  <c r="D19" i="5"/>
  <c r="C14" i="6"/>
  <c r="C19" i="6" s="1"/>
  <c r="C19" i="8"/>
  <c r="C127" i="8" s="1"/>
  <c r="D19" i="8"/>
  <c r="D127" i="8" s="1"/>
  <c r="S34" i="3" l="1"/>
  <c r="E38" i="9"/>
  <c r="E44" i="9" s="1"/>
  <c r="E48" i="9" s="1"/>
  <c r="D38" i="9"/>
  <c r="D44" i="9" s="1"/>
  <c r="D48" i="9" s="1"/>
  <c r="C38" i="9"/>
  <c r="C44" i="9" s="1"/>
  <c r="C48" i="9" s="1"/>
  <c r="E38" i="12"/>
  <c r="E44" i="12" s="1"/>
  <c r="E48" i="12" s="1"/>
  <c r="D38" i="12"/>
  <c r="D44" i="12" s="1"/>
  <c r="D48" i="12" s="1"/>
  <c r="C38" i="12"/>
  <c r="C44" i="12" s="1"/>
  <c r="C48" i="12" s="1"/>
  <c r="C46" i="12"/>
  <c r="C35" i="12"/>
  <c r="C56" i="12" s="1"/>
  <c r="C34" i="12"/>
  <c r="C33" i="12"/>
  <c r="C32" i="12"/>
  <c r="C31" i="12"/>
  <c r="C30" i="12"/>
  <c r="C29" i="12"/>
  <c r="C28" i="12"/>
  <c r="C60" i="12"/>
  <c r="C124" i="12" s="1"/>
  <c r="D46" i="12"/>
  <c r="D35" i="12"/>
  <c r="D56" i="12" s="1"/>
  <c r="D34" i="12"/>
  <c r="D33" i="12"/>
  <c r="D32" i="12"/>
  <c r="D31" i="12"/>
  <c r="D30" i="12"/>
  <c r="D29" i="12"/>
  <c r="D28" i="12"/>
  <c r="D36" i="12" s="1"/>
  <c r="D60" i="12"/>
  <c r="D124" i="12" s="1"/>
  <c r="E46" i="12"/>
  <c r="E35" i="12"/>
  <c r="E56" i="12" s="1"/>
  <c r="E34" i="12"/>
  <c r="E33" i="12"/>
  <c r="E32" i="12"/>
  <c r="E31" i="12"/>
  <c r="E30" i="12"/>
  <c r="E29" i="12"/>
  <c r="E28" i="12"/>
  <c r="E60" i="12"/>
  <c r="E124" i="12" s="1"/>
  <c r="C46" i="9"/>
  <c r="C35" i="9"/>
  <c r="C56" i="9" s="1"/>
  <c r="C34" i="9"/>
  <c r="C33" i="9"/>
  <c r="C32" i="9"/>
  <c r="C31" i="9"/>
  <c r="C30" i="9"/>
  <c r="C29" i="9"/>
  <c r="C28" i="9"/>
  <c r="C60" i="9"/>
  <c r="C124" i="9" s="1"/>
  <c r="D46" i="9"/>
  <c r="D35" i="9"/>
  <c r="D56" i="9" s="1"/>
  <c r="D34" i="9"/>
  <c r="D33" i="9"/>
  <c r="D32" i="9"/>
  <c r="D31" i="9"/>
  <c r="D30" i="9"/>
  <c r="D29" i="9"/>
  <c r="D28" i="9"/>
  <c r="D36" i="9" s="1"/>
  <c r="D60" i="9"/>
  <c r="D124" i="9" s="1"/>
  <c r="E46" i="9"/>
  <c r="E35" i="9"/>
  <c r="E56" i="9" s="1"/>
  <c r="E34" i="9"/>
  <c r="E33" i="9"/>
  <c r="E32" i="9"/>
  <c r="E31" i="9"/>
  <c r="E30" i="9"/>
  <c r="E29" i="9"/>
  <c r="E28" i="9"/>
  <c r="E60" i="9"/>
  <c r="E124" i="9" s="1"/>
  <c r="G23" i="5"/>
  <c r="G25" i="5" s="1"/>
  <c r="D59" i="8"/>
  <c r="D57" i="8"/>
  <c r="D54" i="8"/>
  <c r="D24" i="8"/>
  <c r="D23" i="8"/>
  <c r="D25" i="8" s="1"/>
  <c r="D55" i="8"/>
  <c r="D58" i="8"/>
  <c r="C59" i="8"/>
  <c r="C57" i="8"/>
  <c r="C54" i="8"/>
  <c r="C24" i="8"/>
  <c r="C23" i="8"/>
  <c r="C25" i="8" s="1"/>
  <c r="C55" i="8"/>
  <c r="C58" i="8"/>
  <c r="C122" i="6"/>
  <c r="C59" i="6"/>
  <c r="C57" i="6"/>
  <c r="C54" i="6"/>
  <c r="C24" i="6"/>
  <c r="C23" i="6"/>
  <c r="C25" i="6" s="1"/>
  <c r="C55" i="6"/>
  <c r="C58" i="6"/>
  <c r="D127" i="5"/>
  <c r="D59" i="5"/>
  <c r="D57" i="5"/>
  <c r="D54" i="5"/>
  <c r="D24" i="5"/>
  <c r="D23" i="5"/>
  <c r="D25" i="5" s="1"/>
  <c r="D55" i="5"/>
  <c r="D58" i="5"/>
  <c r="C127" i="5"/>
  <c r="C59" i="5"/>
  <c r="C57" i="5"/>
  <c r="C54" i="5"/>
  <c r="C24" i="5"/>
  <c r="C23" i="5"/>
  <c r="C25" i="5" s="1"/>
  <c r="C55" i="5"/>
  <c r="C58" i="5"/>
  <c r="F59" i="11"/>
  <c r="F57" i="11"/>
  <c r="F54" i="11"/>
  <c r="F24" i="11"/>
  <c r="F23" i="11"/>
  <c r="F25" i="11" s="1"/>
  <c r="F55" i="11"/>
  <c r="F58" i="11"/>
  <c r="E59" i="11"/>
  <c r="E57" i="11"/>
  <c r="E54" i="11"/>
  <c r="E24" i="11"/>
  <c r="E23" i="11"/>
  <c r="E25" i="11" s="1"/>
  <c r="E55" i="11"/>
  <c r="E58" i="11"/>
  <c r="F59" i="8"/>
  <c r="F57" i="8"/>
  <c r="F54" i="8"/>
  <c r="F24" i="8"/>
  <c r="F23" i="8"/>
  <c r="F25" i="8" s="1"/>
  <c r="F55" i="8"/>
  <c r="F58" i="8"/>
  <c r="E59" i="8"/>
  <c r="E57" i="8"/>
  <c r="E54" i="8"/>
  <c r="E24" i="8"/>
  <c r="E23" i="8"/>
  <c r="E25" i="8" s="1"/>
  <c r="E55" i="8"/>
  <c r="E58" i="8"/>
  <c r="D122" i="6"/>
  <c r="D59" i="6"/>
  <c r="D57" i="6"/>
  <c r="D54" i="6"/>
  <c r="D24" i="6"/>
  <c r="D23" i="6"/>
  <c r="D25" i="6" s="1"/>
  <c r="D55" i="6"/>
  <c r="D58" i="6"/>
  <c r="F127" i="5"/>
  <c r="F59" i="5"/>
  <c r="F57" i="5"/>
  <c r="F54" i="5"/>
  <c r="F24" i="5"/>
  <c r="F23" i="5"/>
  <c r="F25" i="5" s="1"/>
  <c r="F55" i="5"/>
  <c r="F58" i="5"/>
  <c r="E127" i="5"/>
  <c r="E59" i="5"/>
  <c r="E57" i="5"/>
  <c r="E54" i="5"/>
  <c r="E24" i="5"/>
  <c r="E23" i="5"/>
  <c r="E25" i="5" s="1"/>
  <c r="E55" i="5"/>
  <c r="E58" i="5"/>
  <c r="G46" i="11"/>
  <c r="G35" i="11"/>
  <c r="G56" i="11" s="1"/>
  <c r="G34" i="11"/>
  <c r="G33" i="11"/>
  <c r="G32" i="11"/>
  <c r="G31" i="11"/>
  <c r="G30" i="11"/>
  <c r="G29" i="11"/>
  <c r="G28" i="11"/>
  <c r="G36" i="11" s="1"/>
  <c r="G60" i="11"/>
  <c r="G129" i="11" s="1"/>
  <c r="G46" i="8"/>
  <c r="G35" i="8"/>
  <c r="G56" i="8" s="1"/>
  <c r="G34" i="8"/>
  <c r="G33" i="8"/>
  <c r="G32" i="8"/>
  <c r="G31" i="8"/>
  <c r="G30" i="8"/>
  <c r="G29" i="8"/>
  <c r="G28" i="8"/>
  <c r="G36" i="8" s="1"/>
  <c r="G60" i="8"/>
  <c r="G129" i="8" s="1"/>
  <c r="E46" i="6"/>
  <c r="E35" i="6"/>
  <c r="E56" i="6" s="1"/>
  <c r="E34" i="6"/>
  <c r="E33" i="6"/>
  <c r="E32" i="6"/>
  <c r="E31" i="6"/>
  <c r="E30" i="6"/>
  <c r="E29" i="6"/>
  <c r="E28" i="6"/>
  <c r="E36" i="6" s="1"/>
  <c r="E60" i="6"/>
  <c r="E124" i="6" s="1"/>
  <c r="G46" i="5"/>
  <c r="G35" i="5"/>
  <c r="G56" i="5" s="1"/>
  <c r="G34" i="5"/>
  <c r="G33" i="5"/>
  <c r="G32" i="5"/>
  <c r="G31" i="5"/>
  <c r="G30" i="5"/>
  <c r="G29" i="5"/>
  <c r="G28" i="5"/>
  <c r="G36" i="5" s="1"/>
  <c r="G60" i="5"/>
  <c r="G129" i="5" s="1"/>
  <c r="I127" i="5"/>
  <c r="I59" i="5"/>
  <c r="I57" i="5"/>
  <c r="I54" i="5"/>
  <c r="I24" i="5"/>
  <c r="I23" i="5"/>
  <c r="I25" i="5" s="1"/>
  <c r="I55" i="5"/>
  <c r="I58" i="5"/>
  <c r="I59" i="8"/>
  <c r="I57" i="8"/>
  <c r="I54" i="8"/>
  <c r="I24" i="8"/>
  <c r="I23" i="8"/>
  <c r="I25" i="8" s="1"/>
  <c r="I55" i="8"/>
  <c r="I58" i="8"/>
  <c r="I59" i="11"/>
  <c r="I57" i="11"/>
  <c r="I54" i="11"/>
  <c r="I24" i="11"/>
  <c r="I23" i="11"/>
  <c r="I25" i="11" s="1"/>
  <c r="I55" i="11"/>
  <c r="I58" i="11"/>
  <c r="I38" i="5"/>
  <c r="I44" i="5" s="1"/>
  <c r="I48" i="5" s="1"/>
  <c r="H38" i="5"/>
  <c r="H44" i="5" s="1"/>
  <c r="H48" i="5" s="1"/>
  <c r="G38" i="5"/>
  <c r="G44" i="5" s="1"/>
  <c r="G48" i="5" s="1"/>
  <c r="F38" i="5"/>
  <c r="F44" i="5" s="1"/>
  <c r="F48" i="5" s="1"/>
  <c r="E38" i="5"/>
  <c r="E44" i="5" s="1"/>
  <c r="E48" i="5" s="1"/>
  <c r="D38" i="5"/>
  <c r="D44" i="5" s="1"/>
  <c r="D48" i="5" s="1"/>
  <c r="C38" i="5"/>
  <c r="C44" i="5" s="1"/>
  <c r="C48" i="5" s="1"/>
  <c r="E38" i="6"/>
  <c r="E44" i="6" s="1"/>
  <c r="E48" i="6" s="1"/>
  <c r="D38" i="6"/>
  <c r="D44" i="6" s="1"/>
  <c r="D48" i="6" s="1"/>
  <c r="C38" i="6"/>
  <c r="C44" i="6" s="1"/>
  <c r="C48" i="6" s="1"/>
  <c r="I38" i="8"/>
  <c r="I44" i="8" s="1"/>
  <c r="I48" i="8" s="1"/>
  <c r="H38" i="8"/>
  <c r="H44" i="8" s="1"/>
  <c r="H48" i="8" s="1"/>
  <c r="G38" i="8"/>
  <c r="G44" i="8" s="1"/>
  <c r="G48" i="8" s="1"/>
  <c r="F38" i="8"/>
  <c r="F44" i="8" s="1"/>
  <c r="F48" i="8" s="1"/>
  <c r="E38" i="8"/>
  <c r="E44" i="8" s="1"/>
  <c r="E48" i="8" s="1"/>
  <c r="D38" i="8"/>
  <c r="D44" i="8" s="1"/>
  <c r="D48" i="8" s="1"/>
  <c r="C38" i="8"/>
  <c r="C44" i="8" s="1"/>
  <c r="C48" i="8" s="1"/>
  <c r="I38" i="11"/>
  <c r="I44" i="11" s="1"/>
  <c r="I48" i="11" s="1"/>
  <c r="H38" i="11"/>
  <c r="H44" i="11" s="1"/>
  <c r="H48" i="11" s="1"/>
  <c r="H49" i="11" s="1"/>
  <c r="H128" i="11" s="1"/>
  <c r="H88" i="11" s="1"/>
  <c r="G38" i="11"/>
  <c r="G44" i="11" s="1"/>
  <c r="G48" i="11" s="1"/>
  <c r="F38" i="11"/>
  <c r="F44" i="11" s="1"/>
  <c r="F48" i="11" s="1"/>
  <c r="E38" i="11"/>
  <c r="E44" i="11" s="1"/>
  <c r="E48" i="11" s="1"/>
  <c r="D38" i="11"/>
  <c r="D44" i="11" s="1"/>
  <c r="D48" i="11" s="1"/>
  <c r="C38" i="11"/>
  <c r="C44" i="11" s="1"/>
  <c r="C48" i="11" s="1"/>
  <c r="G86" i="11"/>
  <c r="F86" i="11"/>
  <c r="E86" i="11"/>
  <c r="D86" i="11"/>
  <c r="C86" i="11"/>
  <c r="G86" i="8"/>
  <c r="F86" i="8"/>
  <c r="E86" i="8"/>
  <c r="D86" i="8"/>
  <c r="C86" i="8"/>
  <c r="G86" i="5"/>
  <c r="F86" i="5"/>
  <c r="E86" i="5"/>
  <c r="D86" i="5"/>
  <c r="C86" i="5"/>
  <c r="E84" i="6"/>
  <c r="E88" i="6" s="1"/>
  <c r="E126" i="6" s="1"/>
  <c r="D84" i="6"/>
  <c r="D88" i="6" s="1"/>
  <c r="D126" i="6" s="1"/>
  <c r="C84" i="6"/>
  <c r="C88" i="6" s="1"/>
  <c r="C126" i="6" s="1"/>
  <c r="H84" i="5"/>
  <c r="G84" i="5"/>
  <c r="H84" i="11"/>
  <c r="G84" i="11"/>
  <c r="F84" i="11"/>
  <c r="E84" i="11"/>
  <c r="D84" i="11"/>
  <c r="C84" i="11"/>
  <c r="H84" i="8"/>
  <c r="G84" i="8"/>
  <c r="F84" i="8"/>
  <c r="E84" i="8"/>
  <c r="D84" i="8"/>
  <c r="C84" i="8"/>
  <c r="D87" i="11"/>
  <c r="C87" i="11"/>
  <c r="D87" i="8"/>
  <c r="C87" i="8"/>
  <c r="D87" i="5"/>
  <c r="C87" i="5"/>
  <c r="G87" i="11"/>
  <c r="F87" i="11"/>
  <c r="E87" i="11"/>
  <c r="G87" i="8"/>
  <c r="F87" i="8"/>
  <c r="E87" i="8"/>
  <c r="G87" i="5"/>
  <c r="F87" i="5"/>
  <c r="E87" i="5"/>
  <c r="N20" i="4"/>
  <c r="M20" i="4"/>
  <c r="L20" i="4"/>
  <c r="E20" i="4"/>
  <c r="F20" i="4"/>
  <c r="G20" i="4"/>
  <c r="H20" i="4"/>
  <c r="I20" i="4"/>
  <c r="J20" i="4"/>
  <c r="K20" i="4"/>
  <c r="D20" i="4"/>
  <c r="O20" i="4" s="1"/>
  <c r="H47" i="5"/>
  <c r="H74" i="5"/>
  <c r="H49" i="5"/>
  <c r="K20" i="7"/>
  <c r="O20" i="7" s="1"/>
  <c r="H47" i="8"/>
  <c r="H74" i="8"/>
  <c r="H49" i="8"/>
  <c r="H128" i="8" s="1"/>
  <c r="O16" i="10"/>
  <c r="H47" i="11"/>
  <c r="H74" i="11" l="1"/>
  <c r="H75" i="11" s="1"/>
  <c r="E36" i="12"/>
  <c r="E74" i="12" s="1"/>
  <c r="E79" i="12" s="1"/>
  <c r="C36" i="12"/>
  <c r="E36" i="9"/>
  <c r="C36" i="9"/>
  <c r="E47" i="12"/>
  <c r="E49" i="12" s="1"/>
  <c r="D47" i="12"/>
  <c r="D49" i="12" s="1"/>
  <c r="D74" i="12"/>
  <c r="D79" i="12" s="1"/>
  <c r="C47" i="12"/>
  <c r="C74" i="12"/>
  <c r="C79" i="12" s="1"/>
  <c r="C49" i="12"/>
  <c r="E47" i="9"/>
  <c r="E49" i="9" s="1"/>
  <c r="E74" i="9"/>
  <c r="E79" i="9" s="1"/>
  <c r="D47" i="9"/>
  <c r="D49" i="9" s="1"/>
  <c r="D74" i="9"/>
  <c r="D79" i="9" s="1"/>
  <c r="C47" i="9"/>
  <c r="C74" i="9"/>
  <c r="C79" i="9" s="1"/>
  <c r="C49" i="9"/>
  <c r="H64" i="11"/>
  <c r="H66" i="11"/>
  <c r="H67" i="11"/>
  <c r="H65" i="11"/>
  <c r="H79" i="11"/>
  <c r="N17" i="10"/>
  <c r="M17" i="10"/>
  <c r="L17" i="10"/>
  <c r="F17" i="10"/>
  <c r="G17" i="10"/>
  <c r="H17" i="10"/>
  <c r="I17" i="10"/>
  <c r="J17" i="10"/>
  <c r="K17" i="10"/>
  <c r="D17" i="10"/>
  <c r="E17" i="10"/>
  <c r="H64" i="8"/>
  <c r="H66" i="8"/>
  <c r="H67" i="8"/>
  <c r="H65" i="8"/>
  <c r="H79" i="8"/>
  <c r="H75" i="8"/>
  <c r="N21" i="7"/>
  <c r="M21" i="7"/>
  <c r="L21" i="7"/>
  <c r="F21" i="7"/>
  <c r="H21" i="7"/>
  <c r="I21" i="7"/>
  <c r="D21" i="7"/>
  <c r="G21" i="7"/>
  <c r="J21" i="7"/>
  <c r="E21" i="7"/>
  <c r="K21" i="7"/>
  <c r="H128" i="5"/>
  <c r="H64" i="5"/>
  <c r="H66" i="5"/>
  <c r="H67" i="5"/>
  <c r="H65" i="5"/>
  <c r="H79" i="5"/>
  <c r="H75" i="5"/>
  <c r="C91" i="8"/>
  <c r="C131" i="8" s="1"/>
  <c r="D91" i="8"/>
  <c r="D131" i="8" s="1"/>
  <c r="E91" i="8"/>
  <c r="E131" i="8" s="1"/>
  <c r="F91" i="8"/>
  <c r="F131" i="8" s="1"/>
  <c r="G91" i="8"/>
  <c r="G131" i="8" s="1"/>
  <c r="C91" i="11"/>
  <c r="C131" i="11" s="1"/>
  <c r="D91" i="11"/>
  <c r="D131" i="11" s="1"/>
  <c r="E91" i="11"/>
  <c r="E131" i="11" s="1"/>
  <c r="F91" i="11"/>
  <c r="F131" i="11" s="1"/>
  <c r="G91" i="11"/>
  <c r="G131" i="11" s="1"/>
  <c r="G91" i="5"/>
  <c r="G131" i="5" s="1"/>
  <c r="C91" i="5"/>
  <c r="C131" i="5" s="1"/>
  <c r="D91" i="5"/>
  <c r="D131" i="5" s="1"/>
  <c r="E91" i="5"/>
  <c r="E131" i="5" s="1"/>
  <c r="F91" i="5"/>
  <c r="F131" i="5" s="1"/>
  <c r="I46" i="11"/>
  <c r="I35" i="11"/>
  <c r="I56" i="11" s="1"/>
  <c r="I34" i="11"/>
  <c r="I33" i="11"/>
  <c r="I32" i="11"/>
  <c r="I31" i="11"/>
  <c r="I30" i="11"/>
  <c r="I29" i="11"/>
  <c r="I28" i="11"/>
  <c r="I36" i="11" s="1"/>
  <c r="I60" i="11"/>
  <c r="I129" i="11" s="1"/>
  <c r="I46" i="8"/>
  <c r="I35" i="8"/>
  <c r="I56" i="8" s="1"/>
  <c r="I34" i="8"/>
  <c r="I33" i="8"/>
  <c r="I32" i="8"/>
  <c r="I31" i="8"/>
  <c r="I30" i="8"/>
  <c r="I29" i="8"/>
  <c r="I28" i="8"/>
  <c r="I36" i="8" s="1"/>
  <c r="I60" i="8"/>
  <c r="I129" i="8" s="1"/>
  <c r="I46" i="5"/>
  <c r="I35" i="5"/>
  <c r="I56" i="5" s="1"/>
  <c r="I34" i="5"/>
  <c r="I33" i="5"/>
  <c r="I32" i="5"/>
  <c r="I31" i="5"/>
  <c r="I30" i="5"/>
  <c r="I29" i="5"/>
  <c r="I28" i="5"/>
  <c r="I36" i="5" s="1"/>
  <c r="I60" i="5"/>
  <c r="I129" i="5" s="1"/>
  <c r="G47" i="5"/>
  <c r="G74" i="5"/>
  <c r="G49" i="5"/>
  <c r="E47" i="6"/>
  <c r="E74" i="6"/>
  <c r="E79" i="6" s="1"/>
  <c r="E49" i="6"/>
  <c r="G47" i="8"/>
  <c r="G74" i="8"/>
  <c r="G49" i="8"/>
  <c r="G47" i="11"/>
  <c r="G74" i="11"/>
  <c r="G49" i="11"/>
  <c r="E46" i="5"/>
  <c r="E35" i="5"/>
  <c r="E56" i="5" s="1"/>
  <c r="E34" i="5"/>
  <c r="E33" i="5"/>
  <c r="E32" i="5"/>
  <c r="E31" i="5"/>
  <c r="E30" i="5"/>
  <c r="E29" i="5"/>
  <c r="E28" i="5"/>
  <c r="E36" i="5" s="1"/>
  <c r="E60" i="5"/>
  <c r="E129" i="5" s="1"/>
  <c r="F46" i="5"/>
  <c r="F35" i="5"/>
  <c r="F56" i="5" s="1"/>
  <c r="F34" i="5"/>
  <c r="F33" i="5"/>
  <c r="F32" i="5"/>
  <c r="F31" i="5"/>
  <c r="F30" i="5"/>
  <c r="F29" i="5"/>
  <c r="F28" i="5"/>
  <c r="F36" i="5" s="1"/>
  <c r="F60" i="5"/>
  <c r="F129" i="5" s="1"/>
  <c r="D46" i="6"/>
  <c r="D35" i="6"/>
  <c r="D56" i="6" s="1"/>
  <c r="D34" i="6"/>
  <c r="D33" i="6"/>
  <c r="D32" i="6"/>
  <c r="D31" i="6"/>
  <c r="D30" i="6"/>
  <c r="D29" i="6"/>
  <c r="D28" i="6"/>
  <c r="D36" i="6" s="1"/>
  <c r="D60" i="6"/>
  <c r="D124" i="6" s="1"/>
  <c r="E46" i="8"/>
  <c r="E35" i="8"/>
  <c r="E56" i="8" s="1"/>
  <c r="E34" i="8"/>
  <c r="E33" i="8"/>
  <c r="E32" i="8"/>
  <c r="E31" i="8"/>
  <c r="E30" i="8"/>
  <c r="E29" i="8"/>
  <c r="E28" i="8"/>
  <c r="E36" i="8" s="1"/>
  <c r="E60" i="8"/>
  <c r="E129" i="8" s="1"/>
  <c r="F46" i="8"/>
  <c r="F35" i="8"/>
  <c r="F56" i="8" s="1"/>
  <c r="F34" i="8"/>
  <c r="F33" i="8"/>
  <c r="F32" i="8"/>
  <c r="F31" i="8"/>
  <c r="F30" i="8"/>
  <c r="F29" i="8"/>
  <c r="F28" i="8"/>
  <c r="F36" i="8" s="1"/>
  <c r="F60" i="8"/>
  <c r="F129" i="8" s="1"/>
  <c r="E46" i="11"/>
  <c r="E35" i="11"/>
  <c r="E56" i="11" s="1"/>
  <c r="E34" i="11"/>
  <c r="E33" i="11"/>
  <c r="E32" i="11"/>
  <c r="E31" i="11"/>
  <c r="E30" i="11"/>
  <c r="E29" i="11"/>
  <c r="E28" i="11"/>
  <c r="E36" i="11" s="1"/>
  <c r="E60" i="11"/>
  <c r="E129" i="11" s="1"/>
  <c r="F46" i="11"/>
  <c r="F35" i="11"/>
  <c r="F56" i="11" s="1"/>
  <c r="F34" i="11"/>
  <c r="F33" i="11"/>
  <c r="F32" i="11"/>
  <c r="F31" i="11"/>
  <c r="F30" i="11"/>
  <c r="F29" i="11"/>
  <c r="F28" i="11"/>
  <c r="F36" i="11" s="1"/>
  <c r="F60" i="11"/>
  <c r="F129" i="11" s="1"/>
  <c r="C46" i="5"/>
  <c r="C35" i="5"/>
  <c r="C56" i="5" s="1"/>
  <c r="C34" i="5"/>
  <c r="C33" i="5"/>
  <c r="C32" i="5"/>
  <c r="C31" i="5"/>
  <c r="C30" i="5"/>
  <c r="C29" i="5"/>
  <c r="C28" i="5"/>
  <c r="C36" i="5" s="1"/>
  <c r="C60" i="5"/>
  <c r="C129" i="5" s="1"/>
  <c r="D46" i="5"/>
  <c r="D35" i="5"/>
  <c r="D56" i="5" s="1"/>
  <c r="D34" i="5"/>
  <c r="D33" i="5"/>
  <c r="D32" i="5"/>
  <c r="D31" i="5"/>
  <c r="D30" i="5"/>
  <c r="D29" i="5"/>
  <c r="D28" i="5"/>
  <c r="D36" i="5" s="1"/>
  <c r="D60" i="5"/>
  <c r="D129" i="5" s="1"/>
  <c r="C46" i="6"/>
  <c r="C35" i="6"/>
  <c r="C56" i="6" s="1"/>
  <c r="C34" i="6"/>
  <c r="C33" i="6"/>
  <c r="C32" i="6"/>
  <c r="C31" i="6"/>
  <c r="C30" i="6"/>
  <c r="C29" i="6"/>
  <c r="C28" i="6"/>
  <c r="C36" i="6" s="1"/>
  <c r="C60" i="6"/>
  <c r="C124" i="6" s="1"/>
  <c r="C46" i="8"/>
  <c r="C35" i="8"/>
  <c r="C56" i="8" s="1"/>
  <c r="C34" i="8"/>
  <c r="C33" i="8"/>
  <c r="C32" i="8"/>
  <c r="C31" i="8"/>
  <c r="C30" i="8"/>
  <c r="C29" i="8"/>
  <c r="C28" i="8"/>
  <c r="C36" i="8" s="1"/>
  <c r="C60" i="8"/>
  <c r="C129" i="8" s="1"/>
  <c r="D46" i="8"/>
  <c r="D35" i="8"/>
  <c r="D56" i="8" s="1"/>
  <c r="D34" i="8"/>
  <c r="D33" i="8"/>
  <c r="D32" i="8"/>
  <c r="D31" i="8"/>
  <c r="D30" i="8"/>
  <c r="D29" i="8"/>
  <c r="D28" i="8"/>
  <c r="D36" i="8" s="1"/>
  <c r="D60" i="8"/>
  <c r="D129" i="8" s="1"/>
  <c r="G128" i="11" l="1"/>
  <c r="G128" i="8"/>
  <c r="C123" i="12"/>
  <c r="C64" i="12"/>
  <c r="C65" i="12"/>
  <c r="C66" i="12"/>
  <c r="C67" i="12"/>
  <c r="D123" i="12"/>
  <c r="D64" i="12"/>
  <c r="D65" i="12"/>
  <c r="D66" i="12"/>
  <c r="D67" i="12"/>
  <c r="E123" i="12"/>
  <c r="E64" i="12"/>
  <c r="E65" i="12"/>
  <c r="E66" i="12"/>
  <c r="E67" i="12"/>
  <c r="C123" i="9"/>
  <c r="C64" i="9"/>
  <c r="C65" i="9"/>
  <c r="C66" i="9"/>
  <c r="C67" i="9"/>
  <c r="D123" i="9"/>
  <c r="D64" i="9"/>
  <c r="D65" i="9"/>
  <c r="D66" i="9"/>
  <c r="D67" i="9"/>
  <c r="E123" i="9"/>
  <c r="E64" i="9"/>
  <c r="E65" i="9"/>
  <c r="E66" i="9"/>
  <c r="E67" i="9"/>
  <c r="D47" i="8"/>
  <c r="D74" i="8"/>
  <c r="D49" i="8"/>
  <c r="C47" i="8"/>
  <c r="C74" i="8"/>
  <c r="C49" i="8"/>
  <c r="C47" i="6"/>
  <c r="C74" i="6"/>
  <c r="C79" i="6" s="1"/>
  <c r="C49" i="6"/>
  <c r="D47" i="5"/>
  <c r="D74" i="5"/>
  <c r="D49" i="5"/>
  <c r="C47" i="5"/>
  <c r="C74" i="5"/>
  <c r="C49" i="5"/>
  <c r="F47" i="11"/>
  <c r="F74" i="11"/>
  <c r="F49" i="11"/>
  <c r="E47" i="11"/>
  <c r="E74" i="11"/>
  <c r="E49" i="11"/>
  <c r="F47" i="8"/>
  <c r="F74" i="8"/>
  <c r="F49" i="8"/>
  <c r="E47" i="8"/>
  <c r="E74" i="8"/>
  <c r="E49" i="8"/>
  <c r="D47" i="6"/>
  <c r="D74" i="6"/>
  <c r="D79" i="6" s="1"/>
  <c r="D49" i="6"/>
  <c r="F47" i="5"/>
  <c r="F74" i="5"/>
  <c r="F49" i="5"/>
  <c r="E47" i="5"/>
  <c r="E74" i="5"/>
  <c r="E49" i="5"/>
  <c r="G64" i="11"/>
  <c r="G66" i="11"/>
  <c r="G67" i="11"/>
  <c r="G65" i="11"/>
  <c r="G79" i="11"/>
  <c r="G75" i="11"/>
  <c r="G64" i="8"/>
  <c r="G66" i="8"/>
  <c r="G67" i="8"/>
  <c r="G65" i="8"/>
  <c r="G79" i="8"/>
  <c r="G75" i="8"/>
  <c r="E123" i="6"/>
  <c r="E64" i="6"/>
  <c r="E66" i="6"/>
  <c r="E67" i="6"/>
  <c r="E65" i="6"/>
  <c r="G128" i="5"/>
  <c r="G64" i="5"/>
  <c r="G66" i="5"/>
  <c r="G67" i="5"/>
  <c r="G65" i="5"/>
  <c r="G79" i="5"/>
  <c r="G75" i="5"/>
  <c r="I47" i="5"/>
  <c r="I74" i="5"/>
  <c r="I49" i="5"/>
  <c r="I47" i="8"/>
  <c r="I74" i="8"/>
  <c r="I49" i="8"/>
  <c r="I47" i="11"/>
  <c r="I74" i="11"/>
  <c r="I49" i="11"/>
  <c r="H69" i="5"/>
  <c r="H77" i="5" s="1"/>
  <c r="H80" i="5" s="1"/>
  <c r="H88" i="5"/>
  <c r="H91" i="5" s="1"/>
  <c r="H131" i="5" s="1"/>
  <c r="O21" i="7"/>
  <c r="H69" i="8"/>
  <c r="H77" i="8" s="1"/>
  <c r="H80" i="8" s="1"/>
  <c r="H130" i="8" s="1"/>
  <c r="H91" i="8"/>
  <c r="O17" i="10"/>
  <c r="H69" i="11"/>
  <c r="H77" i="11" s="1"/>
  <c r="H80" i="11" s="1"/>
  <c r="H130" i="11" s="1"/>
  <c r="H91" i="11"/>
  <c r="I128" i="11" l="1"/>
  <c r="E128" i="11"/>
  <c r="F128" i="11"/>
  <c r="I128" i="8"/>
  <c r="E128" i="8"/>
  <c r="F128" i="8"/>
  <c r="C128" i="8"/>
  <c r="D128" i="8"/>
  <c r="E69" i="12"/>
  <c r="E77" i="12" s="1"/>
  <c r="E80" i="12" s="1"/>
  <c r="D69" i="12"/>
  <c r="D77" i="12" s="1"/>
  <c r="D80" i="12" s="1"/>
  <c r="C69" i="12"/>
  <c r="C77" i="12" s="1"/>
  <c r="C80" i="12" s="1"/>
  <c r="E69" i="9"/>
  <c r="E77" i="9" s="1"/>
  <c r="E80" i="9" s="1"/>
  <c r="D69" i="9"/>
  <c r="D77" i="9" s="1"/>
  <c r="D80" i="9" s="1"/>
  <c r="C69" i="9"/>
  <c r="C77" i="9" s="1"/>
  <c r="C80" i="9" s="1"/>
  <c r="H131" i="11"/>
  <c r="H132" i="11" s="1"/>
  <c r="H95" i="11"/>
  <c r="H131" i="8"/>
  <c r="H132" i="8" s="1"/>
  <c r="H95" i="8"/>
  <c r="H130" i="5"/>
  <c r="H132" i="5" s="1"/>
  <c r="H95" i="5"/>
  <c r="I64" i="11"/>
  <c r="I66" i="11"/>
  <c r="I67" i="11"/>
  <c r="I65" i="11"/>
  <c r="I79" i="11"/>
  <c r="I75" i="11"/>
  <c r="I64" i="8"/>
  <c r="I66" i="8"/>
  <c r="I67" i="8"/>
  <c r="I65" i="8"/>
  <c r="I79" i="8"/>
  <c r="I75" i="8"/>
  <c r="I128" i="5"/>
  <c r="I64" i="5"/>
  <c r="I66" i="5"/>
  <c r="I67" i="5"/>
  <c r="I65" i="5"/>
  <c r="I79" i="5"/>
  <c r="I75" i="5"/>
  <c r="G69" i="5"/>
  <c r="G77" i="5" s="1"/>
  <c r="G80" i="5" s="1"/>
  <c r="E69" i="6"/>
  <c r="E77" i="6" s="1"/>
  <c r="E80" i="6" s="1"/>
  <c r="G69" i="8"/>
  <c r="G77" i="8" s="1"/>
  <c r="G80" i="8" s="1"/>
  <c r="G69" i="11"/>
  <c r="G77" i="11" s="1"/>
  <c r="G80" i="11" s="1"/>
  <c r="E128" i="5"/>
  <c r="E64" i="5"/>
  <c r="E66" i="5"/>
  <c r="E67" i="5"/>
  <c r="E65" i="5"/>
  <c r="E79" i="5"/>
  <c r="E75" i="5"/>
  <c r="F128" i="5"/>
  <c r="F64" i="5"/>
  <c r="F66" i="5"/>
  <c r="F67" i="5"/>
  <c r="F65" i="5"/>
  <c r="F79" i="5"/>
  <c r="F75" i="5"/>
  <c r="D123" i="6"/>
  <c r="D64" i="6"/>
  <c r="D66" i="6"/>
  <c r="D67" i="6"/>
  <c r="D65" i="6"/>
  <c r="E64" i="8"/>
  <c r="E66" i="8"/>
  <c r="E67" i="8"/>
  <c r="E65" i="8"/>
  <c r="E79" i="8"/>
  <c r="E75" i="8"/>
  <c r="F64" i="8"/>
  <c r="F66" i="8"/>
  <c r="F67" i="8"/>
  <c r="F65" i="8"/>
  <c r="F79" i="8"/>
  <c r="F75" i="8"/>
  <c r="E64" i="11"/>
  <c r="E66" i="11"/>
  <c r="E67" i="11"/>
  <c r="E65" i="11"/>
  <c r="E79" i="11"/>
  <c r="E75" i="11"/>
  <c r="F64" i="11"/>
  <c r="F66" i="11"/>
  <c r="F67" i="11"/>
  <c r="F65" i="11"/>
  <c r="F79" i="11"/>
  <c r="F75" i="11"/>
  <c r="C128" i="5"/>
  <c r="C64" i="5"/>
  <c r="C66" i="5"/>
  <c r="C67" i="5"/>
  <c r="C65" i="5"/>
  <c r="C79" i="5"/>
  <c r="C75" i="5"/>
  <c r="D128" i="5"/>
  <c r="D64" i="5"/>
  <c r="D66" i="5"/>
  <c r="D67" i="5"/>
  <c r="D65" i="5"/>
  <c r="D79" i="5"/>
  <c r="D75" i="5"/>
  <c r="C123" i="6"/>
  <c r="C64" i="6"/>
  <c r="C66" i="6"/>
  <c r="C67" i="6"/>
  <c r="C65" i="6"/>
  <c r="C64" i="8"/>
  <c r="C66" i="8"/>
  <c r="C67" i="8"/>
  <c r="C65" i="8"/>
  <c r="C79" i="8"/>
  <c r="C75" i="8"/>
  <c r="D64" i="8"/>
  <c r="D66" i="8"/>
  <c r="D67" i="8"/>
  <c r="D65" i="8"/>
  <c r="D79" i="8"/>
  <c r="D75" i="8"/>
  <c r="G130" i="11" l="1"/>
  <c r="G132" i="11" s="1"/>
  <c r="G95" i="11"/>
  <c r="G96" i="11" s="1"/>
  <c r="G130" i="8"/>
  <c r="G132" i="8" s="1"/>
  <c r="G95" i="8"/>
  <c r="G96" i="8"/>
  <c r="G114" i="8"/>
  <c r="G113" i="8"/>
  <c r="G112" i="8"/>
  <c r="G120" i="8" s="1"/>
  <c r="G138" i="8" s="1"/>
  <c r="G144" i="8" s="1"/>
  <c r="G111" i="8"/>
  <c r="G110" i="8"/>
  <c r="G109" i="8"/>
  <c r="G119" i="8" s="1"/>
  <c r="G137" i="8" s="1"/>
  <c r="G143" i="8" s="1"/>
  <c r="G108" i="8"/>
  <c r="G107" i="8"/>
  <c r="G106" i="8"/>
  <c r="G118" i="8" s="1"/>
  <c r="G136" i="8" s="1"/>
  <c r="G142" i="8" s="1"/>
  <c r="G105" i="8"/>
  <c r="G104" i="8"/>
  <c r="G103" i="8"/>
  <c r="G117" i="8" s="1"/>
  <c r="G135" i="8" s="1"/>
  <c r="G141" i="8" s="1"/>
  <c r="G102" i="8"/>
  <c r="G101" i="8"/>
  <c r="G100" i="8"/>
  <c r="G116" i="8" s="1"/>
  <c r="G134" i="8" s="1"/>
  <c r="G140" i="8" s="1"/>
  <c r="G99" i="8"/>
  <c r="G98" i="8"/>
  <c r="G97" i="8"/>
  <c r="G115" i="8" s="1"/>
  <c r="G133" i="8" s="1"/>
  <c r="G139" i="8" s="1"/>
  <c r="C125" i="12"/>
  <c r="C127" i="12" s="1"/>
  <c r="C92" i="12"/>
  <c r="D125" i="12"/>
  <c r="D127" i="12" s="1"/>
  <c r="D92" i="12"/>
  <c r="E125" i="12"/>
  <c r="E127" i="12" s="1"/>
  <c r="E92" i="12"/>
  <c r="C125" i="9"/>
  <c r="C127" i="9" s="1"/>
  <c r="C92" i="9"/>
  <c r="D125" i="9"/>
  <c r="D127" i="9" s="1"/>
  <c r="D92" i="9"/>
  <c r="E125" i="9"/>
  <c r="E127" i="9" s="1"/>
  <c r="E92" i="9"/>
  <c r="H96" i="11"/>
  <c r="H96" i="8"/>
  <c r="D69" i="8"/>
  <c r="D77" i="8" s="1"/>
  <c r="D80" i="8" s="1"/>
  <c r="C69" i="8"/>
  <c r="C77" i="8" s="1"/>
  <c r="C80" i="8" s="1"/>
  <c r="C69" i="6"/>
  <c r="C77" i="6" s="1"/>
  <c r="C80" i="6" s="1"/>
  <c r="D69" i="5"/>
  <c r="D77" i="5" s="1"/>
  <c r="D80" i="5" s="1"/>
  <c r="C69" i="5"/>
  <c r="C77" i="5" s="1"/>
  <c r="C80" i="5" s="1"/>
  <c r="F69" i="11"/>
  <c r="F77" i="11" s="1"/>
  <c r="F80" i="11" s="1"/>
  <c r="E69" i="11"/>
  <c r="E77" i="11" s="1"/>
  <c r="E80" i="11" s="1"/>
  <c r="F69" i="8"/>
  <c r="F77" i="8" s="1"/>
  <c r="F80" i="8" s="1"/>
  <c r="E69" i="8"/>
  <c r="E77" i="8" s="1"/>
  <c r="E80" i="8" s="1"/>
  <c r="D69" i="6"/>
  <c r="D77" i="6" s="1"/>
  <c r="D80" i="6" s="1"/>
  <c r="F69" i="5"/>
  <c r="F77" i="5" s="1"/>
  <c r="F80" i="5" s="1"/>
  <c r="E69" i="5"/>
  <c r="E77" i="5" s="1"/>
  <c r="E80" i="5" s="1"/>
  <c r="E125" i="6"/>
  <c r="E127" i="6" s="1"/>
  <c r="E92" i="6"/>
  <c r="G130" i="5"/>
  <c r="G132" i="5" s="1"/>
  <c r="G95" i="5"/>
  <c r="I69" i="5"/>
  <c r="I69" i="8"/>
  <c r="I130" i="8" s="1"/>
  <c r="I132" i="8" s="1"/>
  <c r="I69" i="11"/>
  <c r="I130" i="11" s="1"/>
  <c r="I132" i="11" s="1"/>
  <c r="H96" i="5"/>
  <c r="G112" i="11" l="1"/>
  <c r="G120" i="11" s="1"/>
  <c r="G138" i="11" s="1"/>
  <c r="G144" i="11" s="1"/>
  <c r="G108" i="11"/>
  <c r="G104" i="11"/>
  <c r="G100" i="11"/>
  <c r="G116" i="11" s="1"/>
  <c r="G134" i="11" s="1"/>
  <c r="G140" i="11" s="1"/>
  <c r="G97" i="11"/>
  <c r="G115" i="11" s="1"/>
  <c r="G133" i="11" s="1"/>
  <c r="G139" i="11" s="1"/>
  <c r="G101" i="11"/>
  <c r="G105" i="11"/>
  <c r="G109" i="11"/>
  <c r="G119" i="11" s="1"/>
  <c r="G137" i="11" s="1"/>
  <c r="G143" i="11" s="1"/>
  <c r="G113" i="11"/>
  <c r="G98" i="11"/>
  <c r="G102" i="11"/>
  <c r="G106" i="11"/>
  <c r="G118" i="11" s="1"/>
  <c r="G136" i="11" s="1"/>
  <c r="G142" i="11" s="1"/>
  <c r="G110" i="11"/>
  <c r="G114" i="11"/>
  <c r="G99" i="11"/>
  <c r="G103" i="11"/>
  <c r="G117" i="11" s="1"/>
  <c r="G135" i="11" s="1"/>
  <c r="G141" i="11" s="1"/>
  <c r="G107" i="11"/>
  <c r="G111" i="11"/>
  <c r="E130" i="11"/>
  <c r="E132" i="11" s="1"/>
  <c r="E95" i="11"/>
  <c r="E96" i="11" s="1"/>
  <c r="F130" i="11"/>
  <c r="F132" i="11" s="1"/>
  <c r="F95" i="11"/>
  <c r="F114" i="11" s="1"/>
  <c r="F96" i="11"/>
  <c r="F112" i="11" s="1"/>
  <c r="F120" i="11" s="1"/>
  <c r="F138" i="11" s="1"/>
  <c r="F144" i="11" s="1"/>
  <c r="F111" i="11"/>
  <c r="F107" i="11"/>
  <c r="F103" i="11"/>
  <c r="F117" i="11" s="1"/>
  <c r="F135" i="11" s="1"/>
  <c r="F141" i="11" s="1"/>
  <c r="F99" i="11"/>
  <c r="E130" i="8"/>
  <c r="E132" i="8" s="1"/>
  <c r="E95" i="8"/>
  <c r="E96" i="8"/>
  <c r="E114" i="8"/>
  <c r="E113" i="8"/>
  <c r="E112" i="8"/>
  <c r="E120" i="8" s="1"/>
  <c r="E138" i="8" s="1"/>
  <c r="E144" i="8" s="1"/>
  <c r="E111" i="8"/>
  <c r="E110" i="8"/>
  <c r="E109" i="8"/>
  <c r="E119" i="8" s="1"/>
  <c r="E137" i="8" s="1"/>
  <c r="E143" i="8" s="1"/>
  <c r="E108" i="8"/>
  <c r="E107" i="8"/>
  <c r="E106" i="8"/>
  <c r="E118" i="8" s="1"/>
  <c r="E136" i="8" s="1"/>
  <c r="E142" i="8" s="1"/>
  <c r="E105" i="8"/>
  <c r="E104" i="8"/>
  <c r="E103" i="8"/>
  <c r="E117" i="8" s="1"/>
  <c r="E135" i="8" s="1"/>
  <c r="E141" i="8" s="1"/>
  <c r="E102" i="8"/>
  <c r="E101" i="8"/>
  <c r="E100" i="8"/>
  <c r="E116" i="8" s="1"/>
  <c r="E134" i="8" s="1"/>
  <c r="E140" i="8" s="1"/>
  <c r="E99" i="8"/>
  <c r="E98" i="8"/>
  <c r="E97" i="8"/>
  <c r="E115" i="8" s="1"/>
  <c r="E133" i="8" s="1"/>
  <c r="E139" i="8" s="1"/>
  <c r="F130" i="8"/>
  <c r="F132" i="8" s="1"/>
  <c r="F95" i="8"/>
  <c r="F96" i="8"/>
  <c r="F114" i="8"/>
  <c r="F113" i="8"/>
  <c r="F112" i="8"/>
  <c r="F120" i="8" s="1"/>
  <c r="F138" i="8" s="1"/>
  <c r="F144" i="8" s="1"/>
  <c r="F111" i="8"/>
  <c r="F110" i="8"/>
  <c r="F109" i="8"/>
  <c r="F119" i="8" s="1"/>
  <c r="F137" i="8" s="1"/>
  <c r="F143" i="8" s="1"/>
  <c r="F108" i="8"/>
  <c r="F107" i="8"/>
  <c r="F106" i="8"/>
  <c r="F118" i="8" s="1"/>
  <c r="F136" i="8" s="1"/>
  <c r="F142" i="8" s="1"/>
  <c r="F105" i="8"/>
  <c r="F104" i="8"/>
  <c r="F103" i="8"/>
  <c r="F117" i="8" s="1"/>
  <c r="F135" i="8" s="1"/>
  <c r="F141" i="8" s="1"/>
  <c r="F102" i="8"/>
  <c r="F101" i="8"/>
  <c r="F100" i="8"/>
  <c r="F116" i="8" s="1"/>
  <c r="F134" i="8" s="1"/>
  <c r="F140" i="8" s="1"/>
  <c r="F99" i="8"/>
  <c r="F98" i="8"/>
  <c r="F97" i="8"/>
  <c r="F115" i="8" s="1"/>
  <c r="F133" i="8" s="1"/>
  <c r="F139" i="8" s="1"/>
  <c r="C130" i="8"/>
  <c r="C132" i="8" s="1"/>
  <c r="C95" i="8"/>
  <c r="C96" i="8"/>
  <c r="C114" i="8"/>
  <c r="C113" i="8"/>
  <c r="C112" i="8"/>
  <c r="C120" i="8" s="1"/>
  <c r="C138" i="8" s="1"/>
  <c r="C144" i="8" s="1"/>
  <c r="C111" i="8"/>
  <c r="C110" i="8"/>
  <c r="C109" i="8"/>
  <c r="C119" i="8" s="1"/>
  <c r="C137" i="8" s="1"/>
  <c r="C143" i="8" s="1"/>
  <c r="C108" i="8"/>
  <c r="C107" i="8"/>
  <c r="C106" i="8"/>
  <c r="C118" i="8" s="1"/>
  <c r="C136" i="8" s="1"/>
  <c r="C142" i="8" s="1"/>
  <c r="I160" i="8" s="1"/>
  <c r="J160" i="8" s="1"/>
  <c r="C105" i="8"/>
  <c r="C104" i="8"/>
  <c r="C103" i="8"/>
  <c r="C117" i="8" s="1"/>
  <c r="C135" i="8" s="1"/>
  <c r="C141" i="8" s="1"/>
  <c r="C102" i="8"/>
  <c r="C101" i="8"/>
  <c r="C100" i="8"/>
  <c r="C116" i="8" s="1"/>
  <c r="C134" i="8" s="1"/>
  <c r="C140" i="8" s="1"/>
  <c r="C99" i="8"/>
  <c r="C98" i="8"/>
  <c r="C97" i="8"/>
  <c r="C115" i="8" s="1"/>
  <c r="C133" i="8" s="1"/>
  <c r="C139" i="8" s="1"/>
  <c r="D130" i="8"/>
  <c r="D132" i="8" s="1"/>
  <c r="D95" i="8"/>
  <c r="D96" i="8"/>
  <c r="D114" i="8"/>
  <c r="D113" i="8"/>
  <c r="D112" i="8"/>
  <c r="D120" i="8" s="1"/>
  <c r="D138" i="8" s="1"/>
  <c r="D144" i="8" s="1"/>
  <c r="D111" i="8"/>
  <c r="D110" i="8"/>
  <c r="D109" i="8"/>
  <c r="D119" i="8" s="1"/>
  <c r="D137" i="8" s="1"/>
  <c r="D143" i="8" s="1"/>
  <c r="D108" i="8"/>
  <c r="D107" i="8"/>
  <c r="D106" i="8"/>
  <c r="D118" i="8" s="1"/>
  <c r="D136" i="8" s="1"/>
  <c r="D142" i="8" s="1"/>
  <c r="D105" i="8"/>
  <c r="D104" i="8"/>
  <c r="D103" i="8"/>
  <c r="D117" i="8" s="1"/>
  <c r="D135" i="8" s="1"/>
  <c r="D141" i="8" s="1"/>
  <c r="D102" i="8"/>
  <c r="D101" i="8"/>
  <c r="D100" i="8"/>
  <c r="D116" i="8" s="1"/>
  <c r="D134" i="8" s="1"/>
  <c r="D140" i="8" s="1"/>
  <c r="D99" i="8"/>
  <c r="D98" i="8"/>
  <c r="D97" i="8"/>
  <c r="D115" i="8" s="1"/>
  <c r="D133" i="8" s="1"/>
  <c r="D139" i="8" s="1"/>
  <c r="E93" i="12"/>
  <c r="D93" i="12"/>
  <c r="C93" i="12"/>
  <c r="E93" i="9"/>
  <c r="D93" i="9"/>
  <c r="C93" i="9"/>
  <c r="H114" i="11"/>
  <c r="H113" i="11"/>
  <c r="H112" i="11"/>
  <c r="H120" i="11" s="1"/>
  <c r="H138" i="11" s="1"/>
  <c r="H144" i="11" s="1"/>
  <c r="M196" i="11" s="1"/>
  <c r="N196" i="11" s="1"/>
  <c r="H111" i="11"/>
  <c r="H110" i="11"/>
  <c r="H109" i="11"/>
  <c r="H119" i="11" s="1"/>
  <c r="H137" i="11" s="1"/>
  <c r="H143" i="11" s="1"/>
  <c r="K196" i="11" s="1"/>
  <c r="L196" i="11" s="1"/>
  <c r="H108" i="11"/>
  <c r="H107" i="11"/>
  <c r="H106" i="11"/>
  <c r="H118" i="11" s="1"/>
  <c r="H136" i="11" s="1"/>
  <c r="H142" i="11" s="1"/>
  <c r="I196" i="11" s="1"/>
  <c r="J196" i="11" s="1"/>
  <c r="H105" i="11"/>
  <c r="H104" i="11"/>
  <c r="H103" i="11"/>
  <c r="H117" i="11" s="1"/>
  <c r="H135" i="11" s="1"/>
  <c r="H141" i="11" s="1"/>
  <c r="G196" i="11" s="1"/>
  <c r="H196" i="11" s="1"/>
  <c r="H102" i="11"/>
  <c r="H101" i="11"/>
  <c r="H100" i="11"/>
  <c r="H116" i="11" s="1"/>
  <c r="H134" i="11" s="1"/>
  <c r="H140" i="11" s="1"/>
  <c r="E196" i="11" s="1"/>
  <c r="F196" i="11" s="1"/>
  <c r="H99" i="11"/>
  <c r="H98" i="11"/>
  <c r="H97" i="11"/>
  <c r="H115" i="11" s="1"/>
  <c r="H133" i="11" s="1"/>
  <c r="H139" i="11" s="1"/>
  <c r="C196" i="11" s="1"/>
  <c r="D196" i="11" s="1"/>
  <c r="H114" i="8"/>
  <c r="H113" i="8"/>
  <c r="H112" i="8"/>
  <c r="H120" i="8" s="1"/>
  <c r="H138" i="8" s="1"/>
  <c r="H144" i="8" s="1"/>
  <c r="M196" i="8" s="1"/>
  <c r="N196" i="8" s="1"/>
  <c r="H111" i="8"/>
  <c r="H110" i="8"/>
  <c r="H109" i="8"/>
  <c r="H119" i="8" s="1"/>
  <c r="H137" i="8" s="1"/>
  <c r="H143" i="8" s="1"/>
  <c r="K196" i="8" s="1"/>
  <c r="L196" i="8" s="1"/>
  <c r="H108" i="8"/>
  <c r="H107" i="8"/>
  <c r="H106" i="8"/>
  <c r="H118" i="8" s="1"/>
  <c r="H136" i="8" s="1"/>
  <c r="H142" i="8" s="1"/>
  <c r="I196" i="8" s="1"/>
  <c r="J196" i="8" s="1"/>
  <c r="H105" i="8"/>
  <c r="H104" i="8"/>
  <c r="H103" i="8"/>
  <c r="H117" i="8" s="1"/>
  <c r="H135" i="8" s="1"/>
  <c r="H141" i="8" s="1"/>
  <c r="G196" i="8" s="1"/>
  <c r="H196" i="8" s="1"/>
  <c r="H102" i="8"/>
  <c r="H101" i="8"/>
  <c r="H100" i="8"/>
  <c r="H116" i="8" s="1"/>
  <c r="H134" i="8" s="1"/>
  <c r="H140" i="8" s="1"/>
  <c r="E196" i="8" s="1"/>
  <c r="F196" i="8" s="1"/>
  <c r="H99" i="8"/>
  <c r="H98" i="8"/>
  <c r="H97" i="8"/>
  <c r="H115" i="8" s="1"/>
  <c r="H133" i="8" s="1"/>
  <c r="H139" i="8" s="1"/>
  <c r="C196" i="8" s="1"/>
  <c r="D196" i="8" s="1"/>
  <c r="H106" i="5"/>
  <c r="H118" i="5" s="1"/>
  <c r="H136" i="5" s="1"/>
  <c r="H142" i="5" s="1"/>
  <c r="I196" i="5" s="1"/>
  <c r="J196" i="5" s="1"/>
  <c r="H107" i="5"/>
  <c r="H108" i="5"/>
  <c r="H114" i="5"/>
  <c r="H113" i="5"/>
  <c r="H112" i="5"/>
  <c r="H120" i="5" s="1"/>
  <c r="H138" i="5" s="1"/>
  <c r="H144" i="5" s="1"/>
  <c r="M196" i="5" s="1"/>
  <c r="N196" i="5" s="1"/>
  <c r="H111" i="5"/>
  <c r="H110" i="5"/>
  <c r="H109" i="5"/>
  <c r="H119" i="5" s="1"/>
  <c r="H137" i="5" s="1"/>
  <c r="H143" i="5" s="1"/>
  <c r="K196" i="5" s="1"/>
  <c r="L196" i="5" s="1"/>
  <c r="H105" i="5"/>
  <c r="H104" i="5"/>
  <c r="H103" i="5"/>
  <c r="H117" i="5" s="1"/>
  <c r="H135" i="5" s="1"/>
  <c r="H141" i="5" s="1"/>
  <c r="G196" i="5" s="1"/>
  <c r="H196" i="5" s="1"/>
  <c r="H102" i="5"/>
  <c r="H101" i="5"/>
  <c r="H100" i="5"/>
  <c r="H116" i="5" s="1"/>
  <c r="H134" i="5" s="1"/>
  <c r="H140" i="5" s="1"/>
  <c r="E196" i="5" s="1"/>
  <c r="F196" i="5" s="1"/>
  <c r="H99" i="5"/>
  <c r="H98" i="5"/>
  <c r="H97" i="5"/>
  <c r="H115" i="5" s="1"/>
  <c r="H133" i="5" s="1"/>
  <c r="H139" i="5" s="1"/>
  <c r="C196" i="5" s="1"/>
  <c r="D196" i="5" s="1"/>
  <c r="I77" i="11"/>
  <c r="I80" i="11" s="1"/>
  <c r="I77" i="8"/>
  <c r="I80" i="8" s="1"/>
  <c r="I130" i="5"/>
  <c r="I132" i="5" s="1"/>
  <c r="I77" i="5"/>
  <c r="I80" i="5" s="1"/>
  <c r="G96" i="5"/>
  <c r="E93" i="6"/>
  <c r="E130" i="5"/>
  <c r="E132" i="5" s="1"/>
  <c r="E95" i="5"/>
  <c r="F130" i="5"/>
  <c r="F132" i="5" s="1"/>
  <c r="F95" i="5"/>
  <c r="D125" i="6"/>
  <c r="D127" i="6" s="1"/>
  <c r="D92" i="6"/>
  <c r="C130" i="5"/>
  <c r="C132" i="5" s="1"/>
  <c r="C95" i="5"/>
  <c r="D130" i="5"/>
  <c r="D132" i="5" s="1"/>
  <c r="D95" i="5"/>
  <c r="C125" i="6"/>
  <c r="C127" i="6" s="1"/>
  <c r="C92" i="6"/>
  <c r="E114" i="11" l="1"/>
  <c r="E110" i="11"/>
  <c r="E106" i="11"/>
  <c r="E118" i="11" s="1"/>
  <c r="E136" i="11" s="1"/>
  <c r="E142" i="11" s="1"/>
  <c r="I160" i="11" s="1"/>
  <c r="J160" i="11" s="1"/>
  <c r="E102" i="11"/>
  <c r="E98" i="11"/>
  <c r="E112" i="11"/>
  <c r="E120" i="11" s="1"/>
  <c r="E138" i="11" s="1"/>
  <c r="E144" i="11" s="1"/>
  <c r="E108" i="11"/>
  <c r="E104" i="11"/>
  <c r="E100" i="11"/>
  <c r="E116" i="11" s="1"/>
  <c r="E134" i="11" s="1"/>
  <c r="E140" i="11" s="1"/>
  <c r="F97" i="11"/>
  <c r="F115" i="11" s="1"/>
  <c r="F133" i="11" s="1"/>
  <c r="F139" i="11" s="1"/>
  <c r="F101" i="11"/>
  <c r="F105" i="11"/>
  <c r="F109" i="11"/>
  <c r="F119" i="11" s="1"/>
  <c r="F137" i="11" s="1"/>
  <c r="F143" i="11" s="1"/>
  <c r="F113" i="11"/>
  <c r="F98" i="11"/>
  <c r="F102" i="11"/>
  <c r="F106" i="11"/>
  <c r="F118" i="11" s="1"/>
  <c r="F136" i="11" s="1"/>
  <c r="F142" i="11" s="1"/>
  <c r="F110" i="11"/>
  <c r="E97" i="11"/>
  <c r="E115" i="11" s="1"/>
  <c r="E133" i="11" s="1"/>
  <c r="E139" i="11" s="1"/>
  <c r="E101" i="11"/>
  <c r="E105" i="11"/>
  <c r="E109" i="11"/>
  <c r="E119" i="11" s="1"/>
  <c r="E137" i="11" s="1"/>
  <c r="E143" i="11" s="1"/>
  <c r="E113" i="11"/>
  <c r="F100" i="11"/>
  <c r="F116" i="11" s="1"/>
  <c r="F134" i="11" s="1"/>
  <c r="F140" i="11" s="1"/>
  <c r="F104" i="11"/>
  <c r="F108" i="11"/>
  <c r="E99" i="11"/>
  <c r="E103" i="11"/>
  <c r="E117" i="11" s="1"/>
  <c r="E135" i="11" s="1"/>
  <c r="E141" i="11" s="1"/>
  <c r="E107" i="11"/>
  <c r="E111" i="11"/>
  <c r="I202" i="11"/>
  <c r="J202" i="11" s="1"/>
  <c r="I95" i="11"/>
  <c r="I96" i="11" s="1"/>
  <c r="I202" i="8"/>
  <c r="J202" i="8" s="1"/>
  <c r="I95" i="8"/>
  <c r="I96" i="8"/>
  <c r="I114" i="8"/>
  <c r="I113" i="8"/>
  <c r="I112" i="8"/>
  <c r="I120" i="8" s="1"/>
  <c r="I138" i="8" s="1"/>
  <c r="I144" i="8" s="1"/>
  <c r="I111" i="8"/>
  <c r="I110" i="8"/>
  <c r="I109" i="8"/>
  <c r="I119" i="8" s="1"/>
  <c r="I137" i="8" s="1"/>
  <c r="I143" i="8" s="1"/>
  <c r="I108" i="8"/>
  <c r="I107" i="8"/>
  <c r="I106" i="8"/>
  <c r="I118" i="8" s="1"/>
  <c r="I136" i="8" s="1"/>
  <c r="I142" i="8" s="1"/>
  <c r="I105" i="8"/>
  <c r="I104" i="8"/>
  <c r="I103" i="8"/>
  <c r="I117" i="8" s="1"/>
  <c r="I135" i="8" s="1"/>
  <c r="I141" i="8" s="1"/>
  <c r="I102" i="8"/>
  <c r="I101" i="8"/>
  <c r="I100" i="8"/>
  <c r="I116" i="8" s="1"/>
  <c r="I134" i="8" s="1"/>
  <c r="I140" i="8" s="1"/>
  <c r="I99" i="8"/>
  <c r="I98" i="8"/>
  <c r="I97" i="8"/>
  <c r="I115" i="8" s="1"/>
  <c r="I133" i="8" s="1"/>
  <c r="I139" i="8" s="1"/>
  <c r="C202" i="8"/>
  <c r="D202" i="8" s="1"/>
  <c r="C199" i="8"/>
  <c r="D199" i="8" s="1"/>
  <c r="C190" i="8"/>
  <c r="D190" i="8" s="1"/>
  <c r="C187" i="8"/>
  <c r="D187" i="8" s="1"/>
  <c r="C184" i="8"/>
  <c r="D184" i="8" s="1"/>
  <c r="C172" i="8"/>
  <c r="D172" i="8" s="1"/>
  <c r="C166" i="8"/>
  <c r="D166" i="8" s="1"/>
  <c r="C154" i="8"/>
  <c r="D154" i="8" s="1"/>
  <c r="E202" i="8"/>
  <c r="F202" i="8" s="1"/>
  <c r="E199" i="8"/>
  <c r="F199" i="8" s="1"/>
  <c r="E190" i="8"/>
  <c r="F190" i="8" s="1"/>
  <c r="E187" i="8"/>
  <c r="F187" i="8" s="1"/>
  <c r="E184" i="8"/>
  <c r="F184" i="8" s="1"/>
  <c r="E172" i="8"/>
  <c r="F172" i="8" s="1"/>
  <c r="E166" i="8"/>
  <c r="F166" i="8" s="1"/>
  <c r="E154" i="8"/>
  <c r="F154" i="8" s="1"/>
  <c r="G202" i="8"/>
  <c r="H202" i="8" s="1"/>
  <c r="G199" i="8"/>
  <c r="H199" i="8" s="1"/>
  <c r="G190" i="8"/>
  <c r="H190" i="8" s="1"/>
  <c r="G187" i="8"/>
  <c r="H187" i="8" s="1"/>
  <c r="G184" i="8"/>
  <c r="H184" i="8" s="1"/>
  <c r="G172" i="8"/>
  <c r="H172" i="8" s="1"/>
  <c r="G166" i="8"/>
  <c r="H166" i="8" s="1"/>
  <c r="G154" i="8"/>
  <c r="H154" i="8" s="1"/>
  <c r="I199" i="8"/>
  <c r="J199" i="8" s="1"/>
  <c r="I190" i="8"/>
  <c r="J190" i="8" s="1"/>
  <c r="I187" i="8"/>
  <c r="J187" i="8" s="1"/>
  <c r="I184" i="8"/>
  <c r="J184" i="8" s="1"/>
  <c r="I172" i="8"/>
  <c r="J172" i="8" s="1"/>
  <c r="I166" i="8"/>
  <c r="J166" i="8" s="1"/>
  <c r="I154" i="8"/>
  <c r="J154" i="8" s="1"/>
  <c r="K202" i="8"/>
  <c r="L202" i="8" s="1"/>
  <c r="K199" i="8"/>
  <c r="L199" i="8" s="1"/>
  <c r="K190" i="8"/>
  <c r="L190" i="8" s="1"/>
  <c r="K187" i="8"/>
  <c r="L187" i="8" s="1"/>
  <c r="K184" i="8"/>
  <c r="L184" i="8" s="1"/>
  <c r="K172" i="8"/>
  <c r="L172" i="8" s="1"/>
  <c r="K166" i="8"/>
  <c r="L166" i="8" s="1"/>
  <c r="K154" i="8"/>
  <c r="L154" i="8" s="1"/>
  <c r="M202" i="8"/>
  <c r="N202" i="8" s="1"/>
  <c r="M199" i="8"/>
  <c r="N199" i="8" s="1"/>
  <c r="M190" i="8"/>
  <c r="N190" i="8" s="1"/>
  <c r="M187" i="8"/>
  <c r="N187" i="8" s="1"/>
  <c r="M184" i="8"/>
  <c r="N184" i="8" s="1"/>
  <c r="M172" i="8"/>
  <c r="N172" i="8" s="1"/>
  <c r="M166" i="8"/>
  <c r="N166" i="8" s="1"/>
  <c r="M154" i="8"/>
  <c r="N154" i="8" s="1"/>
  <c r="C178" i="8"/>
  <c r="D178" i="8" s="1"/>
  <c r="C160" i="8"/>
  <c r="D160" i="8" s="1"/>
  <c r="C145" i="8"/>
  <c r="E178" i="8"/>
  <c r="F178" i="8" s="1"/>
  <c r="E160" i="8"/>
  <c r="F160" i="8" s="1"/>
  <c r="C146" i="8"/>
  <c r="G178" i="8"/>
  <c r="H178" i="8" s="1"/>
  <c r="G160" i="8"/>
  <c r="H160" i="8" s="1"/>
  <c r="C147" i="8"/>
  <c r="I178" i="8"/>
  <c r="J178" i="8" s="1"/>
  <c r="C148" i="8"/>
  <c r="AC33" i="3" s="1"/>
  <c r="K178" i="8"/>
  <c r="L178" i="8" s="1"/>
  <c r="K160" i="8"/>
  <c r="L160" i="8" s="1"/>
  <c r="C149" i="8"/>
  <c r="M178" i="8"/>
  <c r="N178" i="8" s="1"/>
  <c r="M160" i="8"/>
  <c r="N160" i="8" s="1"/>
  <c r="C150" i="8"/>
  <c r="C111" i="12"/>
  <c r="C110" i="12"/>
  <c r="C109" i="12"/>
  <c r="C117" i="12" s="1"/>
  <c r="C133" i="12" s="1"/>
  <c r="C139" i="12" s="1"/>
  <c r="C108" i="12"/>
  <c r="C107" i="12"/>
  <c r="C106" i="12"/>
  <c r="C116" i="12" s="1"/>
  <c r="C132" i="12" s="1"/>
  <c r="C138" i="12" s="1"/>
  <c r="C144" i="12" s="1"/>
  <c r="C105" i="12"/>
  <c r="C104" i="12"/>
  <c r="C103" i="12"/>
  <c r="C115" i="12" s="1"/>
  <c r="C131" i="12" s="1"/>
  <c r="C137" i="12" s="1"/>
  <c r="C143" i="12" s="1"/>
  <c r="C102" i="12"/>
  <c r="C101" i="12"/>
  <c r="C100" i="12"/>
  <c r="C114" i="12" s="1"/>
  <c r="C130" i="12" s="1"/>
  <c r="C136" i="12" s="1"/>
  <c r="C99" i="12"/>
  <c r="C98" i="12"/>
  <c r="C97" i="12"/>
  <c r="C113" i="12" s="1"/>
  <c r="C129" i="12" s="1"/>
  <c r="C135" i="12" s="1"/>
  <c r="C141" i="12" s="1"/>
  <c r="AD41" i="3" s="1"/>
  <c r="C96" i="12"/>
  <c r="C95" i="12"/>
  <c r="C94" i="12"/>
  <c r="C112" i="12" s="1"/>
  <c r="C128" i="12" s="1"/>
  <c r="C134" i="12" s="1"/>
  <c r="C140" i="12" s="1"/>
  <c r="AD44" i="3" s="1"/>
  <c r="D111" i="12"/>
  <c r="D110" i="12"/>
  <c r="D109" i="12"/>
  <c r="D117" i="12" s="1"/>
  <c r="D133" i="12" s="1"/>
  <c r="D139" i="12" s="1"/>
  <c r="D108" i="12"/>
  <c r="D107" i="12"/>
  <c r="D106" i="12"/>
  <c r="D116" i="12" s="1"/>
  <c r="D132" i="12" s="1"/>
  <c r="D138" i="12" s="1"/>
  <c r="D105" i="12"/>
  <c r="D104" i="12"/>
  <c r="D103" i="12"/>
  <c r="D115" i="12" s="1"/>
  <c r="D131" i="12" s="1"/>
  <c r="D137" i="12" s="1"/>
  <c r="D102" i="12"/>
  <c r="D101" i="12"/>
  <c r="D100" i="12"/>
  <c r="D114" i="12" s="1"/>
  <c r="D130" i="12" s="1"/>
  <c r="D136" i="12" s="1"/>
  <c r="D99" i="12"/>
  <c r="D98" i="12"/>
  <c r="D97" i="12"/>
  <c r="D113" i="12" s="1"/>
  <c r="D129" i="12" s="1"/>
  <c r="D135" i="12" s="1"/>
  <c r="AB41" i="3" s="1"/>
  <c r="D96" i="12"/>
  <c r="D95" i="12"/>
  <c r="D94" i="12"/>
  <c r="D112" i="12" s="1"/>
  <c r="D128" i="12" s="1"/>
  <c r="D134" i="12" s="1"/>
  <c r="AB44" i="3" s="1"/>
  <c r="E111" i="12"/>
  <c r="E110" i="12"/>
  <c r="E109" i="12"/>
  <c r="E117" i="12" s="1"/>
  <c r="E133" i="12" s="1"/>
  <c r="E139" i="12" s="1"/>
  <c r="E108" i="12"/>
  <c r="E107" i="12"/>
  <c r="E106" i="12"/>
  <c r="E116" i="12" s="1"/>
  <c r="E132" i="12" s="1"/>
  <c r="E138" i="12" s="1"/>
  <c r="E105" i="12"/>
  <c r="E104" i="12"/>
  <c r="E103" i="12"/>
  <c r="E115" i="12" s="1"/>
  <c r="E131" i="12" s="1"/>
  <c r="E137" i="12" s="1"/>
  <c r="E102" i="12"/>
  <c r="E101" i="12"/>
  <c r="E100" i="12"/>
  <c r="E114" i="12" s="1"/>
  <c r="E130" i="12" s="1"/>
  <c r="E136" i="12" s="1"/>
  <c r="E99" i="12"/>
  <c r="E98" i="12"/>
  <c r="E97" i="12"/>
  <c r="E113" i="12" s="1"/>
  <c r="E129" i="12" s="1"/>
  <c r="E135" i="12" s="1"/>
  <c r="E96" i="12"/>
  <c r="E95" i="12"/>
  <c r="E94" i="12"/>
  <c r="E112" i="12" s="1"/>
  <c r="E128" i="12" s="1"/>
  <c r="E134" i="12" s="1"/>
  <c r="C111" i="9"/>
  <c r="C110" i="9"/>
  <c r="C109" i="9"/>
  <c r="C117" i="9" s="1"/>
  <c r="C133" i="9" s="1"/>
  <c r="C139" i="9" s="1"/>
  <c r="C145" i="9" s="1"/>
  <c r="C108" i="9"/>
  <c r="C107" i="9"/>
  <c r="C106" i="9"/>
  <c r="C116" i="9" s="1"/>
  <c r="C132" i="9" s="1"/>
  <c r="C138" i="9" s="1"/>
  <c r="C144" i="9" s="1"/>
  <c r="C105" i="9"/>
  <c r="C104" i="9"/>
  <c r="C103" i="9"/>
  <c r="C115" i="9" s="1"/>
  <c r="C131" i="9" s="1"/>
  <c r="C137" i="9" s="1"/>
  <c r="C143" i="9" s="1"/>
  <c r="AD33" i="3" s="1"/>
  <c r="C102" i="9"/>
  <c r="C101" i="9"/>
  <c r="C100" i="9"/>
  <c r="C114" i="9" s="1"/>
  <c r="C130" i="9" s="1"/>
  <c r="C136" i="9" s="1"/>
  <c r="C142" i="9" s="1"/>
  <c r="C99" i="9"/>
  <c r="C98" i="9"/>
  <c r="C97" i="9"/>
  <c r="C113" i="9" s="1"/>
  <c r="C129" i="9" s="1"/>
  <c r="C135" i="9" s="1"/>
  <c r="C141" i="9" s="1"/>
  <c r="C96" i="9"/>
  <c r="C95" i="9"/>
  <c r="C94" i="9"/>
  <c r="C112" i="9" s="1"/>
  <c r="C128" i="9" s="1"/>
  <c r="C134" i="9" s="1"/>
  <c r="D111" i="9"/>
  <c r="D110" i="9"/>
  <c r="D109" i="9"/>
  <c r="D117" i="9" s="1"/>
  <c r="D133" i="9" s="1"/>
  <c r="D139" i="9" s="1"/>
  <c r="D108" i="9"/>
  <c r="D107" i="9"/>
  <c r="D106" i="9"/>
  <c r="D116" i="9" s="1"/>
  <c r="D132" i="9" s="1"/>
  <c r="D138" i="9" s="1"/>
  <c r="D105" i="9"/>
  <c r="D104" i="9"/>
  <c r="D103" i="9"/>
  <c r="D115" i="9" s="1"/>
  <c r="D131" i="9" s="1"/>
  <c r="D137" i="9" s="1"/>
  <c r="D102" i="9"/>
  <c r="D101" i="9"/>
  <c r="D100" i="9"/>
  <c r="D114" i="9" s="1"/>
  <c r="D130" i="9" s="1"/>
  <c r="D136" i="9" s="1"/>
  <c r="D99" i="9"/>
  <c r="D98" i="9"/>
  <c r="D97" i="9"/>
  <c r="D113" i="9" s="1"/>
  <c r="D129" i="9" s="1"/>
  <c r="D135" i="9" s="1"/>
  <c r="D96" i="9"/>
  <c r="D95" i="9"/>
  <c r="D94" i="9"/>
  <c r="D112" i="9" s="1"/>
  <c r="D128" i="9" s="1"/>
  <c r="D134" i="9" s="1"/>
  <c r="E111" i="9"/>
  <c r="E110" i="9"/>
  <c r="E109" i="9"/>
  <c r="E117" i="9" s="1"/>
  <c r="E133" i="9" s="1"/>
  <c r="E139" i="9" s="1"/>
  <c r="E108" i="9"/>
  <c r="E107" i="9"/>
  <c r="E106" i="9"/>
  <c r="E116" i="9" s="1"/>
  <c r="E132" i="9" s="1"/>
  <c r="E138" i="9" s="1"/>
  <c r="E105" i="9"/>
  <c r="E104" i="9"/>
  <c r="E103" i="9"/>
  <c r="E115" i="9" s="1"/>
  <c r="E131" i="9" s="1"/>
  <c r="E137" i="9" s="1"/>
  <c r="E102" i="9"/>
  <c r="E101" i="9"/>
  <c r="E100" i="9"/>
  <c r="E114" i="9" s="1"/>
  <c r="E130" i="9" s="1"/>
  <c r="E136" i="9" s="1"/>
  <c r="E99" i="9"/>
  <c r="E98" i="9"/>
  <c r="E97" i="9"/>
  <c r="E113" i="9" s="1"/>
  <c r="E129" i="9" s="1"/>
  <c r="E135" i="9" s="1"/>
  <c r="E96" i="9"/>
  <c r="E95" i="9"/>
  <c r="E94" i="9"/>
  <c r="E112" i="9" s="1"/>
  <c r="E128" i="9" s="1"/>
  <c r="E134" i="9" s="1"/>
  <c r="E103" i="6"/>
  <c r="E115" i="6" s="1"/>
  <c r="E131" i="6" s="1"/>
  <c r="E137" i="6" s="1"/>
  <c r="E104" i="6"/>
  <c r="E105" i="6"/>
  <c r="G106" i="5"/>
  <c r="G118" i="5" s="1"/>
  <c r="G136" i="5" s="1"/>
  <c r="G142" i="5" s="1"/>
  <c r="G107" i="5"/>
  <c r="G108" i="5"/>
  <c r="C93" i="6"/>
  <c r="D96" i="5"/>
  <c r="C96" i="5"/>
  <c r="D93" i="6"/>
  <c r="F96" i="5"/>
  <c r="E96" i="5"/>
  <c r="E111" i="6"/>
  <c r="E110" i="6"/>
  <c r="E109" i="6"/>
  <c r="E117" i="6" s="1"/>
  <c r="E133" i="6" s="1"/>
  <c r="E139" i="6" s="1"/>
  <c r="E108" i="6"/>
  <c r="E107" i="6"/>
  <c r="E106" i="6"/>
  <c r="E116" i="6" s="1"/>
  <c r="E132" i="6" s="1"/>
  <c r="E138" i="6" s="1"/>
  <c r="E102" i="6"/>
  <c r="E101" i="6"/>
  <c r="E100" i="6"/>
  <c r="E114" i="6" s="1"/>
  <c r="E130" i="6" s="1"/>
  <c r="E136" i="6" s="1"/>
  <c r="E99" i="6"/>
  <c r="E98" i="6"/>
  <c r="E97" i="6"/>
  <c r="E113" i="6" s="1"/>
  <c r="E129" i="6" s="1"/>
  <c r="E135" i="6" s="1"/>
  <c r="E96" i="6"/>
  <c r="E95" i="6"/>
  <c r="E94" i="6"/>
  <c r="E112" i="6" s="1"/>
  <c r="E128" i="6" s="1"/>
  <c r="E134" i="6" s="1"/>
  <c r="G114" i="5"/>
  <c r="G113" i="5"/>
  <c r="G112" i="5"/>
  <c r="G120" i="5" s="1"/>
  <c r="G138" i="5" s="1"/>
  <c r="G144" i="5" s="1"/>
  <c r="G111" i="5"/>
  <c r="G110" i="5"/>
  <c r="G109" i="5"/>
  <c r="G119" i="5" s="1"/>
  <c r="G137" i="5" s="1"/>
  <c r="G143" i="5" s="1"/>
  <c r="G105" i="5"/>
  <c r="G104" i="5"/>
  <c r="G103" i="5"/>
  <c r="G117" i="5" s="1"/>
  <c r="G135" i="5" s="1"/>
  <c r="G141" i="5" s="1"/>
  <c r="G102" i="5"/>
  <c r="G101" i="5"/>
  <c r="G100" i="5"/>
  <c r="G116" i="5" s="1"/>
  <c r="G134" i="5" s="1"/>
  <c r="G140" i="5" s="1"/>
  <c r="G99" i="5"/>
  <c r="G98" i="5"/>
  <c r="G97" i="5"/>
  <c r="G115" i="5" s="1"/>
  <c r="G133" i="5" s="1"/>
  <c r="G139" i="5" s="1"/>
  <c r="I95" i="5"/>
  <c r="I112" i="11" l="1"/>
  <c r="I120" i="11" s="1"/>
  <c r="I138" i="11" s="1"/>
  <c r="I144" i="11" s="1"/>
  <c r="I104" i="11"/>
  <c r="I108" i="11"/>
  <c r="I100" i="11"/>
  <c r="I116" i="11" s="1"/>
  <c r="I134" i="11" s="1"/>
  <c r="C179" i="11" s="1"/>
  <c r="D179" i="11" s="1"/>
  <c r="I97" i="11"/>
  <c r="I115" i="11" s="1"/>
  <c r="I133" i="11" s="1"/>
  <c r="I139" i="11" s="1"/>
  <c r="I105" i="11"/>
  <c r="I109" i="11"/>
  <c r="I119" i="11" s="1"/>
  <c r="I137" i="11" s="1"/>
  <c r="I143" i="11" s="1"/>
  <c r="I113" i="11"/>
  <c r="I98" i="11"/>
  <c r="I102" i="11"/>
  <c r="I106" i="11"/>
  <c r="I118" i="11" s="1"/>
  <c r="I136" i="11" s="1"/>
  <c r="I142" i="11" s="1"/>
  <c r="C197" i="11" s="1"/>
  <c r="D197" i="11" s="1"/>
  <c r="D198" i="11" s="1"/>
  <c r="I110" i="11"/>
  <c r="I114" i="11"/>
  <c r="I101" i="11"/>
  <c r="I99" i="11"/>
  <c r="I103" i="11"/>
  <c r="I117" i="11" s="1"/>
  <c r="I135" i="11" s="1"/>
  <c r="I141" i="11" s="1"/>
  <c r="I107" i="11"/>
  <c r="I111" i="11"/>
  <c r="AB43" i="3"/>
  <c r="AB40" i="3"/>
  <c r="AB38" i="3"/>
  <c r="C142" i="12"/>
  <c r="AB42" i="3"/>
  <c r="C145" i="12"/>
  <c r="AB36" i="3"/>
  <c r="M161" i="11"/>
  <c r="N161" i="11" s="1"/>
  <c r="M167" i="11"/>
  <c r="M173" i="11"/>
  <c r="M179" i="11"/>
  <c r="M185" i="11"/>
  <c r="N185" i="11" s="1"/>
  <c r="M188" i="11"/>
  <c r="M191" i="11"/>
  <c r="M197" i="11"/>
  <c r="N197" i="11" s="1"/>
  <c r="N198" i="11" s="1"/>
  <c r="M200" i="11"/>
  <c r="N200" i="11" s="1"/>
  <c r="M203" i="11"/>
  <c r="K203" i="11"/>
  <c r="K200" i="11"/>
  <c r="K197" i="11"/>
  <c r="L197" i="11" s="1"/>
  <c r="L198" i="11" s="1"/>
  <c r="K191" i="11"/>
  <c r="K188" i="11"/>
  <c r="K185" i="11"/>
  <c r="K179" i="11"/>
  <c r="L179" i="11" s="1"/>
  <c r="K173" i="11"/>
  <c r="K167" i="11"/>
  <c r="K161" i="11"/>
  <c r="L161" i="11" s="1"/>
  <c r="K155" i="11"/>
  <c r="L155" i="11" s="1"/>
  <c r="I155" i="11"/>
  <c r="I161" i="11"/>
  <c r="I167" i="11"/>
  <c r="J167" i="11" s="1"/>
  <c r="I173" i="11"/>
  <c r="J173" i="11" s="1"/>
  <c r="I179" i="11"/>
  <c r="I185" i="11"/>
  <c r="I188" i="11"/>
  <c r="J188" i="11" s="1"/>
  <c r="I191" i="11"/>
  <c r="I197" i="11"/>
  <c r="I200" i="11"/>
  <c r="I203" i="11"/>
  <c r="J203" i="11" s="1"/>
  <c r="J204" i="11" s="1"/>
  <c r="G203" i="11"/>
  <c r="H203" i="11" s="1"/>
  <c r="G200" i="11"/>
  <c r="G197" i="11"/>
  <c r="G191" i="11"/>
  <c r="H191" i="11" s="1"/>
  <c r="G188" i="11"/>
  <c r="H188" i="11" s="1"/>
  <c r="G185" i="11"/>
  <c r="G179" i="11"/>
  <c r="G173" i="11"/>
  <c r="G167" i="11"/>
  <c r="H167" i="11" s="1"/>
  <c r="G161" i="11"/>
  <c r="G155" i="11"/>
  <c r="E155" i="11"/>
  <c r="F155" i="11" s="1"/>
  <c r="E161" i="11"/>
  <c r="F161" i="11" s="1"/>
  <c r="E167" i="11"/>
  <c r="E173" i="11"/>
  <c r="E179" i="11"/>
  <c r="E185" i="11"/>
  <c r="F185" i="11" s="1"/>
  <c r="E188" i="11"/>
  <c r="E191" i="11"/>
  <c r="C191" i="11"/>
  <c r="C188" i="11"/>
  <c r="D188" i="11" s="1"/>
  <c r="C185" i="11"/>
  <c r="C173" i="11"/>
  <c r="C167" i="11"/>
  <c r="C161" i="11"/>
  <c r="D161" i="11" s="1"/>
  <c r="C155" i="11"/>
  <c r="AB28" i="3"/>
  <c r="AB27" i="3"/>
  <c r="AB22" i="3"/>
  <c r="AB31" i="3"/>
  <c r="C140" i="9"/>
  <c r="AB26" i="3"/>
  <c r="AB25" i="3"/>
  <c r="AD30" i="3"/>
  <c r="AD32" i="3"/>
  <c r="AD29" i="3"/>
  <c r="AD22" i="3"/>
  <c r="AD23" i="3"/>
  <c r="AD24" i="3"/>
  <c r="AD31" i="3"/>
  <c r="M155" i="8"/>
  <c r="M161" i="8"/>
  <c r="M167" i="8"/>
  <c r="M173" i="8"/>
  <c r="M179" i="8"/>
  <c r="M185" i="8"/>
  <c r="M188" i="8"/>
  <c r="M191" i="8"/>
  <c r="M197" i="8"/>
  <c r="M200" i="8"/>
  <c r="M203" i="8"/>
  <c r="K203" i="8"/>
  <c r="K200" i="8"/>
  <c r="K197" i="8"/>
  <c r="K191" i="8"/>
  <c r="K188" i="8"/>
  <c r="K185" i="8"/>
  <c r="K179" i="8"/>
  <c r="K167" i="8"/>
  <c r="K161" i="8"/>
  <c r="K155" i="8"/>
  <c r="I155" i="8"/>
  <c r="J155" i="8" s="1"/>
  <c r="I161" i="8"/>
  <c r="J161" i="8" s="1"/>
  <c r="I167" i="8"/>
  <c r="I173" i="8"/>
  <c r="I179" i="8"/>
  <c r="I185" i="8"/>
  <c r="I188" i="8"/>
  <c r="J188" i="8" s="1"/>
  <c r="I191" i="8"/>
  <c r="J191" i="8" s="1"/>
  <c r="I197" i="8"/>
  <c r="I200" i="8"/>
  <c r="I203" i="8"/>
  <c r="J203" i="8" s="1"/>
  <c r="J204" i="8" s="1"/>
  <c r="G203" i="8"/>
  <c r="G200" i="8"/>
  <c r="G197" i="8"/>
  <c r="G191" i="8"/>
  <c r="G188" i="8"/>
  <c r="G185" i="8"/>
  <c r="G179" i="8"/>
  <c r="G173" i="8"/>
  <c r="G167" i="8"/>
  <c r="G161" i="8"/>
  <c r="G155" i="8"/>
  <c r="E155" i="8"/>
  <c r="E161" i="8"/>
  <c r="E167" i="8"/>
  <c r="E173" i="8"/>
  <c r="E179" i="8"/>
  <c r="E185" i="8"/>
  <c r="E188" i="8"/>
  <c r="E191" i="8"/>
  <c r="E197" i="8"/>
  <c r="E200" i="8"/>
  <c r="E203" i="8"/>
  <c r="C203" i="8"/>
  <c r="C200" i="8"/>
  <c r="C197" i="8"/>
  <c r="C191" i="8"/>
  <c r="C188" i="8"/>
  <c r="C185" i="8"/>
  <c r="C179" i="8"/>
  <c r="D179" i="8" s="1"/>
  <c r="D180" i="8" s="1"/>
  <c r="C173" i="8"/>
  <c r="C167" i="8"/>
  <c r="C161" i="8"/>
  <c r="C155" i="8"/>
  <c r="AC23" i="3"/>
  <c r="AC24" i="3"/>
  <c r="AC31" i="3"/>
  <c r="AC32" i="3"/>
  <c r="AC30" i="3"/>
  <c r="AC29" i="3"/>
  <c r="AC22" i="3"/>
  <c r="AC28" i="3"/>
  <c r="AC27" i="3"/>
  <c r="AC26" i="3"/>
  <c r="AC25" i="3"/>
  <c r="AC21" i="3"/>
  <c r="AC20" i="3"/>
  <c r="N27" i="3"/>
  <c r="N26" i="3"/>
  <c r="L203" i="11"/>
  <c r="C203" i="11"/>
  <c r="D203" i="11" s="1"/>
  <c r="L200" i="11"/>
  <c r="J200" i="11"/>
  <c r="H200" i="11"/>
  <c r="E200" i="11"/>
  <c r="F200" i="11" s="1"/>
  <c r="C200" i="11"/>
  <c r="D200" i="11" s="1"/>
  <c r="J197" i="11"/>
  <c r="J198" i="11" s="1"/>
  <c r="H197" i="11"/>
  <c r="H198" i="11" s="1"/>
  <c r="E197" i="11"/>
  <c r="F197" i="11" s="1"/>
  <c r="F198" i="11" s="1"/>
  <c r="N191" i="11"/>
  <c r="L191" i="11"/>
  <c r="J191" i="11"/>
  <c r="F191" i="11"/>
  <c r="D191" i="11"/>
  <c r="N188" i="11"/>
  <c r="L188" i="11"/>
  <c r="F188" i="11"/>
  <c r="L185" i="11"/>
  <c r="J185" i="11"/>
  <c r="H185" i="11"/>
  <c r="D185" i="11"/>
  <c r="N179" i="11"/>
  <c r="J179" i="11"/>
  <c r="H179" i="11"/>
  <c r="F179" i="11"/>
  <c r="N173" i="11"/>
  <c r="L173" i="11"/>
  <c r="H173" i="11"/>
  <c r="F173" i="11"/>
  <c r="D173" i="11"/>
  <c r="N167" i="11"/>
  <c r="L167" i="11"/>
  <c r="F167" i="11"/>
  <c r="D167" i="11"/>
  <c r="J161" i="11"/>
  <c r="J162" i="11" s="1"/>
  <c r="H161" i="11"/>
  <c r="J155" i="11"/>
  <c r="H155" i="11"/>
  <c r="D155" i="11"/>
  <c r="N203" i="11"/>
  <c r="M155" i="11"/>
  <c r="N155" i="11" s="1"/>
  <c r="N31" i="3"/>
  <c r="N24" i="3"/>
  <c r="N28" i="3"/>
  <c r="N25" i="3"/>
  <c r="N21" i="3"/>
  <c r="N20" i="3"/>
  <c r="L203" i="8"/>
  <c r="L204" i="8" s="1"/>
  <c r="H203" i="8"/>
  <c r="H204" i="8" s="1"/>
  <c r="F203" i="8"/>
  <c r="F204" i="8" s="1"/>
  <c r="D203" i="8"/>
  <c r="D204" i="8" s="1"/>
  <c r="L200" i="8"/>
  <c r="L201" i="8" s="1"/>
  <c r="J200" i="8"/>
  <c r="J201" i="8" s="1"/>
  <c r="H200" i="8"/>
  <c r="H201" i="8" s="1"/>
  <c r="X24" i="3" s="1"/>
  <c r="F200" i="8"/>
  <c r="F201" i="8" s="1"/>
  <c r="D200" i="8"/>
  <c r="D201" i="8" s="1"/>
  <c r="L197" i="8"/>
  <c r="L198" i="8" s="1"/>
  <c r="J197" i="8"/>
  <c r="J198" i="8" s="1"/>
  <c r="H197" i="8"/>
  <c r="H198" i="8" s="1"/>
  <c r="F197" i="8"/>
  <c r="F198" i="8" s="1"/>
  <c r="D197" i="8"/>
  <c r="D198" i="8" s="1"/>
  <c r="N191" i="8"/>
  <c r="N192" i="8" s="1"/>
  <c r="L191" i="8"/>
  <c r="L192" i="8" s="1"/>
  <c r="H191" i="8"/>
  <c r="H192" i="8" s="1"/>
  <c r="T24" i="3" s="1"/>
  <c r="F191" i="8"/>
  <c r="F192" i="8" s="1"/>
  <c r="D191" i="8"/>
  <c r="N188" i="8"/>
  <c r="N189" i="8" s="1"/>
  <c r="L188" i="8"/>
  <c r="L189" i="8" s="1"/>
  <c r="H188" i="8"/>
  <c r="H189" i="8" s="1"/>
  <c r="F188" i="8"/>
  <c r="F189" i="8" s="1"/>
  <c r="D188" i="8"/>
  <c r="N185" i="8"/>
  <c r="N186" i="8" s="1"/>
  <c r="L185" i="8"/>
  <c r="L186" i="8" s="1"/>
  <c r="J185" i="8"/>
  <c r="J186" i="8" s="1"/>
  <c r="H185" i="8"/>
  <c r="H186" i="8" s="1"/>
  <c r="F185" i="8"/>
  <c r="F186" i="8" s="1"/>
  <c r="P22" i="3" s="1"/>
  <c r="D185" i="8"/>
  <c r="D186" i="8" s="1"/>
  <c r="N179" i="8"/>
  <c r="N180" i="8" s="1"/>
  <c r="L179" i="8"/>
  <c r="L180" i="8" s="1"/>
  <c r="J179" i="8"/>
  <c r="J180" i="8" s="1"/>
  <c r="N33" i="3" s="1"/>
  <c r="H179" i="8"/>
  <c r="H180" i="8" s="1"/>
  <c r="F179" i="8"/>
  <c r="F180" i="8" s="1"/>
  <c r="N173" i="8"/>
  <c r="N174" i="8" s="1"/>
  <c r="K173" i="8"/>
  <c r="L173" i="8" s="1"/>
  <c r="L174" i="8" s="1"/>
  <c r="J173" i="8"/>
  <c r="J174" i="8" s="1"/>
  <c r="H173" i="8"/>
  <c r="H174" i="8" s="1"/>
  <c r="F173" i="8"/>
  <c r="F174" i="8" s="1"/>
  <c r="L22" i="3" s="1"/>
  <c r="D173" i="8"/>
  <c r="D174" i="8" s="1"/>
  <c r="N167" i="8"/>
  <c r="N168" i="8" s="1"/>
  <c r="L167" i="8"/>
  <c r="L168" i="8" s="1"/>
  <c r="J167" i="8"/>
  <c r="J168" i="8" s="1"/>
  <c r="H167" i="8"/>
  <c r="H168" i="8" s="1"/>
  <c r="F167" i="8"/>
  <c r="F168" i="8" s="1"/>
  <c r="J22" i="3" s="1"/>
  <c r="D167" i="8"/>
  <c r="D168" i="8" s="1"/>
  <c r="N161" i="8"/>
  <c r="N162" i="8" s="1"/>
  <c r="L161" i="8"/>
  <c r="L162" i="8" s="1"/>
  <c r="H161" i="8"/>
  <c r="H162" i="8" s="1"/>
  <c r="F161" i="8"/>
  <c r="F162" i="8" s="1"/>
  <c r="D161" i="8"/>
  <c r="D162" i="8" s="1"/>
  <c r="L155" i="8"/>
  <c r="L156" i="8" s="1"/>
  <c r="H155" i="8"/>
  <c r="H156" i="8" s="1"/>
  <c r="F155" i="8"/>
  <c r="F156" i="8" s="1"/>
  <c r="D155" i="8"/>
  <c r="N203" i="8"/>
  <c r="N204" i="8" s="1"/>
  <c r="N200" i="8"/>
  <c r="N201" i="8" s="1"/>
  <c r="N197" i="8"/>
  <c r="N198" i="8" s="1"/>
  <c r="N155" i="8"/>
  <c r="N156" i="8" s="1"/>
  <c r="D103" i="6"/>
  <c r="D115" i="6" s="1"/>
  <c r="D131" i="6" s="1"/>
  <c r="D137" i="6" s="1"/>
  <c r="D104" i="6"/>
  <c r="D105" i="6"/>
  <c r="C105" i="6"/>
  <c r="C104" i="6"/>
  <c r="C103" i="6"/>
  <c r="C115" i="6" s="1"/>
  <c r="C131" i="6" s="1"/>
  <c r="C137" i="6" s="1"/>
  <c r="E106" i="5"/>
  <c r="E118" i="5" s="1"/>
  <c r="E136" i="5" s="1"/>
  <c r="E142" i="5" s="1"/>
  <c r="E107" i="5"/>
  <c r="E108" i="5"/>
  <c r="F106" i="5"/>
  <c r="F118" i="5" s="1"/>
  <c r="F136" i="5" s="1"/>
  <c r="F142" i="5" s="1"/>
  <c r="F107" i="5"/>
  <c r="F108" i="5"/>
  <c r="C108" i="5"/>
  <c r="C106" i="5"/>
  <c r="C118" i="5" s="1"/>
  <c r="C136" i="5" s="1"/>
  <c r="C142" i="5" s="1"/>
  <c r="C107" i="5"/>
  <c r="D106" i="5"/>
  <c r="D118" i="5" s="1"/>
  <c r="D136" i="5" s="1"/>
  <c r="D142" i="5" s="1"/>
  <c r="D107" i="5"/>
  <c r="D108" i="5"/>
  <c r="I96" i="5"/>
  <c r="E114" i="5"/>
  <c r="E113" i="5"/>
  <c r="E112" i="5"/>
  <c r="E120" i="5" s="1"/>
  <c r="E138" i="5" s="1"/>
  <c r="E144" i="5" s="1"/>
  <c r="E111" i="5"/>
  <c r="E110" i="5"/>
  <c r="E109" i="5"/>
  <c r="E119" i="5" s="1"/>
  <c r="E137" i="5" s="1"/>
  <c r="E143" i="5" s="1"/>
  <c r="E105" i="5"/>
  <c r="E104" i="5"/>
  <c r="E103" i="5"/>
  <c r="E117" i="5" s="1"/>
  <c r="E135" i="5" s="1"/>
  <c r="E141" i="5" s="1"/>
  <c r="E102" i="5"/>
  <c r="E101" i="5"/>
  <c r="E100" i="5"/>
  <c r="E116" i="5" s="1"/>
  <c r="E134" i="5" s="1"/>
  <c r="E140" i="5" s="1"/>
  <c r="E99" i="5"/>
  <c r="E98" i="5"/>
  <c r="E97" i="5"/>
  <c r="E115" i="5" s="1"/>
  <c r="E133" i="5" s="1"/>
  <c r="E139" i="5" s="1"/>
  <c r="F114" i="5"/>
  <c r="F113" i="5"/>
  <c r="F112" i="5"/>
  <c r="F120" i="5" s="1"/>
  <c r="F138" i="5" s="1"/>
  <c r="F144" i="5" s="1"/>
  <c r="F111" i="5"/>
  <c r="F110" i="5"/>
  <c r="F109" i="5"/>
  <c r="F119" i="5" s="1"/>
  <c r="F137" i="5" s="1"/>
  <c r="F143" i="5" s="1"/>
  <c r="F105" i="5"/>
  <c r="F104" i="5"/>
  <c r="F103" i="5"/>
  <c r="F117" i="5" s="1"/>
  <c r="F135" i="5" s="1"/>
  <c r="F141" i="5" s="1"/>
  <c r="F102" i="5"/>
  <c r="F101" i="5"/>
  <c r="F100" i="5"/>
  <c r="F116" i="5" s="1"/>
  <c r="F134" i="5" s="1"/>
  <c r="F140" i="5" s="1"/>
  <c r="F99" i="5"/>
  <c r="F98" i="5"/>
  <c r="F97" i="5"/>
  <c r="F115" i="5" s="1"/>
  <c r="F133" i="5" s="1"/>
  <c r="F139" i="5" s="1"/>
  <c r="D111" i="6"/>
  <c r="D110" i="6"/>
  <c r="D109" i="6"/>
  <c r="D117" i="6" s="1"/>
  <c r="D133" i="6" s="1"/>
  <c r="D139" i="6" s="1"/>
  <c r="D108" i="6"/>
  <c r="D107" i="6"/>
  <c r="D106" i="6"/>
  <c r="D116" i="6" s="1"/>
  <c r="D132" i="6" s="1"/>
  <c r="D138" i="6" s="1"/>
  <c r="D102" i="6"/>
  <c r="D101" i="6"/>
  <c r="D100" i="6"/>
  <c r="D114" i="6" s="1"/>
  <c r="D130" i="6" s="1"/>
  <c r="D136" i="6" s="1"/>
  <c r="D99" i="6"/>
  <c r="D98" i="6"/>
  <c r="D97" i="6"/>
  <c r="D113" i="6" s="1"/>
  <c r="D129" i="6" s="1"/>
  <c r="D135" i="6" s="1"/>
  <c r="D96" i="6"/>
  <c r="D95" i="6"/>
  <c r="D94" i="6"/>
  <c r="D112" i="6" s="1"/>
  <c r="D128" i="6" s="1"/>
  <c r="D134" i="6" s="1"/>
  <c r="C114" i="5"/>
  <c r="C113" i="5"/>
  <c r="C112" i="5"/>
  <c r="C120" i="5" s="1"/>
  <c r="C138" i="5" s="1"/>
  <c r="C144" i="5" s="1"/>
  <c r="C111" i="5"/>
  <c r="C110" i="5"/>
  <c r="C109" i="5"/>
  <c r="C119" i="5" s="1"/>
  <c r="C137" i="5" s="1"/>
  <c r="C143" i="5" s="1"/>
  <c r="C105" i="5"/>
  <c r="C104" i="5"/>
  <c r="C103" i="5"/>
  <c r="C117" i="5" s="1"/>
  <c r="C135" i="5" s="1"/>
  <c r="C141" i="5" s="1"/>
  <c r="C102" i="5"/>
  <c r="C101" i="5"/>
  <c r="C100" i="5"/>
  <c r="C116" i="5" s="1"/>
  <c r="C134" i="5" s="1"/>
  <c r="C140" i="5" s="1"/>
  <c r="C99" i="5"/>
  <c r="C98" i="5"/>
  <c r="C97" i="5"/>
  <c r="C115" i="5" s="1"/>
  <c r="C133" i="5" s="1"/>
  <c r="C139" i="5" s="1"/>
  <c r="D114" i="5"/>
  <c r="D113" i="5"/>
  <c r="D112" i="5"/>
  <c r="D120" i="5" s="1"/>
  <c r="D138" i="5" s="1"/>
  <c r="D144" i="5" s="1"/>
  <c r="D111" i="5"/>
  <c r="D110" i="5"/>
  <c r="D109" i="5"/>
  <c r="D119" i="5" s="1"/>
  <c r="D137" i="5" s="1"/>
  <c r="D143" i="5" s="1"/>
  <c r="D105" i="5"/>
  <c r="D104" i="5"/>
  <c r="D103" i="5"/>
  <c r="D117" i="5" s="1"/>
  <c r="D135" i="5" s="1"/>
  <c r="D141" i="5" s="1"/>
  <c r="D102" i="5"/>
  <c r="D101" i="5"/>
  <c r="D100" i="5"/>
  <c r="D116" i="5" s="1"/>
  <c r="D134" i="5" s="1"/>
  <c r="D140" i="5" s="1"/>
  <c r="D99" i="5"/>
  <c r="D98" i="5"/>
  <c r="D97" i="5"/>
  <c r="D115" i="5" s="1"/>
  <c r="D133" i="5" s="1"/>
  <c r="D139" i="5" s="1"/>
  <c r="C111" i="6"/>
  <c r="C110" i="6"/>
  <c r="C109" i="6"/>
  <c r="C117" i="6" s="1"/>
  <c r="C133" i="6" s="1"/>
  <c r="C139" i="6" s="1"/>
  <c r="C145" i="6" s="1"/>
  <c r="C108" i="6"/>
  <c r="C107" i="6"/>
  <c r="C106" i="6"/>
  <c r="C116" i="6" s="1"/>
  <c r="C132" i="6" s="1"/>
  <c r="C138" i="6" s="1"/>
  <c r="C102" i="6"/>
  <c r="C101" i="6"/>
  <c r="C100" i="6"/>
  <c r="C114" i="6" s="1"/>
  <c r="C130" i="6" s="1"/>
  <c r="C136" i="6" s="1"/>
  <c r="C99" i="6"/>
  <c r="C98" i="6"/>
  <c r="C97" i="6"/>
  <c r="C113" i="6" s="1"/>
  <c r="C129" i="6" s="1"/>
  <c r="C135" i="6" s="1"/>
  <c r="C96" i="6"/>
  <c r="C95" i="6"/>
  <c r="C94" i="6"/>
  <c r="C112" i="6" s="1"/>
  <c r="C128" i="6" s="1"/>
  <c r="C134" i="6" s="1"/>
  <c r="E203" i="11" l="1"/>
  <c r="F203" i="11" s="1"/>
  <c r="I140" i="11"/>
  <c r="AD36" i="3"/>
  <c r="AD45" i="3" s="1"/>
  <c r="AD35" i="3"/>
  <c r="AD42" i="3"/>
  <c r="AD43" i="3"/>
  <c r="AD40" i="3"/>
  <c r="AD39" i="3"/>
  <c r="AD38" i="3"/>
  <c r="AD37" i="3"/>
  <c r="AB12" i="3"/>
  <c r="AB14" i="3"/>
  <c r="AB24" i="3"/>
  <c r="AB13" i="3"/>
  <c r="AB11" i="3"/>
  <c r="AB19" i="3" s="1"/>
  <c r="AD28" i="3"/>
  <c r="AD27" i="3"/>
  <c r="AD26" i="3"/>
  <c r="AD25" i="3"/>
  <c r="AD21" i="3"/>
  <c r="AD20" i="3"/>
  <c r="V27" i="3"/>
  <c r="V26" i="3"/>
  <c r="Z27" i="3"/>
  <c r="Z26" i="3"/>
  <c r="V25" i="3"/>
  <c r="V20" i="3"/>
  <c r="V30" i="3"/>
  <c r="V22" i="3"/>
  <c r="V24" i="3"/>
  <c r="J25" i="3"/>
  <c r="J21" i="3"/>
  <c r="J20" i="3"/>
  <c r="J24" i="3"/>
  <c r="J23" i="3"/>
  <c r="L26" i="3"/>
  <c r="L25" i="3"/>
  <c r="L21" i="3"/>
  <c r="L20" i="3"/>
  <c r="L24" i="3"/>
  <c r="L23" i="3"/>
  <c r="P27" i="3"/>
  <c r="P25" i="3"/>
  <c r="P21" i="3"/>
  <c r="P20" i="3"/>
  <c r="P24" i="3"/>
  <c r="P23" i="3"/>
  <c r="T30" i="3"/>
  <c r="T22" i="3"/>
  <c r="X27" i="3"/>
  <c r="X25" i="3"/>
  <c r="X20" i="3"/>
  <c r="X30" i="3"/>
  <c r="X22" i="3"/>
  <c r="Z25" i="3"/>
  <c r="Z20" i="3"/>
  <c r="Z22" i="3"/>
  <c r="Z30" i="3"/>
  <c r="Z24" i="3"/>
  <c r="H28" i="3"/>
  <c r="H27" i="3"/>
  <c r="H26" i="3"/>
  <c r="H25" i="3"/>
  <c r="H21" i="3"/>
  <c r="H20" i="3"/>
  <c r="H32" i="3"/>
  <c r="H30" i="3"/>
  <c r="H29" i="3"/>
  <c r="H22" i="3"/>
  <c r="H31" i="3"/>
  <c r="H24" i="3"/>
  <c r="H23" i="3"/>
  <c r="N32" i="3"/>
  <c r="N30" i="3"/>
  <c r="N29" i="3"/>
  <c r="N22" i="3"/>
  <c r="N23" i="3"/>
  <c r="F24" i="3"/>
  <c r="F31" i="3"/>
  <c r="F23" i="3"/>
  <c r="F32" i="3"/>
  <c r="F30" i="3"/>
  <c r="F29" i="3"/>
  <c r="F22" i="3"/>
  <c r="D156" i="8"/>
  <c r="D189" i="8"/>
  <c r="D192" i="8"/>
  <c r="J192" i="8"/>
  <c r="J189" i="8"/>
  <c r="J156" i="8"/>
  <c r="F33" i="3" s="1"/>
  <c r="J162" i="8"/>
  <c r="H33" i="3" s="1"/>
  <c r="C141" i="6"/>
  <c r="AD8" i="3" s="1"/>
  <c r="AB8" i="3"/>
  <c r="AD18" i="3"/>
  <c r="AD9" i="3"/>
  <c r="AD7" i="3"/>
  <c r="AB9" i="3"/>
  <c r="AB7" i="3"/>
  <c r="I202" i="5"/>
  <c r="J202" i="5" s="1"/>
  <c r="I199" i="5"/>
  <c r="J199" i="5" s="1"/>
  <c r="I190" i="5"/>
  <c r="I187" i="5"/>
  <c r="J187" i="5" s="1"/>
  <c r="I184" i="5"/>
  <c r="J184" i="5" s="1"/>
  <c r="I172" i="5"/>
  <c r="J172" i="5" s="1"/>
  <c r="I166" i="5"/>
  <c r="J166" i="5" s="1"/>
  <c r="I154" i="5"/>
  <c r="J154" i="5" s="1"/>
  <c r="C148" i="5"/>
  <c r="I160" i="5"/>
  <c r="J160" i="5" s="1"/>
  <c r="I178" i="5"/>
  <c r="J178" i="5" s="1"/>
  <c r="AB10" i="3"/>
  <c r="C143" i="6"/>
  <c r="AD14" i="3" s="1"/>
  <c r="I106" i="5"/>
  <c r="I118" i="5" s="1"/>
  <c r="I136" i="5" s="1"/>
  <c r="I142" i="5" s="1"/>
  <c r="I107" i="5"/>
  <c r="I108" i="5"/>
  <c r="C140" i="6"/>
  <c r="C142" i="6"/>
  <c r="C144" i="6"/>
  <c r="AD11" i="3" s="1"/>
  <c r="C202" i="5"/>
  <c r="D202" i="5" s="1"/>
  <c r="C199" i="5"/>
  <c r="D199" i="5" s="1"/>
  <c r="C190" i="5"/>
  <c r="D190" i="5" s="1"/>
  <c r="J190" i="5" s="1"/>
  <c r="C187" i="5"/>
  <c r="D187" i="5" s="1"/>
  <c r="C184" i="5"/>
  <c r="D184" i="5" s="1"/>
  <c r="C172" i="5"/>
  <c r="D172" i="5" s="1"/>
  <c r="C166" i="5"/>
  <c r="D166" i="5" s="1"/>
  <c r="C154" i="5"/>
  <c r="D154" i="5" s="1"/>
  <c r="E202" i="5"/>
  <c r="F202" i="5" s="1"/>
  <c r="E199" i="5"/>
  <c r="F199" i="5" s="1"/>
  <c r="E190" i="5"/>
  <c r="F190" i="5" s="1"/>
  <c r="E187" i="5"/>
  <c r="F187" i="5" s="1"/>
  <c r="E184" i="5"/>
  <c r="F184" i="5" s="1"/>
  <c r="E172" i="5"/>
  <c r="F172" i="5" s="1"/>
  <c r="E166" i="5"/>
  <c r="F166" i="5" s="1"/>
  <c r="E154" i="5"/>
  <c r="F154" i="5" s="1"/>
  <c r="G202" i="5"/>
  <c r="H202" i="5" s="1"/>
  <c r="G199" i="5"/>
  <c r="H199" i="5" s="1"/>
  <c r="G190" i="5"/>
  <c r="H190" i="5" s="1"/>
  <c r="G187" i="5"/>
  <c r="H187" i="5" s="1"/>
  <c r="G184" i="5"/>
  <c r="H184" i="5" s="1"/>
  <c r="G172" i="5"/>
  <c r="H172" i="5" s="1"/>
  <c r="G166" i="5"/>
  <c r="H166" i="5" s="1"/>
  <c r="G154" i="5"/>
  <c r="H154" i="5" s="1"/>
  <c r="K202" i="5"/>
  <c r="L202" i="5" s="1"/>
  <c r="K199" i="5"/>
  <c r="L199" i="5" s="1"/>
  <c r="K190" i="5"/>
  <c r="L190" i="5" s="1"/>
  <c r="K187" i="5"/>
  <c r="L187" i="5" s="1"/>
  <c r="K184" i="5"/>
  <c r="L184" i="5" s="1"/>
  <c r="K172" i="5"/>
  <c r="L172" i="5" s="1"/>
  <c r="K166" i="5"/>
  <c r="L166" i="5" s="1"/>
  <c r="K154" i="5"/>
  <c r="L154" i="5" s="1"/>
  <c r="M202" i="5"/>
  <c r="N202" i="5" s="1"/>
  <c r="M199" i="5"/>
  <c r="N199" i="5" s="1"/>
  <c r="M190" i="5"/>
  <c r="N190" i="5" s="1"/>
  <c r="M187" i="5"/>
  <c r="N187" i="5" s="1"/>
  <c r="M184" i="5"/>
  <c r="N184" i="5" s="1"/>
  <c r="M172" i="5"/>
  <c r="N172" i="5" s="1"/>
  <c r="M166" i="5"/>
  <c r="N166" i="5" s="1"/>
  <c r="M154" i="5"/>
  <c r="N154" i="5" s="1"/>
  <c r="C178" i="5"/>
  <c r="D178" i="5" s="1"/>
  <c r="C160" i="5"/>
  <c r="D160" i="5" s="1"/>
  <c r="C145" i="5"/>
  <c r="E178" i="5"/>
  <c r="F178" i="5" s="1"/>
  <c r="E160" i="5"/>
  <c r="F160" i="5" s="1"/>
  <c r="C146" i="5"/>
  <c r="AC8" i="3" s="1"/>
  <c r="G178" i="5"/>
  <c r="H178" i="5" s="1"/>
  <c r="G160" i="5"/>
  <c r="H160" i="5" s="1"/>
  <c r="C147" i="5"/>
  <c r="AC14" i="3" s="1"/>
  <c r="K178" i="5"/>
  <c r="L178" i="5" s="1"/>
  <c r="K160" i="5"/>
  <c r="L160" i="5" s="1"/>
  <c r="C149" i="5"/>
  <c r="AC11" i="3" s="1"/>
  <c r="M178" i="5"/>
  <c r="N178" i="5" s="1"/>
  <c r="M160" i="5"/>
  <c r="N160" i="5" s="1"/>
  <c r="C150" i="5"/>
  <c r="AB45" i="3"/>
  <c r="I114" i="5"/>
  <c r="I113" i="5"/>
  <c r="I112" i="5"/>
  <c r="I120" i="5" s="1"/>
  <c r="I138" i="5" s="1"/>
  <c r="I144" i="5" s="1"/>
  <c r="I111" i="5"/>
  <c r="I110" i="5"/>
  <c r="I109" i="5"/>
  <c r="I119" i="5" s="1"/>
  <c r="I137" i="5" s="1"/>
  <c r="I143" i="5" s="1"/>
  <c r="I105" i="5"/>
  <c r="I104" i="5"/>
  <c r="I103" i="5"/>
  <c r="I117" i="5" s="1"/>
  <c r="I135" i="5" s="1"/>
  <c r="I141" i="5" s="1"/>
  <c r="I102" i="5"/>
  <c r="I101" i="5"/>
  <c r="I100" i="5"/>
  <c r="I116" i="5" s="1"/>
  <c r="I134" i="5" s="1"/>
  <c r="I140" i="5" s="1"/>
  <c r="I99" i="5"/>
  <c r="I98" i="5"/>
  <c r="I97" i="5"/>
  <c r="I115" i="5" s="1"/>
  <c r="I133" i="5" s="1"/>
  <c r="I139" i="5" s="1"/>
  <c r="C179" i="5" s="1"/>
  <c r="T27" i="3" l="1"/>
  <c r="T26" i="3"/>
  <c r="T25" i="3"/>
  <c r="T20" i="3"/>
  <c r="F28" i="3"/>
  <c r="F27" i="3"/>
  <c r="F26" i="3"/>
  <c r="F25" i="3"/>
  <c r="F21" i="3"/>
  <c r="F20" i="3"/>
  <c r="AC18" i="3"/>
  <c r="AC9" i="3"/>
  <c r="AC7" i="3"/>
  <c r="AC17" i="3"/>
  <c r="AC16" i="3"/>
  <c r="AC15" i="3"/>
  <c r="AC13" i="3"/>
  <c r="AC12" i="3"/>
  <c r="AD10" i="3"/>
  <c r="AD6" i="3"/>
  <c r="AD17" i="3"/>
  <c r="AD16" i="3"/>
  <c r="AD15" i="3"/>
  <c r="AD13" i="3"/>
  <c r="AD12" i="3"/>
  <c r="I203" i="5"/>
  <c r="J203" i="5" s="1"/>
  <c r="C155" i="5"/>
  <c r="E155" i="5"/>
  <c r="G155" i="5"/>
  <c r="I155" i="5"/>
  <c r="J155" i="5" s="1"/>
  <c r="K155" i="5"/>
  <c r="I161" i="5"/>
  <c r="J161" i="5" s="1"/>
  <c r="J162" i="5" s="1"/>
  <c r="K161" i="5"/>
  <c r="K167" i="5"/>
  <c r="K203" i="5"/>
  <c r="G203" i="5"/>
  <c r="E203" i="5"/>
  <c r="C203" i="5"/>
  <c r="C200" i="5"/>
  <c r="E200" i="5"/>
  <c r="G200" i="5"/>
  <c r="I200" i="5"/>
  <c r="J200" i="5" s="1"/>
  <c r="K200" i="5"/>
  <c r="K197" i="5"/>
  <c r="I197" i="5"/>
  <c r="J197" i="5" s="1"/>
  <c r="G197" i="5"/>
  <c r="E197" i="5"/>
  <c r="C197" i="5"/>
  <c r="C191" i="5"/>
  <c r="E191" i="5"/>
  <c r="G191" i="5"/>
  <c r="I191" i="5"/>
  <c r="K191" i="5"/>
  <c r="M191" i="5"/>
  <c r="M188" i="5"/>
  <c r="K188" i="5"/>
  <c r="I188" i="5"/>
  <c r="J188" i="5" s="1"/>
  <c r="G188" i="5"/>
  <c r="E188" i="5"/>
  <c r="C188" i="5"/>
  <c r="C185" i="5"/>
  <c r="E185" i="5"/>
  <c r="G185" i="5"/>
  <c r="I185" i="5"/>
  <c r="J185" i="5" s="1"/>
  <c r="J186" i="5" s="1"/>
  <c r="P10" i="3" s="1"/>
  <c r="K185" i="5"/>
  <c r="M185" i="5"/>
  <c r="M179" i="5"/>
  <c r="E179" i="5"/>
  <c r="G179" i="5"/>
  <c r="I179" i="5"/>
  <c r="J179" i="5" s="1"/>
  <c r="K179" i="5"/>
  <c r="M173" i="5"/>
  <c r="K173" i="5"/>
  <c r="I173" i="5"/>
  <c r="J173" i="5" s="1"/>
  <c r="G173" i="5"/>
  <c r="E173" i="5"/>
  <c r="C173" i="5"/>
  <c r="C167" i="5"/>
  <c r="E167" i="5"/>
  <c r="G167" i="5"/>
  <c r="I167" i="5"/>
  <c r="J167" i="5" s="1"/>
  <c r="M167" i="5"/>
  <c r="M161" i="5"/>
  <c r="G161" i="5"/>
  <c r="E161" i="5"/>
  <c r="C161" i="5"/>
  <c r="J180" i="5"/>
  <c r="AC10" i="3"/>
  <c r="AC6" i="3"/>
  <c r="D203" i="5"/>
  <c r="J204" i="5" s="1"/>
  <c r="Z6" i="3" s="1"/>
  <c r="D200" i="5"/>
  <c r="J201" i="5" s="1"/>
  <c r="D197" i="5"/>
  <c r="D191" i="5"/>
  <c r="J191" i="5" s="1"/>
  <c r="J192" i="5" s="1"/>
  <c r="D188" i="5"/>
  <c r="J189" i="5" s="1"/>
  <c r="R10" i="3" s="1"/>
  <c r="D185" i="5"/>
  <c r="D179" i="5"/>
  <c r="D173" i="5"/>
  <c r="J174" i="5" s="1"/>
  <c r="D167" i="5"/>
  <c r="J168" i="5" s="1"/>
  <c r="D161" i="5"/>
  <c r="D155" i="5"/>
  <c r="J156" i="5" s="1"/>
  <c r="F203" i="5"/>
  <c r="F200" i="5"/>
  <c r="F197" i="5"/>
  <c r="F198" i="5" s="1"/>
  <c r="F191" i="5"/>
  <c r="F188" i="5"/>
  <c r="F185" i="5"/>
  <c r="F179" i="5"/>
  <c r="F173" i="5"/>
  <c r="F167" i="5"/>
  <c r="F161" i="5"/>
  <c r="F155" i="5"/>
  <c r="H203" i="5"/>
  <c r="H200" i="5"/>
  <c r="H197" i="5"/>
  <c r="H198" i="5" s="1"/>
  <c r="H191" i="5"/>
  <c r="H188" i="5"/>
  <c r="H185" i="5"/>
  <c r="H179" i="5"/>
  <c r="H173" i="5"/>
  <c r="H167" i="5"/>
  <c r="H161" i="5"/>
  <c r="H155" i="5"/>
  <c r="L203" i="5"/>
  <c r="L200" i="5"/>
  <c r="L197" i="5"/>
  <c r="L198" i="5" s="1"/>
  <c r="L191" i="5"/>
  <c r="L188" i="5"/>
  <c r="L185" i="5"/>
  <c r="L179" i="5"/>
  <c r="L173" i="5"/>
  <c r="L167" i="5"/>
  <c r="L161" i="5"/>
  <c r="L155" i="5"/>
  <c r="M203" i="5"/>
  <c r="N203" i="5" s="1"/>
  <c r="M200" i="5"/>
  <c r="N200" i="5" s="1"/>
  <c r="M197" i="5"/>
  <c r="N197" i="5" s="1"/>
  <c r="N198" i="5" s="1"/>
  <c r="N191" i="5"/>
  <c r="N188" i="5"/>
  <c r="N185" i="5"/>
  <c r="N179" i="5"/>
  <c r="N173" i="5"/>
  <c r="N167" i="5"/>
  <c r="N161" i="5"/>
  <c r="M155" i="5"/>
  <c r="N155" i="5" s="1"/>
  <c r="N162" i="5"/>
  <c r="N180" i="5"/>
  <c r="L162" i="5"/>
  <c r="L180" i="5"/>
  <c r="H162" i="5"/>
  <c r="H14" i="3" s="1"/>
  <c r="H180" i="5"/>
  <c r="N14" i="3" s="1"/>
  <c r="F162" i="5"/>
  <c r="H8" i="3" s="1"/>
  <c r="F180" i="5"/>
  <c r="N8" i="3" s="1"/>
  <c r="D162" i="5"/>
  <c r="D180" i="5"/>
  <c r="N156" i="5"/>
  <c r="N168" i="5"/>
  <c r="N174" i="5"/>
  <c r="N186" i="5"/>
  <c r="N189" i="5"/>
  <c r="N192" i="5"/>
  <c r="N201" i="5"/>
  <c r="N204" i="5"/>
  <c r="L156" i="5"/>
  <c r="L168" i="5"/>
  <c r="L174" i="5"/>
  <c r="L186" i="5"/>
  <c r="L189" i="5"/>
  <c r="L192" i="5"/>
  <c r="L201" i="5"/>
  <c r="L204" i="5"/>
  <c r="H156" i="5"/>
  <c r="F14" i="3" s="1"/>
  <c r="H168" i="5"/>
  <c r="J14" i="3" s="1"/>
  <c r="H174" i="5"/>
  <c r="L14" i="3" s="1"/>
  <c r="H186" i="5"/>
  <c r="P6" i="3" s="1"/>
  <c r="H189" i="5"/>
  <c r="H192" i="5"/>
  <c r="H201" i="5"/>
  <c r="H204" i="5"/>
  <c r="Z14" i="3" s="1"/>
  <c r="F156" i="5"/>
  <c r="F8" i="3" s="1"/>
  <c r="F168" i="5"/>
  <c r="J8" i="3" s="1"/>
  <c r="F174" i="5"/>
  <c r="L8" i="3" s="1"/>
  <c r="F186" i="5"/>
  <c r="P8" i="3" s="1"/>
  <c r="F189" i="5"/>
  <c r="R8" i="3" s="1"/>
  <c r="F192" i="5"/>
  <c r="T8" i="3" s="1"/>
  <c r="F201" i="5"/>
  <c r="F204" i="5"/>
  <c r="D156" i="5"/>
  <c r="D168" i="5"/>
  <c r="D174" i="5"/>
  <c r="D186" i="5"/>
  <c r="D189" i="5"/>
  <c r="D192" i="5"/>
  <c r="D201" i="5"/>
  <c r="D204" i="5"/>
  <c r="AC34" i="3"/>
  <c r="AB34" i="3"/>
  <c r="AD34" i="3"/>
  <c r="N10" i="3" l="1"/>
  <c r="N6" i="3"/>
  <c r="L10" i="3"/>
  <c r="L6" i="3"/>
  <c r="J10" i="3"/>
  <c r="J6" i="3"/>
  <c r="H10" i="3"/>
  <c r="H6" i="3"/>
  <c r="F10" i="3"/>
  <c r="F6" i="3"/>
  <c r="Z12" i="3"/>
  <c r="Z13" i="3"/>
  <c r="Z15" i="3"/>
  <c r="Z16" i="3"/>
  <c r="Z17" i="3"/>
  <c r="L17" i="3"/>
  <c r="L16" i="3"/>
  <c r="L15" i="3"/>
  <c r="L13" i="3"/>
  <c r="L12" i="3"/>
  <c r="Z11" i="3"/>
  <c r="L11" i="3"/>
  <c r="Z18" i="3"/>
  <c r="Z9" i="3"/>
  <c r="Z7" i="3"/>
  <c r="R9" i="3"/>
  <c r="R7" i="3"/>
  <c r="L18" i="3"/>
  <c r="L9" i="3"/>
  <c r="L7" i="3"/>
  <c r="N17" i="3"/>
  <c r="N16" i="3"/>
  <c r="N15" i="3"/>
  <c r="N13" i="3"/>
  <c r="N12" i="3"/>
  <c r="N11" i="3"/>
  <c r="N18" i="3"/>
  <c r="N9" i="3"/>
  <c r="N7" i="3"/>
  <c r="H17" i="3"/>
  <c r="H16" i="3"/>
  <c r="H15" i="3"/>
  <c r="H13" i="3"/>
  <c r="H12" i="3"/>
  <c r="H11" i="3"/>
  <c r="H18" i="3"/>
  <c r="H9" i="3"/>
  <c r="H7" i="3"/>
  <c r="T9" i="3"/>
  <c r="T7" i="3"/>
  <c r="P9" i="3"/>
  <c r="P7" i="3"/>
  <c r="J17" i="3"/>
  <c r="J16" i="3"/>
  <c r="J15" i="3"/>
  <c r="J13" i="3"/>
  <c r="J12" i="3"/>
  <c r="J11" i="3"/>
  <c r="J18" i="3"/>
  <c r="J9" i="3"/>
  <c r="J7" i="3"/>
  <c r="F17" i="3"/>
  <c r="F16" i="3"/>
  <c r="F15" i="3"/>
  <c r="F13" i="3"/>
  <c r="F12" i="3"/>
  <c r="F11" i="3"/>
  <c r="F18" i="3"/>
  <c r="F9" i="3"/>
  <c r="F7" i="3"/>
  <c r="Z10" i="3"/>
  <c r="Z8" i="3"/>
  <c r="D198" i="5"/>
  <c r="J198" i="5"/>
  <c r="AD19" i="3"/>
  <c r="AC19" i="3"/>
  <c r="AA18" i="3" l="1"/>
  <c r="AA17" i="3"/>
  <c r="AA16" i="3"/>
  <c r="AA15" i="3"/>
  <c r="AA14" i="3"/>
  <c r="AA6" i="3"/>
  <c r="AA9" i="3"/>
  <c r="AA7" i="3"/>
  <c r="AA8" i="3"/>
  <c r="AA11" i="3"/>
  <c r="AA12" i="3"/>
  <c r="AA13" i="3"/>
  <c r="AA10" i="3"/>
  <c r="AA21" i="3"/>
  <c r="AA22" i="3"/>
  <c r="AA23" i="3"/>
  <c r="AA26" i="3"/>
  <c r="AA27" i="3"/>
  <c r="AA28" i="3"/>
  <c r="AA32" i="3"/>
  <c r="AA33" i="3"/>
  <c r="AA20" i="3"/>
  <c r="AA24" i="3"/>
  <c r="AA25" i="3"/>
  <c r="AA29" i="3"/>
  <c r="AA30" i="3"/>
  <c r="AA31" i="3"/>
  <c r="AA34" i="3" l="1"/>
  <c r="AA19" i="3"/>
  <c r="C19" i="11" l="1"/>
  <c r="C127" i="11"/>
  <c r="D19" i="11"/>
  <c r="D127" i="11"/>
  <c r="D23" i="11" l="1"/>
  <c r="D58" i="11"/>
  <c r="D55" i="11"/>
  <c r="D24" i="11"/>
  <c r="D57" i="11"/>
  <c r="D59" i="11"/>
  <c r="D54" i="11"/>
  <c r="C54" i="11"/>
  <c r="C23" i="11"/>
  <c r="C59" i="11"/>
  <c r="C57" i="11"/>
  <c r="C24" i="11"/>
  <c r="C55" i="11"/>
  <c r="C58" i="11"/>
  <c r="C25" i="11" l="1"/>
  <c r="D25" i="11"/>
  <c r="D46" i="11" l="1"/>
  <c r="D28" i="11"/>
  <c r="D29" i="11"/>
  <c r="D30" i="11"/>
  <c r="D31" i="11"/>
  <c r="D32" i="11"/>
  <c r="D33" i="11"/>
  <c r="D34" i="11"/>
  <c r="D35" i="11"/>
  <c r="D56" i="11" s="1"/>
  <c r="D60" i="11" s="1"/>
  <c r="D129" i="11" s="1"/>
  <c r="C46" i="11"/>
  <c r="C35" i="11"/>
  <c r="C56" i="11" s="1"/>
  <c r="C60" i="11" s="1"/>
  <c r="C129" i="11" s="1"/>
  <c r="C28" i="11"/>
  <c r="C34" i="11"/>
  <c r="C33" i="11"/>
  <c r="C32" i="11"/>
  <c r="C31" i="11"/>
  <c r="C30" i="11"/>
  <c r="C29" i="11"/>
  <c r="C36" i="11" l="1"/>
  <c r="D36" i="11"/>
  <c r="D47" i="11" l="1"/>
  <c r="D49" i="11" s="1"/>
  <c r="D74" i="11"/>
  <c r="C47" i="11"/>
  <c r="C49" i="11" s="1"/>
  <c r="C74" i="11"/>
  <c r="C79" i="11" l="1"/>
  <c r="C75" i="11"/>
  <c r="C128" i="11"/>
  <c r="C66" i="11"/>
  <c r="C67" i="11"/>
  <c r="C65" i="11"/>
  <c r="C64" i="11"/>
  <c r="D75" i="11"/>
  <c r="D79" i="11"/>
  <c r="D128" i="11"/>
  <c r="D64" i="11"/>
  <c r="D65" i="11"/>
  <c r="D67" i="11"/>
  <c r="D66" i="11"/>
  <c r="C69" i="11" l="1"/>
  <c r="C77" i="11" s="1"/>
  <c r="C80" i="11" s="1"/>
  <c r="D69" i="11"/>
  <c r="D77" i="11" s="1"/>
  <c r="D80" i="11" s="1"/>
  <c r="C130" i="11"/>
  <c r="C95" i="11"/>
  <c r="C96" i="11" s="1"/>
  <c r="C132" i="11"/>
  <c r="C108" i="11" l="1"/>
  <c r="C100" i="11"/>
  <c r="C104" i="11"/>
  <c r="C101" i="11"/>
  <c r="C109" i="11"/>
  <c r="C98" i="11"/>
  <c r="C102" i="11"/>
  <c r="C106" i="11"/>
  <c r="C118" i="11" s="1"/>
  <c r="C136" i="11" s="1"/>
  <c r="C142" i="11" s="1"/>
  <c r="C110" i="11"/>
  <c r="C114" i="11"/>
  <c r="C112" i="11"/>
  <c r="C97" i="11"/>
  <c r="C105" i="11"/>
  <c r="C113" i="11"/>
  <c r="C99" i="11"/>
  <c r="C103" i="11"/>
  <c r="C117" i="11" s="1"/>
  <c r="C135" i="11" s="1"/>
  <c r="C141" i="11" s="1"/>
  <c r="C107" i="11"/>
  <c r="C111" i="11"/>
  <c r="C120" i="11"/>
  <c r="C138" i="11" s="1"/>
  <c r="C144" i="11" s="1"/>
  <c r="C119" i="11"/>
  <c r="C137" i="11" s="1"/>
  <c r="C143" i="11" s="1"/>
  <c r="C116" i="11"/>
  <c r="C134" i="11" s="1"/>
  <c r="C140" i="11" s="1"/>
  <c r="C115" i="11"/>
  <c r="C133" i="11" s="1"/>
  <c r="C139" i="11" s="1"/>
  <c r="D130" i="11"/>
  <c r="D132" i="11" s="1"/>
  <c r="D95" i="11"/>
  <c r="D96" i="11"/>
  <c r="D112" i="11" l="1"/>
  <c r="D113" i="11"/>
  <c r="D114" i="11"/>
  <c r="D120" i="11"/>
  <c r="D138" i="11" s="1"/>
  <c r="D144" i="11" s="1"/>
  <c r="D97" i="11"/>
  <c r="D115" i="11" s="1"/>
  <c r="D133" i="11" s="1"/>
  <c r="D139" i="11" s="1"/>
  <c r="D98" i="11"/>
  <c r="D99" i="11"/>
  <c r="D100" i="11"/>
  <c r="D116" i="11" s="1"/>
  <c r="D134" i="11" s="1"/>
  <c r="D140" i="11" s="1"/>
  <c r="D101" i="11"/>
  <c r="D102" i="11"/>
  <c r="D103" i="11"/>
  <c r="D117" i="11" s="1"/>
  <c r="D135" i="11" s="1"/>
  <c r="D104" i="11"/>
  <c r="D105" i="11"/>
  <c r="D106" i="11"/>
  <c r="D118" i="11" s="1"/>
  <c r="D136" i="11" s="1"/>
  <c r="D107" i="11"/>
  <c r="D108" i="11"/>
  <c r="D109" i="11"/>
  <c r="D119" i="11" s="1"/>
  <c r="D137" i="11" s="1"/>
  <c r="D110" i="11"/>
  <c r="D111" i="11"/>
  <c r="D143" i="11"/>
  <c r="D142" i="11"/>
  <c r="D141" i="11"/>
  <c r="C178" i="11"/>
  <c r="D178" i="11" s="1"/>
  <c r="D180" i="11" s="1"/>
  <c r="N44" i="3" s="1"/>
  <c r="C160" i="11"/>
  <c r="D160" i="11" s="1"/>
  <c r="D162" i="11" s="1"/>
  <c r="H44" i="3" s="1"/>
  <c r="C145" i="11"/>
  <c r="AC44" i="3" s="1"/>
  <c r="E178" i="11"/>
  <c r="F178" i="11" s="1"/>
  <c r="F180" i="11" s="1"/>
  <c r="C146" i="11"/>
  <c r="AC41" i="3" s="1"/>
  <c r="E160" i="11"/>
  <c r="F160" i="11" s="1"/>
  <c r="F162" i="11" s="1"/>
  <c r="H41" i="3" s="1"/>
  <c r="G178" i="11"/>
  <c r="H178" i="11" s="1"/>
  <c r="H180" i="11" s="1"/>
  <c r="C147" i="11"/>
  <c r="G160" i="11"/>
  <c r="H160" i="11" s="1"/>
  <c r="H162" i="11" s="1"/>
  <c r="C148" i="11"/>
  <c r="I178" i="11"/>
  <c r="J178" i="11" s="1"/>
  <c r="J180" i="11" s="1"/>
  <c r="K160" i="11"/>
  <c r="L160" i="11" s="1"/>
  <c r="L162" i="11" s="1"/>
  <c r="C149" i="11"/>
  <c r="K178" i="11"/>
  <c r="L178" i="11" s="1"/>
  <c r="L180" i="11" s="1"/>
  <c r="M178" i="11"/>
  <c r="N178" i="11" s="1"/>
  <c r="N180" i="11" s="1"/>
  <c r="C150" i="11"/>
  <c r="M160" i="11"/>
  <c r="N160" i="11" s="1"/>
  <c r="N162" i="11" s="1"/>
  <c r="AC36" i="3" l="1"/>
  <c r="AC35" i="3"/>
  <c r="AC43" i="3"/>
  <c r="AC42" i="3"/>
  <c r="AC40" i="3"/>
  <c r="AC39" i="3"/>
  <c r="AC38" i="3"/>
  <c r="AC37" i="3"/>
  <c r="AC45" i="3" s="1"/>
  <c r="H36" i="3"/>
  <c r="H35" i="3"/>
  <c r="N36" i="3"/>
  <c r="N35" i="3"/>
  <c r="H39" i="3"/>
  <c r="H37" i="3"/>
  <c r="H43" i="3"/>
  <c r="H38" i="3"/>
  <c r="H40" i="3"/>
  <c r="H42" i="3"/>
  <c r="N43" i="3"/>
  <c r="N42" i="3"/>
  <c r="N40" i="3"/>
  <c r="N39" i="3"/>
  <c r="N38" i="3"/>
  <c r="N37" i="3"/>
  <c r="G154" i="11"/>
  <c r="H154" i="11" s="1"/>
  <c r="H156" i="11" s="1"/>
  <c r="G199" i="11"/>
  <c r="H199" i="11" s="1"/>
  <c r="H201" i="11" s="1"/>
  <c r="G190" i="11"/>
  <c r="H190" i="11" s="1"/>
  <c r="H192" i="11" s="1"/>
  <c r="G172" i="11"/>
  <c r="H172" i="11" s="1"/>
  <c r="H174" i="11" s="1"/>
  <c r="G166" i="11"/>
  <c r="H166" i="11" s="1"/>
  <c r="H168" i="11" s="1"/>
  <c r="G184" i="11"/>
  <c r="H184" i="11" s="1"/>
  <c r="H186" i="11" s="1"/>
  <c r="G187" i="11"/>
  <c r="H187" i="11" s="1"/>
  <c r="H189" i="11" s="1"/>
  <c r="G202" i="11"/>
  <c r="H202" i="11" s="1"/>
  <c r="H204" i="11" s="1"/>
  <c r="E154" i="11"/>
  <c r="F154" i="11" s="1"/>
  <c r="F156" i="11" s="1"/>
  <c r="E199" i="11"/>
  <c r="F199" i="11" s="1"/>
  <c r="F201" i="11" s="1"/>
  <c r="E190" i="11"/>
  <c r="F190" i="11" s="1"/>
  <c r="F192" i="11" s="1"/>
  <c r="E172" i="11"/>
  <c r="F172" i="11" s="1"/>
  <c r="F174" i="11" s="1"/>
  <c r="E166" i="11"/>
  <c r="F166" i="11" s="1"/>
  <c r="F168" i="11" s="1"/>
  <c r="E184" i="11"/>
  <c r="F184" i="11" s="1"/>
  <c r="F186" i="11" s="1"/>
  <c r="E187" i="11"/>
  <c r="F187" i="11" s="1"/>
  <c r="F189" i="11" s="1"/>
  <c r="E202" i="11"/>
  <c r="F202" i="11" s="1"/>
  <c r="F204" i="11" s="1"/>
  <c r="Z41" i="3" s="1"/>
  <c r="M154" i="11"/>
  <c r="N154" i="11" s="1"/>
  <c r="N156" i="11" s="1"/>
  <c r="F35" i="3" s="1"/>
  <c r="M190" i="11"/>
  <c r="N190" i="11" s="1"/>
  <c r="N192" i="11" s="1"/>
  <c r="M187" i="11"/>
  <c r="N187" i="11" s="1"/>
  <c r="N189" i="11" s="1"/>
  <c r="M172" i="11"/>
  <c r="N172" i="11" s="1"/>
  <c r="N174" i="11" s="1"/>
  <c r="M199" i="11"/>
  <c r="N199" i="11" s="1"/>
  <c r="N201" i="11" s="1"/>
  <c r="M166" i="11"/>
  <c r="N166" i="11" s="1"/>
  <c r="N168" i="11" s="1"/>
  <c r="J35" i="3" s="1"/>
  <c r="M184" i="11"/>
  <c r="N184" i="11" s="1"/>
  <c r="N186" i="11" s="1"/>
  <c r="P35" i="3" s="1"/>
  <c r="M202" i="11"/>
  <c r="N202" i="11" s="1"/>
  <c r="N204" i="11" s="1"/>
  <c r="C202" i="11"/>
  <c r="D202" i="11" s="1"/>
  <c r="D204" i="11" s="1"/>
  <c r="C199" i="11"/>
  <c r="D199" i="11" s="1"/>
  <c r="D201" i="11" s="1"/>
  <c r="C190" i="11"/>
  <c r="D190" i="11" s="1"/>
  <c r="D192" i="11" s="1"/>
  <c r="C187" i="11"/>
  <c r="D187" i="11" s="1"/>
  <c r="D189" i="11" s="1"/>
  <c r="C172" i="11"/>
  <c r="D172" i="11" s="1"/>
  <c r="D174" i="11" s="1"/>
  <c r="C166" i="11"/>
  <c r="D166" i="11" s="1"/>
  <c r="D168" i="11" s="1"/>
  <c r="C154" i="11"/>
  <c r="D154" i="11" s="1"/>
  <c r="D156" i="11" s="1"/>
  <c r="C184" i="11"/>
  <c r="D184" i="11" s="1"/>
  <c r="D186" i="11" s="1"/>
  <c r="P44" i="3" s="1"/>
  <c r="AA44" i="3" s="1"/>
  <c r="I199" i="11"/>
  <c r="J199" i="11" s="1"/>
  <c r="J201" i="11" s="1"/>
  <c r="I190" i="11"/>
  <c r="J190" i="11" s="1"/>
  <c r="J192" i="11" s="1"/>
  <c r="I187" i="11"/>
  <c r="J187" i="11" s="1"/>
  <c r="J189" i="11" s="1"/>
  <c r="I184" i="11"/>
  <c r="J184" i="11" s="1"/>
  <c r="J186" i="11" s="1"/>
  <c r="I172" i="11"/>
  <c r="J172" i="11" s="1"/>
  <c r="J174" i="11" s="1"/>
  <c r="I166" i="11"/>
  <c r="J166" i="11" s="1"/>
  <c r="J168" i="11" s="1"/>
  <c r="I154" i="11"/>
  <c r="J154" i="11" s="1"/>
  <c r="J156" i="11" s="1"/>
  <c r="K202" i="11"/>
  <c r="L202" i="11" s="1"/>
  <c r="L204" i="11" s="1"/>
  <c r="K199" i="11"/>
  <c r="L199" i="11" s="1"/>
  <c r="L201" i="11" s="1"/>
  <c r="K190" i="11"/>
  <c r="L190" i="11" s="1"/>
  <c r="L192" i="11" s="1"/>
  <c r="K187" i="11"/>
  <c r="L187" i="11" s="1"/>
  <c r="L189" i="11" s="1"/>
  <c r="K184" i="11"/>
  <c r="L184" i="11" s="1"/>
  <c r="L186" i="11" s="1"/>
  <c r="K172" i="11"/>
  <c r="L172" i="11" s="1"/>
  <c r="L174" i="11" s="1"/>
  <c r="K166" i="11"/>
  <c r="L166" i="11" s="1"/>
  <c r="L168" i="11" s="1"/>
  <c r="K154" i="11"/>
  <c r="L154" i="11" s="1"/>
  <c r="L156" i="11" s="1"/>
  <c r="Z35" i="3" l="1"/>
  <c r="AA35" i="3" s="1"/>
  <c r="Z36" i="3"/>
  <c r="AA41" i="3"/>
  <c r="Z37" i="3"/>
  <c r="Z38" i="3"/>
  <c r="Z40" i="3"/>
  <c r="Z43" i="3"/>
  <c r="R37" i="3"/>
  <c r="R40" i="3"/>
  <c r="R43" i="3"/>
  <c r="P37" i="3"/>
  <c r="P38" i="3"/>
  <c r="P40" i="3"/>
  <c r="P43" i="3"/>
  <c r="J37" i="3"/>
  <c r="J38" i="3"/>
  <c r="J40" i="3"/>
  <c r="J43" i="3"/>
  <c r="F37" i="3"/>
  <c r="F43" i="3"/>
  <c r="AA43" i="3" s="1"/>
  <c r="F38" i="3"/>
  <c r="F40" i="3"/>
  <c r="AA42" i="3"/>
  <c r="AA39" i="3"/>
  <c r="AA36" i="3"/>
  <c r="AA40" i="3" l="1"/>
  <c r="AA37" i="3"/>
  <c r="AA38" i="3"/>
  <c r="AA45" i="3" l="1"/>
  <c r="AE49" i="3" s="1"/>
  <c r="AE50" i="3" s="1"/>
</calcChain>
</file>

<file path=xl/sharedStrings.xml><?xml version="1.0" encoding="utf-8"?>
<sst xmlns="http://schemas.openxmlformats.org/spreadsheetml/2006/main" count="2956" uniqueCount="607">
  <si>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</si>
  <si>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</si>
  <si>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</si>
  <si>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</si>
  <si>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</si>
  <si>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</si>
  <si>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</si>
  <si>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</si>
  <si>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</si>
  <si>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>RS000051/2022</t>
  </si>
  <si>
    <t>RS005021/2022</t>
  </si>
  <si>
    <t>5143-20</t>
  </si>
  <si>
    <t>RS000052/2022</t>
  </si>
  <si>
    <t>Carga horária semanal</t>
  </si>
  <si>
    <t>Salário Base (Cl. 3ª)</t>
  </si>
  <si>
    <t>Encarregado acima de 20 empregados (Caderno Técnico)</t>
  </si>
  <si>
    <t>Limpador Alpinista (vidros e fachadas de risco) (Cl. 4ª)</t>
  </si>
  <si>
    <t>PEL/URG</t>
  </si>
  <si>
    <t xml:space="preserve">STM </t>
  </si>
  <si>
    <t>Valor da diária do carregador</t>
  </si>
  <si>
    <t>Valor baseado em Pesquisa de Preços anexa ao Processo</t>
  </si>
  <si>
    <t>módulo 2</t>
  </si>
  <si>
    <t>Módulo 2.3</t>
  </si>
  <si>
    <t>Valor CCT</t>
  </si>
  <si>
    <t>custo empregado</t>
  </si>
  <si>
    <t>custo da empresa</t>
  </si>
  <si>
    <t>Auxílio alimentação 44h  ( Cl.18ª)</t>
  </si>
  <si>
    <t>Auxílio alimentação 30h/20h  ( Cl.18ª)</t>
  </si>
  <si>
    <t>Auxílio transporte  ( Cl.20ª)</t>
  </si>
  <si>
    <t>Prêmio Assiduidade  ( Cl.)</t>
  </si>
  <si>
    <t>Assistência ao Trabalhador  ( Cl.)</t>
  </si>
  <si>
    <t>Ajuda de Custo  limpeza de vidros e fachadas de risco</t>
  </si>
  <si>
    <t>Benefício assistência médica</t>
  </si>
  <si>
    <t>Benefício social familiar  ( Cl.29ª)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</si>
  <si>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</si>
  <si>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</si>
  <si>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</si>
  <si>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</si>
  <si>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</si>
  <si>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</si>
  <si>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</si>
  <si>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</si>
  <si>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</si>
  <si>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</si>
  <si>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</si>
  <si>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</si>
  <si>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</si>
  <si>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</si>
  <si>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</si>
  <si>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</si>
  <si>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</si>
  <si>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</si>
  <si>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</si>
  <si>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– Rio Grande do Sul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</si>
  <si>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</si>
  <si>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</si>
  <si>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</si>
  <si>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</si>
  <si>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</si>
  <si>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</si>
  <si>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</si>
  <si>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</si>
  <si>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</si>
  <si>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>*Expectativa anual de nascimento de filhos dos trabalhadores (IBGE – Manual de Preenchimento da Planilha de Custos):</t>
  </si>
  <si>
    <t>**Percentual de Homens: Limpeza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</si>
  <si>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</si>
  <si>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</si>
  <si>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</si>
  <si>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</si>
  <si>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</si>
  <si>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</si>
  <si>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>*Percentual de Mulheres Limpeza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</si>
  <si>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</si>
  <si>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</si>
  <si>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</si>
  <si>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</si>
  <si>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</si>
  <si>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Pelotas</t>
  </si>
  <si>
    <t>ISS</t>
  </si>
  <si>
    <t>VT</t>
  </si>
  <si>
    <t>Serventes</t>
  </si>
  <si>
    <t>VT*Servente</t>
  </si>
  <si>
    <t>Unidade Orgânica GEX Santa Maria</t>
  </si>
  <si>
    <t>GERÊNCIA EXECUTIVA PELOTAS</t>
  </si>
  <si>
    <t>GEX SANTA MARIA</t>
  </si>
  <si>
    <t>APS BAGÉ</t>
  </si>
  <si>
    <t>4,15</t>
  </si>
  <si>
    <t>APS CAÇAPAVA DO SUL</t>
  </si>
  <si>
    <t>APS CAMAQUÃ</t>
  </si>
  <si>
    <t>3,00</t>
  </si>
  <si>
    <t>APS CACHOEIRA DO SUL</t>
  </si>
  <si>
    <t>APS JAGUARÃO</t>
  </si>
  <si>
    <t>APS CANDELÁRIA</t>
  </si>
  <si>
    <t>APS PELOTAS</t>
  </si>
  <si>
    <t>APS RIO PARDO</t>
  </si>
  <si>
    <t>APS RIO GRANDE</t>
  </si>
  <si>
    <t>4,35</t>
  </si>
  <si>
    <t>APS SANTA CRUZ DO SUL</t>
  </si>
  <si>
    <t>APS SÃO LOURENÇO DO SUL</t>
  </si>
  <si>
    <t>APS SANTA MARIA</t>
  </si>
  <si>
    <t>APS CANGUÇU</t>
  </si>
  <si>
    <t>APS SANTIAGO</t>
  </si>
  <si>
    <t>APS SANTA VITÓRIA DO PALMAR</t>
  </si>
  <si>
    <t>APS VENÂNCIO AIRES</t>
  </si>
  <si>
    <t xml:space="preserve">APS TAPES </t>
  </si>
  <si>
    <t>APS CACEQUI</t>
  </si>
  <si>
    <t>APS CAPÃO DO LEÃO</t>
  </si>
  <si>
    <t>3,65</t>
  </si>
  <si>
    <t>APS JÚLIO DE CASTILHOS</t>
  </si>
  <si>
    <t>APS SÃO JOSÉ DO NORTE</t>
  </si>
  <si>
    <t>3,50</t>
  </si>
  <si>
    <t>APS SOBRADINHO/RS</t>
  </si>
  <si>
    <t>APS PIRATINI</t>
  </si>
  <si>
    <t>APS TUPANCIRETÃ</t>
  </si>
  <si>
    <t>Média Simples VT</t>
  </si>
  <si>
    <t>APS ENCRUZILHADA DO SUL</t>
  </si>
  <si>
    <t>Média Ponderada VT</t>
  </si>
  <si>
    <t>Unidade Orgânica GEX Uruguaiana</t>
  </si>
  <si>
    <t>GERÊNCIA EXECUTIVA URUGUAIANA</t>
  </si>
  <si>
    <t>APS Uruguaiana</t>
  </si>
  <si>
    <t>APS ALEGRETE</t>
  </si>
  <si>
    <t>APS SANTANA DO LIVRAMENTO</t>
  </si>
  <si>
    <t>APS SÃO BORJA</t>
  </si>
  <si>
    <t>APS SÃO GABRIEL/RS</t>
  </si>
  <si>
    <t>APS DOM PEDRITO</t>
  </si>
  <si>
    <t>APS ITAQUI</t>
  </si>
  <si>
    <t>APS ROSÁRIO DO SUL</t>
  </si>
  <si>
    <t>APS QUARAÍ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</si>
  <si>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</si>
  <si>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</si>
  <si>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</si>
  <si>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</si>
  <si>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</si>
  <si>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</si>
  <si>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</si>
  <si>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</si>
  <si>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</si>
  <si>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</si>
  <si>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</si>
  <si>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</si>
  <si>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</si>
  <si>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</si>
  <si>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</si>
  <si>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</si>
  <si>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</si>
  <si>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</si>
  <si>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</si>
  <si>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</si>
  <si>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</si>
  <si>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</si>
  <si>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</si>
  <si>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</si>
  <si>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</si>
  <si>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</si>
  <si>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</si>
  <si>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</si>
  <si>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</si>
  <si>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</si>
  <si>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</si>
  <si>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</si>
  <si>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</si>
  <si>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</si>
  <si>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</si>
  <si>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</si>
  <si>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</si>
  <si>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</si>
  <si>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</si>
  <si>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</si>
  <si>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</si>
  <si>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</si>
  <si>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</si>
  <si>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</si>
  <si>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</si>
  <si>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</si>
  <si>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</si>
  <si>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</si>
  <si>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</si>
  <si>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</si>
  <si>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</si>
  <si>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</si>
  <si>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</si>
  <si>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</si>
  <si>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</si>
  <si>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</si>
  <si>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</si>
  <si>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</si>
  <si>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</si>
  <si>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</si>
  <si>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</si>
  <si>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</si>
  <si>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</si>
  <si>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</si>
  <si>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</si>
  <si>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</si>
  <si>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</si>
  <si>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</si>
  <si>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</si>
  <si>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</si>
  <si>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</si>
  <si>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</si>
  <si>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</si>
  <si>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</si>
  <si>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</si>
  <si>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</si>
  <si>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</si>
  <si>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</si>
  <si>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</si>
  <si>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CUSTO MATERIAIS MENSAL POR SERVENTE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</si>
  <si>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</si>
  <si>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</si>
  <si>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</si>
  <si>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</si>
  <si>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</si>
  <si>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</si>
  <si>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</si>
  <si>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</si>
  <si>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</si>
  <si>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</si>
  <si>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</si>
  <si>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</si>
  <si>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</si>
  <si>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</si>
  <si>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</si>
  <si>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</si>
  <si>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</si>
  <si>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</si>
  <si>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</si>
  <si>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</si>
  <si>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</si>
  <si>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</si>
  <si>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</si>
  <si>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</si>
  <si>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</si>
  <si>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</si>
  <si>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</si>
  <si>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</si>
  <si>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</si>
  <si>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</si>
  <si>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</si>
  <si>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</si>
  <si>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</si>
  <si>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</si>
  <si>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</si>
  <si>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</si>
  <si>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</si>
  <si>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</si>
  <si>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</si>
  <si>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</si>
  <si>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</si>
  <si>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</si>
  <si>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</si>
  <si>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</si>
  <si>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</si>
  <si>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</si>
  <si>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</si>
  <si>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</si>
  <si>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</si>
  <si>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</t>
  </si>
  <si>
    <t>X. Diversos</t>
  </si>
  <si>
    <t>EQUIPAMENTOS</t>
  </si>
  <si>
    <t>QUANTIDADE DEFINIDA (1 por Unidade) GEXPEL</t>
  </si>
  <si>
    <t>QUANTIDADE DEFINIDA (1 por Unidade) GEXSTM</t>
  </si>
  <si>
    <t>QUANTIDADE DEFINIDA (1 por Unidade) GEXURG</t>
  </si>
  <si>
    <t>CUSTO MENSAL EQUIPAMENTOS (R$) - GEXPEL</t>
  </si>
  <si>
    <t>CUSTO MENSAL EQUIPAMENTOS (R$) - GEXSTM</t>
  </si>
  <si>
    <t>CUSTO MENSAL EQUIPAMENTOS (R$) - GEXURG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</si>
  <si>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</si>
  <si>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</si>
  <si>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</si>
  <si>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</si>
  <si>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</si>
  <si>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</si>
  <si>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>Lavadora de alta pressão mínimo 1.500 LB</t>
  </si>
  <si>
    <t>Mangueira de jardim 20m, c/ esguicho/engate</t>
  </si>
  <si>
    <t>Placa sinalizadora (Piso Molhado - 2 por APS)</t>
  </si>
  <si>
    <t>Rastelo de Jardim (somente APS com áreas verdes)</t>
  </si>
  <si>
    <t>TOTAL GERAL (60 MESES)</t>
  </si>
  <si>
    <t>TOTAL ANUAL DE EQUIPAMENTOS  - Depreciação Anual conforme tabela da RFB - 10%</t>
  </si>
  <si>
    <t>VALOR POR SERVENTE</t>
  </si>
  <si>
    <t>UNIFORMES</t>
  </si>
  <si>
    <t>QUANTIDADE DEFINIDA (anual) – GEXPEL</t>
  </si>
  <si>
    <t>QUANTIDADE DEFINIDA (anual) – GEXSTM</t>
  </si>
  <si>
    <t>QUANTIDADE DEFINIDA (anual) – GEXURG</t>
  </si>
  <si>
    <t>PREÇO MÉDIO – PAINEL DE PREÇOS</t>
  </si>
  <si>
    <t>PEÇO MÉDIO - INTERNET</t>
  </si>
  <si>
    <t>CUSTO MÉDIO</t>
  </si>
  <si>
    <t>CUSTO MENSAL UNIFORMES – GEXPEL</t>
  </si>
  <si>
    <t>CUSTO MENSAL UNIFORMES – GEXSTM</t>
  </si>
  <si>
    <t>CUSTO MENSAL UNIFORMES – GEXURG</t>
  </si>
  <si>
    <t>SERVENTES</t>
  </si>
  <si>
    <t>Bata (avental)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</si>
  <si>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</si>
  <si>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</si>
  <si>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</si>
  <si>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</si>
  <si>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</si>
  <si>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</si>
  <si>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>Calça Social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</si>
  <si>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</si>
  <si>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</si>
  <si>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</si>
  <si>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</si>
  <si>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</si>
  <si>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</si>
  <si>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</si>
  <si>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</si>
  <si>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</si>
  <si>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</si>
  <si>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</si>
  <si>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</si>
  <si>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</si>
  <si>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</si>
  <si>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</si>
  <si>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</si>
  <si>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</si>
  <si>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</si>
  <si>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</si>
  <si>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</si>
  <si>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</si>
  <si>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</si>
  <si>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</si>
  <si>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</si>
  <si>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</si>
  <si>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</si>
  <si>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</si>
  <si>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</si>
  <si>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</si>
  <si>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</si>
  <si>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</si>
  <si>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</si>
  <si>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</si>
  <si>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</si>
  <si>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</si>
  <si>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</si>
  <si>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</si>
  <si>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ÁREA INTERNA</t>
  </si>
  <si>
    <t>ÁREA EXTERNA</t>
  </si>
  <si>
    <t>ESQUADRIAS</t>
  </si>
  <si>
    <t>ITEM 26</t>
  </si>
  <si>
    <t>ITEM 27</t>
  </si>
  <si>
    <t>ITEM 28</t>
  </si>
  <si>
    <t>ITEM 29</t>
  </si>
  <si>
    <t>ITEM 30</t>
  </si>
  <si>
    <t>Unidade Orgânica</t>
  </si>
  <si>
    <t>ISS %</t>
  </si>
  <si>
    <r>
      <rPr>
        <b/>
        <sz val="9"/>
        <color rgb="FF000000"/>
        <rFont val="Calibri"/>
        <family val="2"/>
        <charset val="1"/>
      </rP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</si>
  <si>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rPr>
        <b/>
        <sz val="9"/>
        <color rgb="FF000000"/>
        <rFont val="Calibri"/>
        <family val="2"/>
        <charset val="1"/>
      </rPr>
      <t>AI-1b:</t>
    </r>
    <r>
      <rPr>
        <sz val="9"/>
        <color rgb="FF000000"/>
        <rFont val="Calibri"/>
        <family val="2"/>
        <charset val="1"/>
      </rPr>
      <t xml:space="preserve"> 
Pisos frios
(incluindo banheiros)</t>
    </r>
  </si>
  <si>
    <r>
      <rPr>
        <b/>
        <sz val="9"/>
        <color rgb="FF000000"/>
        <rFont val="Calibri"/>
        <family val="2"/>
        <charset val="1"/>
      </rP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</si>
  <si>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rPr>
        <b/>
        <sz val="9"/>
        <color rgb="FF000000"/>
        <rFont val="Calibri"/>
        <family val="2"/>
        <charset val="1"/>
      </rP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</si>
  <si>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rPr>
        <b/>
        <sz val="9"/>
        <color rgb="FF000000"/>
        <rFont val="Calibri"/>
        <family val="2"/>
        <charset val="1"/>
      </rP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</si>
  <si>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rPr>
        <b/>
        <sz val="9"/>
        <color rgb="FF000000"/>
        <rFont val="Calibri"/>
        <family val="2"/>
        <charset val="1"/>
      </rP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</si>
  <si>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</si>
  <si>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rPr>
        <b/>
        <sz val="9"/>
        <color rgb="FF000000"/>
        <rFont val="Calibri"/>
        <family val="2"/>
        <charset val="1"/>
      </rP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</si>
  <si>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rPr>
        <b/>
        <sz val="10"/>
        <color rgb="FF000000"/>
        <rFont val="Calibri"/>
        <family val="2"/>
        <charset val="1"/>
      </rP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</si>
  <si>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rPr>
        <b/>
        <sz val="10"/>
        <color rgb="FF000000"/>
        <rFont val="Calibri"/>
        <family val="2"/>
        <charset val="1"/>
      </rP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</si>
  <si>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rPr>
        <b/>
        <sz val="9"/>
        <color rgb="FF000000"/>
        <rFont val="Calibri"/>
        <family val="2"/>
        <charset val="1"/>
      </rP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</si>
  <si>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</si>
  <si>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</si>
  <si>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</si>
  <si>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</si>
  <si>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
Diárias carregadores</t>
  </si>
  <si>
    <t>Qtde de serventes ajustada LIMPEZA ORDINÁRIA e carga horária</t>
  </si>
  <si>
    <t>Qtde Ajustada Qtde postos COVID e Carga horária servente</t>
  </si>
  <si>
    <t>Área</t>
  </si>
  <si>
    <t>Preço m²</t>
  </si>
  <si>
    <t>R$</t>
  </si>
  <si>
    <t>40h (40%)</t>
  </si>
  <si>
    <t>40h (20%)</t>
  </si>
  <si>
    <t>30h (40%)</t>
  </si>
  <si>
    <t>30h (20%)</t>
  </si>
  <si>
    <t>40h</t>
  </si>
  <si>
    <t>30h</t>
  </si>
  <si>
    <t>20h</t>
  </si>
  <si>
    <t>R Barão de Butui, 316 2º e 3 º andares Centro Pelotas - RS. CEP: 96010330</t>
  </si>
  <si>
    <t>Rua Gomes Carneiro, 1240, Centro, CEP 96400-130</t>
  </si>
  <si>
    <t>Av. Antonio Duro, 1130 Bairro Olaria - Camaquã RS cep. 96785226</t>
  </si>
  <si>
    <t>Av. 27 de Janeiro, 1156, Centro, Jaguarão, RS, CEP 96300-000</t>
  </si>
  <si>
    <t>Rua Almirante Barroso, 1883, Centro, Pelotas-RS CEP 96010-280</t>
  </si>
  <si>
    <t>Rua General Bacelar nº 97 centro Rio GRANDE /CEP 96200370</t>
  </si>
  <si>
    <t>Av. Mal. Floriano Peixoto, 2174 - São Lourenço do Sul/RS CEP: 96170-000</t>
  </si>
  <si>
    <t>Rua Osvaldo Aranha, nº 295, Centro, Canguçu-RS (CEP: 96600-000)</t>
  </si>
  <si>
    <t>Rua João de Oliveira Rodrigues, nº 1797, Centro, Santa Vitória do Palmar - RS (Cep 96230-000)</t>
  </si>
  <si>
    <t>Rua Coronel Pacheco, 1090, Centro, Tapes-RS  CEP 96760-000</t>
  </si>
  <si>
    <t>Avenida Narciso Silva, 2220, Centro, Capão do Leão - RS CEP 96160-000</t>
  </si>
  <si>
    <t>Rua Eng. Fernando Duprat da Silva, 607, João Landel/São José do Norte/RS/96225000</t>
  </si>
  <si>
    <t>Rua Conceição Peres de Avila, 78, Centro  Piratini/RS, CEP: 96.490-000</t>
  </si>
  <si>
    <t>Total Mensal GEX Pelotas</t>
  </si>
  <si>
    <t>Rua Venâncio Aires 2114, centro Santa Maria-RS</t>
  </si>
  <si>
    <t>Rua Barão de Caçapava, 633, Centro, Caçapava do Sul/RS, 96570-000</t>
  </si>
  <si>
    <t>General Portinho, 1785 </t>
  </si>
  <si>
    <t>Rua 25 de Agosto 80 - Centro Candelaria- Rs CEP 96.930-000</t>
  </si>
  <si>
    <t>Rua Adolfo Pritsch, nº 504</t>
  </si>
  <si>
    <t xml:space="preserve">Rua Ramiro Barcelos, 1430, Centro, Santa Cruz do Sul/RS - 96-810.152
</t>
  </si>
  <si>
    <t>RUA FRANCISCO CAMARGO, 128, CENTRO, SANTIAGO, RS CEP 97.700-100</t>
  </si>
  <si>
    <t>Rua Jacob Becker, 1733, Venâncio Aires – RS</t>
  </si>
  <si>
    <t>Rua sete de setembro,276, centro - 97450-000</t>
  </si>
  <si>
    <t>AV. BETO SALLES, 55, CENTRO, JULIO DE CASTILHOS/RS</t>
  </si>
  <si>
    <t>Rua Pedro Alváres Cabral, S/Nº, Centro, Sobradinho/RS</t>
  </si>
  <si>
    <t>Rua Capitão Amorim S/N</t>
  </si>
  <si>
    <t>Avenida General Osório, 335. Centro. Enruzilhada do Sul-RS</t>
  </si>
  <si>
    <t>Total Mensal GEX Santa Maria</t>
  </si>
  <si>
    <t>Rua Tiradentes, 2781 – Centro – Uruguaiana</t>
  </si>
  <si>
    <t>Rua Bento Gonçalves, 592 - Fundos – Cidade Alta – Alegrete</t>
  </si>
  <si>
    <t>Rua Silveira Martins, 464 – Centro – Santana do Livramento</t>
  </si>
  <si>
    <t>Rua General Osório, 1842 – Centro – São Borja</t>
  </si>
  <si>
    <t>Praça Camilo Mércio, 77 – Centro – São Gabriel</t>
  </si>
  <si>
    <t>Rua Moreira César, 1046 – Centro – Dom Pedrito</t>
  </si>
  <si>
    <t>Rua Borges do Canto, 984 – Centro – Itaqui</t>
  </si>
  <si>
    <t>Rua Amaro Souto, 1963 – Centro – Rosário do Sul</t>
  </si>
  <si>
    <t>Rua Sião, 70 – Quaraí</t>
  </si>
  <si>
    <t>Total Mensal GEX Uruguaiana</t>
  </si>
  <si>
    <t>TOTAL GERAL</t>
  </si>
  <si>
    <t>Total A23:Q59Mensais GEX Curitiba</t>
  </si>
  <si>
    <t>Área útil total</t>
  </si>
  <si>
    <t>AI-4: 
Banheiros</t>
  </si>
  <si>
    <r>
      <rPr>
        <b/>
        <sz val="9"/>
        <color rgb="FF000000"/>
        <rFont val="Calibri"/>
        <family val="2"/>
        <charset val="1"/>
      </rPr>
      <t xml:space="preserve">AE-2:
</t>
    </r>
    <r>
      <rPr>
        <sz val="9"/>
        <color rgb="FF000000"/>
        <rFont val="Calibri"/>
        <family val="2"/>
        <charset val="1"/>
      </rPr>
      <t>coleta de detritos em pátios e áreas verdes com frequência diária</t>
    </r>
  </si>
  <si>
    <t>Serventes por Unidade (Calculada)</t>
  </si>
  <si>
    <t>Qtde horas eventuais Limpeza Ordinária/Mês</t>
  </si>
  <si>
    <t>Qtde horas eventuais COVID/Mês</t>
  </si>
  <si>
    <t>Qtde Diárias carregadores/Mês</t>
  </si>
  <si>
    <t>Qtde postos e Carga horária ENCARREGADA</t>
  </si>
  <si>
    <t>h</t>
  </si>
  <si>
    <t>diarias</t>
  </si>
  <si>
    <t>Total Geral</t>
  </si>
  <si>
    <t>Produtividade adotada</t>
  </si>
  <si>
    <t>total</t>
  </si>
  <si>
    <t>Número de Serventes</t>
  </si>
  <si>
    <t>fração</t>
  </si>
  <si>
    <t>Número de Encarregados</t>
  </si>
  <si>
    <t>(1/prod) serventes</t>
  </si>
  <si>
    <t>(1/prod) encarregado</t>
  </si>
  <si>
    <t>Limite de Produtividade IN 05/2017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</si>
  <si>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</si>
  <si>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</si>
  <si>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</si>
  <si>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</si>
  <si>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</si>
  <si>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</si>
  <si>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</si>
  <si>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</si>
  <si>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SEMESTRAL</t>
  </si>
  <si>
    <t>ANEXO IV</t>
  </si>
  <si>
    <t>MODELO DE PROPOSTA E PLANILHA DE CUSTOS E FORMAÇÃO DE PREÇOS</t>
  </si>
  <si>
    <t>PROCESSO 35014.018642/2022-12</t>
  </si>
  <si>
    <t>Servente 40h</t>
  </si>
  <si>
    <t>Servente 30h</t>
  </si>
  <si>
    <t>Servente 20h</t>
  </si>
  <si>
    <t>Limpador alpinista 44h</t>
  </si>
  <si>
    <t>Encarregado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</si>
  <si>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</si>
  <si>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</si>
  <si>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</si>
  <si>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</si>
  <si>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</si>
  <si>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</si>
  <si>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>Servente 40h (banheirista)
(insalubridade 40%)</t>
  </si>
  <si>
    <t>Servente 40h
(insalubridade 20%)</t>
  </si>
  <si>
    <t>Servente 30h (banheirista)
(insalubridade 40%)</t>
  </si>
  <si>
    <t>Servente 30h
(insalubridade 20%)</t>
  </si>
  <si>
    <t>Servente 20h
(insalubridade 20%)</t>
  </si>
  <si>
    <t>Limpador alpinista 44h (limpeza de esquadrias com risco)</t>
  </si>
  <si>
    <t>Encarregada 40h</t>
  </si>
  <si>
    <t>MÓDULO 1: COMPOSIÇÃO DA REMUNERAÇÃO</t>
  </si>
  <si>
    <t>1 - Composição da Remuneração</t>
  </si>
  <si>
    <t>Percentuais</t>
  </si>
  <si>
    <t>Valor (R$)</t>
  </si>
  <si>
    <t>A - Salário Base</t>
  </si>
  <si>
    <t>B - Adicional de Insalubridade</t>
  </si>
  <si>
    <t>40% / 20%</t>
  </si>
  <si>
    <t>-</t>
  </si>
  <si>
    <t>D - Adicional Noturno</t>
  </si>
  <si>
    <t>E - Adicional de Hora Noturna Reduzida</t>
  </si>
  <si>
    <t>F - Adicional de Hora Extra no Feriado Trabalhado</t>
  </si>
  <si>
    <t>E - Outros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</si>
  <si>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</si>
  <si>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</si>
  <si>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</si>
  <si>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</si>
  <si>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</si>
  <si>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</si>
  <si>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</si>
  <si>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</si>
  <si>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</si>
  <si>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</si>
  <si>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</si>
  <si>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</si>
  <si>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</si>
  <si>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</si>
  <si>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</si>
  <si>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</si>
  <si>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</si>
  <si>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</si>
  <si>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(COM DESCONTO DE 19%)</t>
  </si>
  <si>
    <t>C - Ajuda de custo (equipes limpeza vidros)</t>
  </si>
  <si>
    <t>D - Assistência Médica</t>
  </si>
  <si>
    <t>E - Benefício Social Familiar (Cláusula 29ª)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</si>
  <si>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</si>
  <si>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</si>
  <si>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</si>
  <si>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</si>
  <si>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</si>
  <si>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</si>
  <si>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</si>
  <si>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</si>
  <si>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</si>
  <si>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</si>
  <si>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</si>
  <si>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</si>
  <si>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</si>
  <si>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</si>
  <si>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</si>
  <si>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</si>
  <si>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</si>
  <si>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</si>
  <si>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</si>
  <si>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</si>
  <si>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</si>
  <si>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</si>
  <si>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Valores/Percentuais</t>
  </si>
  <si>
    <t>A - Uniformes</t>
  </si>
  <si>
    <t>B - Materiais e utensílios</t>
  </si>
  <si>
    <t>C - Equipamentos</t>
  </si>
  <si>
    <t>D - EPIs</t>
  </si>
  <si>
    <t>E - Esquadrias de risco - Materiais/ Equipamentos/EPIs (conforme MPOG)</t>
  </si>
  <si>
    <t>F -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</si>
  <si>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</si>
  <si>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</si>
  <si>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</si>
  <si>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</si>
  <si>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</si>
  <si>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</si>
  <si>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</si>
  <si>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</si>
  <si>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3,50%)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</si>
  <si>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</si>
  <si>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</si>
  <si>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</si>
  <si>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</si>
  <si>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</si>
  <si>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</si>
  <si>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</si>
  <si>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</si>
  <si>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</si>
  <si>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</si>
  <si>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</si>
  <si>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</si>
  <si>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</si>
  <si>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</si>
  <si>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</si>
  <si>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3,50%)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</si>
  <si>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</si>
  <si>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</si>
  <si>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</si>
  <si>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</si>
  <si>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</si>
  <si>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3,5%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</si>
  <si>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</si>
  <si>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</si>
  <si>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</si>
  <si>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</si>
  <si>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</si>
  <si>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3,5%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</si>
  <si>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</si>
  <si>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</si>
  <si>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</si>
  <si>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</si>
  <si>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</si>
  <si>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</si>
  <si>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3,5%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</si>
  <si>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</si>
  <si>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</si>
  <si>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</si>
  <si>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</si>
  <si>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</si>
  <si>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</si>
  <si>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</si>
  <si>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</si>
  <si>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Valor limite MPOG 2019</t>
  </si>
  <si>
    <t>https://www.gov.br/compras/pt-br/agente-publico/cadernos-tecnicos-e-valores-limites/cadernos-tecnicos-e-valores-limites-2019</t>
  </si>
  <si>
    <t>Subtotal 20%</t>
  </si>
  <si>
    <t>AI-1b Área Interna pisos frios (incluindo limpeza de banheiros públicos e/ou de grande circulação)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</si>
  <si>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</si>
  <si>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</si>
  <si>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</si>
  <si>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</si>
  <si>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</si>
  <si>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</si>
  <si>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</si>
  <si>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</si>
  <si>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</si>
  <si>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</si>
  <si>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</si>
  <si>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</si>
  <si>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</si>
  <si>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rPr>
        <sz val="10"/>
        <color rgb="FF000000"/>
        <rFont val="Calibri"/>
        <family val="2"/>
        <charset val="1"/>
      </rP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</si>
  <si>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</si>
  <si>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rPr>
        <sz val="10"/>
        <color rgb="FF000000"/>
        <rFont val="Calibri"/>
        <family val="2"/>
        <charset val="1"/>
      </rP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</si>
  <si>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</si>
  <si>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</si>
  <si>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</si>
  <si>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40h
COVID</t>
  </si>
  <si>
    <t>Servente 30h
COVID</t>
  </si>
  <si>
    <t>Servente 20h
COVID</t>
  </si>
  <si>
    <t>D - Assistência Médica (Cláusula 15ª)</t>
  </si>
  <si>
    <t>E - Benefício Social Familiar (Cláusula 16ª)</t>
  </si>
  <si>
    <t>='Prod. GEXSTM'!R17*'GEXSTM Limp.Ord. '!B13'</t>
  </si>
  <si>
    <t>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</si>
</sst>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d/m/yyyy"/>
    <numFmt numFmtId="165" formatCode="* #,##0.00\ ;\-* #,##0.00\ ;* \-#\ ;@\ "/>
    <numFmt numFmtId="166" formatCode="&quot;R$ &quot;#,##0.00"/>
    <numFmt numFmtId="167" formatCode="0.0000"/>
    <numFmt numFmtId="168" formatCode="#,##0.00\ ;\(#,##0.00\);\-#\ ;@\ "/>
    <numFmt numFmtId="169" formatCode="#,##0.000000;\(#,##0.000000\)"/>
    <numFmt numFmtId="170" formatCode="&quot;R$ &quot;#,##0.00;[Red]&quot;-R$ &quot;#,##0.00"/>
    <numFmt numFmtId="171" formatCode="_-&quot;R$ &quot;* #,##0.00_-;&quot;-R$ &quot;* #,##0.00_-;_-&quot;R$ &quot;* \-??_-;_-@_-"/>
    <numFmt numFmtId="172" formatCode="[$R$-416]\ * #,##0.00\ ;\-[$R$-416]\ * #,##0.00\ ;[$R$-416]\ * \-#\ ;@\ "/>
    <numFmt numFmtId="173" formatCode="[$R$-416]\ #,##0.00;[Red]\-[$R$-416]\ #,##0.00"/>
    <numFmt numFmtId="174" formatCode="#,##0.0"/>
    <numFmt numFmtId="175" formatCode="0.0000000"/>
    <numFmt numFmtId="176" formatCode="0.00000000"/>
    <numFmt numFmtId="177" formatCode="#,##0.00\ ;\(#,##0.00\)"/>
    <numFmt numFmtId="178" formatCode="&quot;R$ &quot;#,##0.00\ ;[Red]&quot;(R$ &quot;#,##0.00\)"/>
    <numFmt numFmtId="179" formatCode="0.000000000"/>
    <numFmt numFmtId="180" formatCode="#,##0.00\ ;#,##0.00\ ;\-#\ ;@\ "/>
    <numFmt numFmtId="181" formatCode="0.000000000;[Red]\(0.000000000\)"/>
    <numFmt numFmtId="182" formatCode="0.0000000000"/>
    <numFmt numFmtId="183" formatCode="_-[$R$-416]\ * #,##0.00_-;\-[$R$-416]\ * #,##0.00_-;_-[$R$-416]\ * &quot;-&quot;??_-;_-@_-"/>
  </numFmts>
  <fonts count="57" x14ac:knownFonts="1">
    <font>
      <sz val="11"/>
      <color rgb="FF333333"/>
      <name val="Arial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333333"/>
      <name val="Arial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10"/>
      <name val="Arial"/>
      <family val="2"/>
      <charset val="1"/>
    </font>
    <font>
      <sz val="8"/>
      <color rgb="FF333333"/>
      <name val="Arial"/>
      <family val="2"/>
      <charset val="1"/>
    </font>
    <font>
      <sz val="11"/>
      <color rgb="FF444444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rgb="FFFFFFFF"/>
      <name val="Calibri"/>
      <family val="2"/>
      <charset val="1"/>
    </font>
    <font>
      <sz val="11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sz val="1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10"/>
      <color rgb="FF333333"/>
      <name val="Calibri"/>
      <family val="2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u/>
      <sz val="11"/>
      <color rgb="FF0563C1"/>
      <name val="Arial"/>
      <family val="2"/>
      <charset val="1"/>
    </font>
    <font>
      <b/>
      <i/>
      <sz val="10"/>
      <color rgb="FF333333"/>
      <name val="Calibri"/>
      <family val="2"/>
      <charset val="1"/>
    </font>
    <font>
      <sz val="10"/>
      <color rgb="FF0000FF"/>
      <name val="Calibri"/>
      <family val="2"/>
      <charset val="1"/>
    </font>
    <font>
      <sz val="10"/>
      <color rgb="FFFF3333"/>
      <name val="Calibri"/>
      <family val="2"/>
      <charset val="1"/>
    </font>
    <font>
      <sz val="10"/>
      <color rgb="FF333333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800000"/>
      <name val="Calibri"/>
      <family val="2"/>
    </font>
    <font>
      <sz val="9"/>
      <color rgb="FF000000"/>
      <name val="Calibri"/>
      <family val="2"/>
    </font>
    <font>
      <sz val="10"/>
      <color rgb="FF333333"/>
      <name val="Calibri"/>
      <family val="2"/>
    </font>
  </fonts>
  <fills count="51">
    <fill>
      <patternFill patternType="none"/>
    </fill>
    <fill>
      <patternFill patternType="gray125"/>
    </fill>
    <fill>
      <patternFill patternType="solid">
        <fgColor rgb="FF105095"/>
        <bgColor rgb="FF3D4C2F"/>
      </patternFill>
    </fill>
    <fill>
      <patternFill patternType="solid">
        <fgColor rgb="FFD9E1F2"/>
        <bgColor rgb="FFD6DCE4"/>
      </patternFill>
    </fill>
    <fill>
      <patternFill patternType="solid">
        <fgColor rgb="FFD6DCE4"/>
        <bgColor rgb="FFDBDBDB"/>
      </patternFill>
    </fill>
    <fill>
      <patternFill patternType="solid">
        <fgColor rgb="FFFFE699"/>
        <bgColor rgb="FFFFFF99"/>
      </patternFill>
    </fill>
    <fill>
      <patternFill patternType="solid">
        <fgColor rgb="FFBF819E"/>
        <bgColor rgb="FFA6A6A6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CCCCCC"/>
        <bgColor rgb="FFC1C1C1"/>
      </patternFill>
    </fill>
    <fill>
      <patternFill patternType="solid">
        <fgColor rgb="FFFFFFFF"/>
        <bgColor rgb="FFFFFFCC"/>
      </patternFill>
    </fill>
    <fill>
      <patternFill patternType="solid">
        <fgColor rgb="FFF4B183"/>
        <bgColor rgb="FFFF9999"/>
      </patternFill>
    </fill>
    <fill>
      <patternFill patternType="solid">
        <fgColor rgb="FFFCE4D6"/>
        <bgColor rgb="FFFFF2CC"/>
      </patternFill>
    </fill>
    <fill>
      <patternFill patternType="solid">
        <fgColor rgb="FF369457"/>
        <bgColor rgb="FF58AA38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FFCC00"/>
        <bgColor rgb="FFFFFF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58AA38"/>
      </patternFill>
    </fill>
    <fill>
      <patternFill patternType="solid">
        <fgColor rgb="FF5983B0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18E"/>
      </patternFill>
    </fill>
    <fill>
      <patternFill patternType="solid">
        <fgColor rgb="FFB4C7DC"/>
        <bgColor rgb="FFB4C6E7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solid">
        <fgColor rgb="FFFD7258"/>
        <bgColor rgb="FFFA7070"/>
      </patternFill>
    </fill>
    <fill>
      <patternFill patternType="solid">
        <fgColor rgb="FFDDDDDD"/>
        <bgColor rgb="FFDBDBDB"/>
      </patternFill>
    </fill>
    <fill>
      <patternFill patternType="solid">
        <fgColor rgb="FF9BC2E6"/>
        <bgColor rgb="FFB4C6E7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9D9D9"/>
      </patternFill>
    </fill>
    <fill>
      <patternFill patternType="solid">
        <fgColor rgb="FFFF9999"/>
        <bgColor rgb="FFF4B183"/>
      </patternFill>
    </fill>
    <fill>
      <patternFill patternType="solid">
        <fgColor rgb="FFFFCCCC"/>
        <bgColor rgb="FFFACFD6"/>
      </patternFill>
    </fill>
    <fill>
      <patternFill patternType="solid">
        <fgColor rgb="FFC1C1C1"/>
        <bgColor rgb="FFC0C0C0"/>
      </patternFill>
    </fill>
    <fill>
      <patternFill patternType="darkGray">
        <fgColor rgb="FFCC95F9"/>
        <bgColor rgb="FFBF819E"/>
      </patternFill>
    </fill>
    <fill>
      <patternFill patternType="solid">
        <fgColor rgb="FF58AA38"/>
        <bgColor rgb="FF5EB91E"/>
      </patternFill>
    </fill>
    <fill>
      <patternFill patternType="solid">
        <fgColor rgb="FFA9D08E"/>
        <bgColor rgb="FFA9D18E"/>
      </patternFill>
    </fill>
    <fill>
      <patternFill patternType="solid">
        <fgColor rgb="FFFFFFCC"/>
        <bgColor rgb="FFFFF2CC"/>
      </patternFill>
    </fill>
    <fill>
      <patternFill patternType="solid">
        <fgColor rgb="FFCC95F9"/>
        <bgColor rgb="FFBF819E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4C6E7"/>
      </patternFill>
    </fill>
    <fill>
      <patternFill patternType="solid">
        <fgColor rgb="FFC0C0C0"/>
        <bgColor rgb="FFC1C1C1"/>
      </patternFill>
    </fill>
    <fill>
      <patternFill patternType="solid">
        <fgColor rgb="FFFFFF00"/>
        <bgColor rgb="FFFFCC00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F64C0C"/>
        <bgColor rgb="FFFD7258"/>
      </patternFill>
    </fill>
    <fill>
      <patternFill patternType="solid">
        <fgColor rgb="FFFFFF99"/>
        <bgColor rgb="FFFFFFCC"/>
      </patternFill>
    </fill>
    <fill>
      <patternFill patternType="solid">
        <fgColor rgb="FF9BC2E6"/>
        <bgColor indexed="64"/>
      </patternFill>
    </fill>
    <fill>
      <patternFill patternType="solid">
        <fgColor rgb="FFDDDDDD"/>
        <bgColor rgb="FFD9D9D9"/>
      </patternFill>
    </fill>
  </fills>
  <borders count="14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9BC2E6"/>
      </top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rgb="FF000000"/>
      </right>
      <top style="hair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medium">
        <color auto="1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hair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auto="1"/>
      </bottom>
      <diagonal/>
    </border>
  </borders>
  <cellStyleXfs count="5">
    <xf numFmtId="0" fontId="0" fillId="0" borderId="0"/>
    <xf numFmtId="165" fontId="11" fillId="0" borderId="0"/>
    <xf numFmtId="9" fontId="15" fillId="0" borderId="0" applyBorder="0" applyProtection="0"/>
    <xf numFmtId="0" fontId="47" fillId="0" borderId="0" applyBorder="0" applyProtection="0"/>
    <xf numFmtId="165" fontId="23" fillId="0" borderId="0" applyBorder="0" applyProtection="0"/>
  </cellStyleXfs>
  <cellXfs count="912">
    <xf numFmtId="0" fontId="0" fillId="0" borderId="0" xfId="0"/>
    <xf numFmtId="0" fontId="4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6" fontId="1" fillId="3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4" fillId="4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10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1" xfId="0" applyFont="1" applyBorder="1"/>
    <xf numFmtId="167" fontId="1" fillId="0" borderId="11" xfId="0" applyNumberFormat="1" applyFont="1" applyBorder="1"/>
    <xf numFmtId="0" fontId="4" fillId="0" borderId="13" xfId="0" applyFont="1" applyBorder="1"/>
    <xf numFmtId="0" fontId="4" fillId="3" borderId="14" xfId="0" applyFont="1" applyFill="1" applyBorder="1" applyAlignment="1">
      <alignment horizontal="left" vertical="center"/>
    </xf>
    <xf numFmtId="10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0" fontId="6" fillId="0" borderId="9" xfId="0" applyNumberFormat="1" applyFont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3" borderId="12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10" fontId="6" fillId="0" borderId="14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vertical="center"/>
    </xf>
    <xf numFmtId="10" fontId="6" fillId="0" borderId="16" xfId="0" applyNumberFormat="1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10" fontId="6" fillId="0" borderId="7" xfId="0" applyNumberFormat="1" applyFont="1" applyBorder="1" applyAlignment="1">
      <alignment horizontal="left" vertical="center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8" fillId="6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3" xfId="0" applyFont="1" applyBorder="1" applyAlignment="1" applyProtection="1">
      <alignment horizontal="left" vertical="center"/>
      <protection locked="0"/>
    </xf>
    <xf numFmtId="168" fontId="8" fillId="0" borderId="3" xfId="1" applyNumberFormat="1" applyFont="1" applyBorder="1" applyAlignment="1">
      <alignment horizontal="center" vertical="center"/>
    </xf>
    <xf numFmtId="168" fontId="12" fillId="0" borderId="0" xfId="1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0" fontId="13" fillId="0" borderId="3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169" fontId="1" fillId="0" borderId="7" xfId="1" applyNumberFormat="1" applyFont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0" fillId="7" borderId="5" xfId="0" applyFill="1" applyBorder="1"/>
    <xf numFmtId="169" fontId="1" fillId="7" borderId="5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168" fontId="14" fillId="0" borderId="0" xfId="1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9" borderId="20" xfId="0" applyFont="1" applyFill="1" applyBorder="1" applyAlignment="1">
      <alignment vertical="center"/>
    </xf>
    <xf numFmtId="0" fontId="15" fillId="9" borderId="21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vertical="center"/>
    </xf>
    <xf numFmtId="0" fontId="15" fillId="9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vertical="center"/>
    </xf>
    <xf numFmtId="0" fontId="0" fillId="9" borderId="28" xfId="0" applyFill="1" applyBorder="1"/>
    <xf numFmtId="0" fontId="0" fillId="9" borderId="29" xfId="0" applyFill="1" applyBorder="1"/>
    <xf numFmtId="0" fontId="18" fillId="0" borderId="30" xfId="0" applyFont="1" applyBorder="1"/>
    <xf numFmtId="0" fontId="18" fillId="0" borderId="7" xfId="0" applyFont="1" applyBorder="1"/>
    <xf numFmtId="0" fontId="15" fillId="10" borderId="3" xfId="0" applyFont="1" applyFill="1" applyBorder="1"/>
    <xf numFmtId="170" fontId="18" fillId="0" borderId="7" xfId="0" applyNumberFormat="1" applyFont="1" applyBorder="1" applyAlignment="1">
      <alignment wrapText="1"/>
    </xf>
    <xf numFmtId="166" fontId="15" fillId="0" borderId="9" xfId="0" applyNumberFormat="1" applyFont="1" applyBorder="1" applyAlignment="1">
      <alignment vertical="center"/>
    </xf>
    <xf numFmtId="166" fontId="15" fillId="0" borderId="31" xfId="0" applyNumberFormat="1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5" fillId="9" borderId="33" xfId="0" applyFont="1" applyFill="1" applyBorder="1" applyAlignment="1">
      <alignment vertical="center"/>
    </xf>
    <xf numFmtId="0" fontId="0" fillId="9" borderId="0" xfId="0" applyFill="1"/>
    <xf numFmtId="0" fontId="0" fillId="9" borderId="34" xfId="0" applyFill="1" applyBorder="1"/>
    <xf numFmtId="0" fontId="15" fillId="0" borderId="35" xfId="0" applyFont="1" applyBorder="1" applyAlignment="1">
      <alignment vertical="center"/>
    </xf>
    <xf numFmtId="0" fontId="19" fillId="9" borderId="36" xfId="0" applyFont="1" applyFill="1" applyBorder="1" applyAlignment="1">
      <alignment vertical="center"/>
    </xf>
    <xf numFmtId="0" fontId="0" fillId="9" borderId="1" xfId="0" applyFill="1" applyBorder="1"/>
    <xf numFmtId="0" fontId="0" fillId="9" borderId="26" xfId="0" applyFill="1" applyBorder="1"/>
    <xf numFmtId="0" fontId="18" fillId="0" borderId="37" xfId="0" applyFont="1" applyBorder="1"/>
    <xf numFmtId="0" fontId="18" fillId="0" borderId="8" xfId="0" applyFont="1" applyBorder="1"/>
    <xf numFmtId="0" fontId="15" fillId="10" borderId="12" xfId="0" applyFont="1" applyFill="1" applyBorder="1"/>
    <xf numFmtId="170" fontId="18" fillId="0" borderId="8" xfId="0" applyNumberFormat="1" applyFont="1" applyBorder="1" applyAlignment="1">
      <alignment wrapText="1"/>
    </xf>
    <xf numFmtId="166" fontId="15" fillId="0" borderId="18" xfId="0" applyNumberFormat="1" applyFont="1" applyBorder="1" applyAlignment="1">
      <alignment vertical="center"/>
    </xf>
    <xf numFmtId="166" fontId="15" fillId="0" borderId="38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70" fontId="16" fillId="3" borderId="40" xfId="0" applyNumberFormat="1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170" fontId="15" fillId="0" borderId="7" xfId="0" applyNumberFormat="1" applyFont="1" applyBorder="1" applyAlignment="1">
      <alignment wrapText="1"/>
    </xf>
    <xf numFmtId="171" fontId="15" fillId="0" borderId="42" xfId="0" applyNumberFormat="1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15" fillId="0" borderId="44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5" fillId="0" borderId="44" xfId="0" applyFont="1" applyBorder="1"/>
    <xf numFmtId="0" fontId="15" fillId="0" borderId="5" xfId="0" applyFont="1" applyBorder="1"/>
    <xf numFmtId="0" fontId="20" fillId="0" borderId="38" xfId="0" applyFont="1" applyBorder="1"/>
    <xf numFmtId="0" fontId="15" fillId="0" borderId="46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170" fontId="15" fillId="0" borderId="8" xfId="0" applyNumberFormat="1" applyFont="1" applyBorder="1" applyAlignment="1">
      <alignment wrapText="1"/>
    </xf>
    <xf numFmtId="171" fontId="15" fillId="0" borderId="33" xfId="0" applyNumberFormat="1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170" fontId="16" fillId="3" borderId="19" xfId="0" applyNumberFormat="1" applyFont="1" applyFill="1" applyBorder="1" applyAlignment="1">
      <alignment horizontal="center" vertical="center"/>
    </xf>
    <xf numFmtId="0" fontId="15" fillId="10" borderId="33" xfId="0" applyFont="1" applyFill="1" applyBorder="1" applyAlignment="1">
      <alignment vertical="center"/>
    </xf>
    <xf numFmtId="0" fontId="15" fillId="10" borderId="0" xfId="0" applyFont="1" applyFill="1" applyAlignment="1">
      <alignment vertical="center"/>
    </xf>
    <xf numFmtId="170" fontId="15" fillId="10" borderId="0" xfId="0" applyNumberFormat="1" applyFont="1" applyFill="1" applyAlignment="1">
      <alignment vertical="center"/>
    </xf>
    <xf numFmtId="0" fontId="17" fillId="3" borderId="48" xfId="0" applyFont="1" applyFill="1" applyBorder="1" applyAlignment="1">
      <alignment horizontal="center" vertical="center" wrapText="1"/>
    </xf>
    <xf numFmtId="0" fontId="17" fillId="3" borderId="49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2" fontId="15" fillId="10" borderId="3" xfId="0" applyNumberFormat="1" applyFont="1" applyFill="1" applyBorder="1" applyAlignment="1">
      <alignment vertical="center"/>
    </xf>
    <xf numFmtId="0" fontId="15" fillId="0" borderId="30" xfId="0" applyFont="1" applyBorder="1"/>
    <xf numFmtId="0" fontId="15" fillId="0" borderId="37" xfId="0" applyFont="1" applyBorder="1"/>
    <xf numFmtId="0" fontId="15" fillId="0" borderId="50" xfId="0" applyFont="1" applyBorder="1" applyAlignment="1">
      <alignment vertical="center"/>
    </xf>
    <xf numFmtId="0" fontId="15" fillId="0" borderId="46" xfId="0" applyFont="1" applyBorder="1"/>
    <xf numFmtId="0" fontId="17" fillId="3" borderId="51" xfId="0" applyFont="1" applyFill="1" applyBorder="1" applyAlignment="1">
      <alignment horizontal="center" vertical="center" wrapText="1"/>
    </xf>
    <xf numFmtId="170" fontId="16" fillId="3" borderId="19" xfId="0" applyNumberFormat="1" applyFont="1" applyFill="1" applyBorder="1" applyAlignment="1">
      <alignment horizontal="right" vertical="center"/>
    </xf>
    <xf numFmtId="166" fontId="15" fillId="10" borderId="0" xfId="0" applyNumberFormat="1" applyFont="1" applyFill="1" applyAlignment="1">
      <alignment vertical="center"/>
    </xf>
    <xf numFmtId="171" fontId="15" fillId="10" borderId="0" xfId="0" applyNumberFormat="1" applyFont="1" applyFill="1" applyAlignment="1">
      <alignment vertical="center"/>
    </xf>
    <xf numFmtId="0" fontId="17" fillId="12" borderId="23" xfId="0" applyFont="1" applyFill="1" applyBorder="1" applyAlignment="1">
      <alignment horizontal="center" vertical="center" wrapText="1"/>
    </xf>
    <xf numFmtId="0" fontId="17" fillId="12" borderId="24" xfId="0" applyFont="1" applyFill="1" applyBorder="1" applyAlignment="1">
      <alignment horizontal="center" vertical="center" wrapText="1"/>
    </xf>
    <xf numFmtId="0" fontId="17" fillId="12" borderId="25" xfId="0" applyFont="1" applyFill="1" applyBorder="1" applyAlignment="1">
      <alignment horizontal="center" vertical="center" wrapText="1"/>
    </xf>
    <xf numFmtId="0" fontId="17" fillId="12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70" fontId="15" fillId="0" borderId="2" xfId="0" applyNumberFormat="1" applyFont="1" applyBorder="1" applyAlignment="1">
      <alignment wrapText="1"/>
    </xf>
    <xf numFmtId="0" fontId="15" fillId="0" borderId="52" xfId="0" applyFont="1" applyBorder="1"/>
    <xf numFmtId="170" fontId="15" fillId="0" borderId="7" xfId="0" applyNumberFormat="1" applyFont="1" applyBorder="1"/>
    <xf numFmtId="170" fontId="15" fillId="0" borderId="9" xfId="0" applyNumberFormat="1" applyFont="1" applyBorder="1"/>
    <xf numFmtId="170" fontId="16" fillId="12" borderId="19" xfId="0" applyNumberFormat="1" applyFont="1" applyFill="1" applyBorder="1" applyAlignment="1">
      <alignment vertical="center"/>
    </xf>
    <xf numFmtId="170" fontId="16" fillId="12" borderId="38" xfId="0" applyNumberFormat="1" applyFont="1" applyFill="1" applyBorder="1" applyAlignment="1">
      <alignment vertical="center"/>
    </xf>
    <xf numFmtId="0" fontId="17" fillId="14" borderId="37" xfId="0" applyFont="1" applyFill="1" applyBorder="1" applyAlignment="1">
      <alignment horizontal="center" vertical="center" wrapText="1"/>
    </xf>
    <xf numFmtId="0" fontId="17" fillId="14" borderId="8" xfId="0" applyFont="1" applyFill="1" applyBorder="1" applyAlignment="1">
      <alignment horizontal="center" vertical="center" wrapText="1"/>
    </xf>
    <xf numFmtId="0" fontId="17" fillId="14" borderId="18" xfId="0" applyFont="1" applyFill="1" applyBorder="1" applyAlignment="1">
      <alignment horizontal="center" vertical="center" wrapText="1"/>
    </xf>
    <xf numFmtId="0" fontId="17" fillId="14" borderId="38" xfId="0" applyFont="1" applyFill="1" applyBorder="1" applyAlignment="1">
      <alignment horizontal="center" vertical="center" wrapText="1"/>
    </xf>
    <xf numFmtId="166" fontId="16" fillId="15" borderId="19" xfId="0" applyNumberFormat="1" applyFont="1" applyFill="1" applyBorder="1" applyAlignment="1">
      <alignment vertical="center"/>
    </xf>
    <xf numFmtId="170" fontId="15" fillId="0" borderId="9" xfId="0" applyNumberFormat="1" applyFont="1" applyBorder="1" applyAlignment="1">
      <alignment wrapText="1"/>
    </xf>
    <xf numFmtId="170" fontId="15" fillId="0" borderId="8" xfId="0" applyNumberFormat="1" applyFont="1" applyBorder="1"/>
    <xf numFmtId="170" fontId="15" fillId="0" borderId="18" xfId="0" applyNumberFormat="1" applyFont="1" applyBorder="1" applyAlignment="1">
      <alignment wrapText="1"/>
    </xf>
    <xf numFmtId="0" fontId="15" fillId="0" borderId="53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170" fontId="15" fillId="0" borderId="54" xfId="0" applyNumberFormat="1" applyFont="1" applyBorder="1"/>
    <xf numFmtId="170" fontId="15" fillId="0" borderId="54" xfId="0" applyNumberFormat="1" applyFont="1" applyBorder="1" applyAlignment="1">
      <alignment wrapText="1"/>
    </xf>
    <xf numFmtId="166" fontId="15" fillId="0" borderId="55" xfId="0" applyNumberFormat="1" applyFont="1" applyBorder="1" applyAlignment="1">
      <alignment vertical="center"/>
    </xf>
    <xf numFmtId="166" fontId="16" fillId="14" borderId="19" xfId="0" applyNumberFormat="1" applyFont="1" applyFill="1" applyBorder="1" applyAlignment="1">
      <alignment vertical="center"/>
    </xf>
    <xf numFmtId="0" fontId="17" fillId="4" borderId="3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170" fontId="16" fillId="16" borderId="19" xfId="0" applyNumberFormat="1" applyFont="1" applyFill="1" applyBorder="1" applyAlignment="1">
      <alignment vertical="center"/>
    </xf>
    <xf numFmtId="0" fontId="15" fillId="0" borderId="9" xfId="0" applyFont="1" applyBorder="1" applyAlignment="1">
      <alignment vertical="center"/>
    </xf>
    <xf numFmtId="170" fontId="15" fillId="0" borderId="31" xfId="0" applyNumberFormat="1" applyFont="1" applyBorder="1" applyAlignment="1">
      <alignment vertical="center"/>
    </xf>
    <xf numFmtId="170" fontId="15" fillId="0" borderId="56" xfId="0" applyNumberFormat="1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2" fontId="15" fillId="0" borderId="3" xfId="0" applyNumberFormat="1" applyFont="1" applyBorder="1" applyAlignment="1">
      <alignment vertical="center"/>
    </xf>
    <xf numFmtId="2" fontId="15" fillId="0" borderId="7" xfId="0" applyNumberFormat="1" applyFont="1" applyBorder="1" applyAlignment="1">
      <alignment vertical="center"/>
    </xf>
    <xf numFmtId="166" fontId="15" fillId="0" borderId="6" xfId="0" applyNumberFormat="1" applyFont="1" applyBorder="1" applyAlignment="1">
      <alignment vertical="center"/>
    </xf>
    <xf numFmtId="170" fontId="15" fillId="0" borderId="45" xfId="0" applyNumberFormat="1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170" fontId="15" fillId="0" borderId="12" xfId="0" applyNumberFormat="1" applyFont="1" applyBorder="1"/>
    <xf numFmtId="166" fontId="15" fillId="0" borderId="14" xfId="0" applyNumberFormat="1" applyFont="1" applyBorder="1" applyAlignment="1">
      <alignment vertical="center"/>
    </xf>
    <xf numFmtId="170" fontId="15" fillId="0" borderId="57" xfId="0" applyNumberFormat="1" applyFont="1" applyBorder="1" applyAlignment="1">
      <alignment vertical="center"/>
    </xf>
    <xf numFmtId="0" fontId="17" fillId="4" borderId="48" xfId="0" applyFont="1" applyFill="1" applyBorder="1" applyAlignment="1">
      <alignment horizontal="center" vertical="center" wrapText="1"/>
    </xf>
    <xf numFmtId="0" fontId="17" fillId="4" borderId="49" xfId="0" applyFont="1" applyFill="1" applyBorder="1" applyAlignment="1">
      <alignment horizontal="center" vertical="center" wrapText="1"/>
    </xf>
    <xf numFmtId="0" fontId="17" fillId="4" borderId="51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170" fontId="16" fillId="16" borderId="41" xfId="0" applyNumberFormat="1" applyFont="1" applyFill="1" applyBorder="1" applyAlignment="1">
      <alignment vertical="center"/>
    </xf>
    <xf numFmtId="0" fontId="21" fillId="10" borderId="44" xfId="0" applyFont="1" applyFill="1" applyBorder="1" applyAlignment="1">
      <alignment wrapText="1"/>
    </xf>
    <xf numFmtId="166" fontId="16" fillId="17" borderId="40" xfId="0" applyNumberFormat="1" applyFont="1" applyFill="1" applyBorder="1" applyAlignment="1">
      <alignment vertical="center"/>
    </xf>
    <xf numFmtId="0" fontId="15" fillId="0" borderId="48" xfId="0" applyFont="1" applyBorder="1" applyAlignment="1">
      <alignment vertical="center"/>
    </xf>
    <xf numFmtId="0" fontId="15" fillId="0" borderId="49" xfId="0" applyFont="1" applyBorder="1" applyAlignment="1">
      <alignment vertical="center"/>
    </xf>
    <xf numFmtId="166" fontId="15" fillId="0" borderId="19" xfId="0" applyNumberFormat="1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4" fillId="18" borderId="27" xfId="4" applyNumberFormat="1" applyFont="1" applyFill="1" applyBorder="1" applyAlignment="1" applyProtection="1">
      <alignment horizontal="center" vertical="center"/>
    </xf>
    <xf numFmtId="0" fontId="24" fillId="18" borderId="28" xfId="4" applyNumberFormat="1" applyFont="1" applyFill="1" applyBorder="1" applyAlignment="1" applyProtection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7" fillId="24" borderId="20" xfId="0" applyFont="1" applyFill="1" applyBorder="1" applyAlignment="1">
      <alignment horizontal="center" vertical="center" wrapText="1"/>
    </xf>
    <xf numFmtId="0" fontId="29" fillId="22" borderId="20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9" fillId="31" borderId="27" xfId="0" applyFont="1" applyFill="1" applyBorder="1" applyAlignment="1">
      <alignment horizontal="center" vertical="center" wrapText="1"/>
    </xf>
    <xf numFmtId="0" fontId="30" fillId="11" borderId="19" xfId="0" applyFont="1" applyFill="1" applyBorder="1" applyAlignment="1">
      <alignment horizontal="center" vertical="center" wrapText="1"/>
    </xf>
    <xf numFmtId="0" fontId="29" fillId="28" borderId="41" xfId="0" applyFont="1" applyFill="1" applyBorder="1" applyAlignment="1">
      <alignment horizontal="center" vertical="center" wrapText="1"/>
    </xf>
    <xf numFmtId="0" fontId="29" fillId="28" borderId="36" xfId="0" applyFont="1" applyFill="1" applyBorder="1" applyAlignment="1">
      <alignment horizontal="center" vertical="center" wrapText="1"/>
    </xf>
    <xf numFmtId="0" fontId="29" fillId="29" borderId="19" xfId="0" applyFont="1" applyFill="1" applyBorder="1" applyAlignment="1">
      <alignment horizontal="center" vertical="center" wrapText="1"/>
    </xf>
    <xf numFmtId="165" fontId="7" fillId="0" borderId="44" xfId="1" applyFont="1" applyBorder="1" applyAlignment="1">
      <alignment horizontal="center" vertical="center"/>
    </xf>
    <xf numFmtId="166" fontId="32" fillId="0" borderId="35" xfId="1" applyNumberFormat="1" applyFont="1" applyBorder="1" applyAlignment="1">
      <alignment horizontal="center" vertical="center"/>
    </xf>
    <xf numFmtId="165" fontId="7" fillId="0" borderId="5" xfId="1" applyFont="1" applyBorder="1" applyAlignment="1">
      <alignment horizontal="center" vertical="center"/>
    </xf>
    <xf numFmtId="166" fontId="32" fillId="0" borderId="5" xfId="1" applyNumberFormat="1" applyFont="1" applyBorder="1" applyAlignment="1">
      <alignment horizontal="center" vertical="center"/>
    </xf>
    <xf numFmtId="165" fontId="7" fillId="0" borderId="30" xfId="1" applyFont="1" applyBorder="1" applyAlignment="1">
      <alignment horizontal="center" vertical="center"/>
    </xf>
    <xf numFmtId="172" fontId="28" fillId="22" borderId="42" xfId="0" applyNumberFormat="1" applyFont="1" applyFill="1" applyBorder="1" applyAlignment="1">
      <alignment horizontal="center" vertical="center" wrapText="1"/>
    </xf>
    <xf numFmtId="165" fontId="21" fillId="28" borderId="42" xfId="1" applyFont="1" applyFill="1" applyBorder="1" applyAlignment="1">
      <alignment horizontal="center" vertical="center"/>
    </xf>
    <xf numFmtId="165" fontId="21" fillId="29" borderId="42" xfId="1" applyFont="1" applyFill="1" applyBorder="1" applyAlignment="1">
      <alignment horizontal="center" vertical="center"/>
    </xf>
    <xf numFmtId="165" fontId="35" fillId="21" borderId="62" xfId="1" applyFont="1" applyFill="1" applyBorder="1" applyAlignment="1">
      <alignment horizontal="center" vertical="center"/>
    </xf>
    <xf numFmtId="166" fontId="35" fillId="21" borderId="62" xfId="1" applyNumberFormat="1" applyFont="1" applyFill="1" applyBorder="1" applyAlignment="1">
      <alignment horizontal="center" vertical="center"/>
    </xf>
    <xf numFmtId="165" fontId="35" fillId="21" borderId="49" xfId="1" applyFont="1" applyFill="1" applyBorder="1" applyAlignment="1">
      <alignment horizontal="center" vertical="center"/>
    </xf>
    <xf numFmtId="172" fontId="35" fillId="21" borderId="51" xfId="1" applyNumberFormat="1" applyFont="1" applyFill="1" applyBorder="1" applyAlignment="1">
      <alignment horizontal="center" vertical="center"/>
    </xf>
    <xf numFmtId="4" fontId="35" fillId="21" borderId="49" xfId="1" applyNumberFormat="1" applyFont="1" applyFill="1" applyBorder="1" applyAlignment="1">
      <alignment horizontal="center" vertical="center"/>
    </xf>
    <xf numFmtId="165" fontId="35" fillId="21" borderId="58" xfId="1" applyFont="1" applyFill="1" applyBorder="1" applyAlignment="1">
      <alignment horizontal="center" vertical="center"/>
    </xf>
    <xf numFmtId="172" fontId="35" fillId="21" borderId="63" xfId="1" applyNumberFormat="1" applyFont="1" applyFill="1" applyBorder="1" applyAlignment="1">
      <alignment horizontal="center" vertical="center"/>
    </xf>
    <xf numFmtId="172" fontId="35" fillId="21" borderId="58" xfId="1" applyNumberFormat="1" applyFont="1" applyFill="1" applyBorder="1" applyAlignment="1">
      <alignment horizontal="center" vertical="center"/>
    </xf>
    <xf numFmtId="0" fontId="13" fillId="0" borderId="0" xfId="0" applyFont="1"/>
    <xf numFmtId="165" fontId="7" fillId="0" borderId="64" xfId="1" applyFont="1" applyBorder="1" applyAlignment="1">
      <alignment horizontal="center" vertical="center"/>
    </xf>
    <xf numFmtId="166" fontId="32" fillId="0" borderId="11" xfId="1" applyNumberFormat="1" applyFont="1" applyBorder="1" applyAlignment="1">
      <alignment horizontal="center" vertical="center"/>
    </xf>
    <xf numFmtId="4" fontId="7" fillId="0" borderId="11" xfId="1" applyNumberFormat="1" applyFont="1" applyBorder="1" applyAlignment="1">
      <alignment horizontal="right" vertical="center"/>
    </xf>
    <xf numFmtId="4" fontId="7" fillId="0" borderId="65" xfId="1" applyNumberFormat="1" applyFont="1" applyBorder="1" applyAlignment="1">
      <alignment horizontal="right" vertical="center"/>
    </xf>
    <xf numFmtId="173" fontId="32" fillId="0" borderId="9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4" fontId="7" fillId="0" borderId="59" xfId="1" applyNumberFormat="1" applyFont="1" applyBorder="1" applyAlignment="1">
      <alignment horizontal="right" vertical="center"/>
    </xf>
    <xf numFmtId="172" fontId="29" fillId="22" borderId="42" xfId="0" applyNumberFormat="1" applyFont="1" applyFill="1" applyBorder="1" applyAlignment="1">
      <alignment horizontal="center" vertical="center" wrapText="1"/>
    </xf>
    <xf numFmtId="172" fontId="21" fillId="29" borderId="60" xfId="1" applyNumberFormat="1" applyFont="1" applyFill="1" applyBorder="1" applyAlignment="1">
      <alignment horizontal="center" vertical="center"/>
    </xf>
    <xf numFmtId="165" fontId="21" fillId="30" borderId="66" xfId="1" applyFont="1" applyFill="1" applyBorder="1" applyAlignment="1">
      <alignment horizontal="center" vertical="center"/>
    </xf>
    <xf numFmtId="172" fontId="21" fillId="11" borderId="59" xfId="1" applyNumberFormat="1" applyFont="1" applyFill="1" applyBorder="1" applyAlignment="1">
      <alignment horizontal="center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 vertical="center"/>
    </xf>
    <xf numFmtId="173" fontId="32" fillId="0" borderId="6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4" fontId="7" fillId="0" borderId="60" xfId="1" applyNumberFormat="1" applyFont="1" applyBorder="1" applyAlignment="1">
      <alignment horizontal="right" vertical="center"/>
    </xf>
    <xf numFmtId="165" fontId="21" fillId="30" borderId="67" xfId="1" applyFont="1" applyFill="1" applyBorder="1" applyAlignment="1">
      <alignment horizontal="center" vertical="center"/>
    </xf>
    <xf numFmtId="172" fontId="21" fillId="31" borderId="60" xfId="1" applyNumberFormat="1" applyFont="1" applyFill="1" applyBorder="1" applyAlignment="1">
      <alignment horizontal="center" vertical="center"/>
    </xf>
    <xf numFmtId="172" fontId="21" fillId="11" borderId="60" xfId="1" applyNumberFormat="1" applyFont="1" applyFill="1" applyBorder="1" applyAlignment="1">
      <alignment horizontal="center" vertical="center"/>
    </xf>
    <xf numFmtId="165" fontId="21" fillId="28" borderId="67" xfId="1" applyFont="1" applyFill="1" applyBorder="1" applyAlignment="1">
      <alignment vertical="center"/>
    </xf>
    <xf numFmtId="172" fontId="21" fillId="11" borderId="68" xfId="1" applyNumberFormat="1" applyFont="1" applyFill="1" applyBorder="1" applyAlignment="1">
      <alignment horizontal="center" vertical="center"/>
    </xf>
    <xf numFmtId="174" fontId="35" fillId="21" borderId="62" xfId="1" applyNumberFormat="1" applyFont="1" applyFill="1" applyBorder="1" applyAlignment="1">
      <alignment horizontal="center" vertical="center"/>
    </xf>
    <xf numFmtId="4" fontId="35" fillId="21" borderId="49" xfId="1" applyNumberFormat="1" applyFont="1" applyFill="1" applyBorder="1" applyAlignment="1">
      <alignment horizontal="right" vertical="center"/>
    </xf>
    <xf numFmtId="4" fontId="35" fillId="21" borderId="51" xfId="1" applyNumberFormat="1" applyFont="1" applyFill="1" applyBorder="1" applyAlignment="1">
      <alignment horizontal="center" vertical="center"/>
    </xf>
    <xf numFmtId="4" fontId="35" fillId="21" borderId="58" xfId="1" applyNumberFormat="1" applyFont="1" applyFill="1" applyBorder="1" applyAlignment="1">
      <alignment horizontal="right" vertical="center"/>
    </xf>
    <xf numFmtId="165" fontId="24" fillId="26" borderId="20" xfId="1" applyFont="1" applyFill="1" applyBorder="1" applyAlignment="1">
      <alignment horizontal="center" vertical="center"/>
    </xf>
    <xf numFmtId="173" fontId="32" fillId="0" borderId="5" xfId="1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0" fontId="36" fillId="0" borderId="0" xfId="0" applyFont="1"/>
    <xf numFmtId="4" fontId="38" fillId="2" borderId="70" xfId="0" applyNumberFormat="1" applyFont="1" applyFill="1" applyBorder="1" applyAlignment="1">
      <alignment horizontal="center" vertical="center"/>
    </xf>
    <xf numFmtId="0" fontId="37" fillId="2" borderId="70" xfId="0" applyFont="1" applyFill="1" applyBorder="1" applyAlignment="1">
      <alignment vertical="center"/>
    </xf>
    <xf numFmtId="0" fontId="38" fillId="2" borderId="70" xfId="0" applyFont="1" applyFill="1" applyBorder="1" applyAlignment="1">
      <alignment horizontal="center" vertical="center"/>
    </xf>
    <xf numFmtId="0" fontId="35" fillId="2" borderId="70" xfId="0" applyFont="1" applyFill="1" applyBorder="1" applyAlignment="1">
      <alignment horizontal="left" vertical="center"/>
    </xf>
    <xf numFmtId="4" fontId="39" fillId="2" borderId="71" xfId="0" applyNumberFormat="1" applyFont="1" applyFill="1" applyBorder="1" applyAlignment="1">
      <alignment horizontal="center" vertical="center"/>
    </xf>
    <xf numFmtId="4" fontId="40" fillId="2" borderId="7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8" fillId="2" borderId="0" xfId="0" applyFont="1" applyFill="1" applyAlignment="1">
      <alignment horizontal="center" vertical="center"/>
    </xf>
    <xf numFmtId="4" fontId="38" fillId="2" borderId="0" xfId="0" applyNumberFormat="1" applyFont="1" applyFill="1" applyAlignment="1">
      <alignment horizontal="center" vertical="center"/>
    </xf>
    <xf numFmtId="0" fontId="0" fillId="2" borderId="73" xfId="0" applyFill="1" applyBorder="1" applyAlignment="1">
      <alignment vertical="center"/>
    </xf>
    <xf numFmtId="0" fontId="38" fillId="2" borderId="73" xfId="0" applyFont="1" applyFill="1" applyBorder="1" applyAlignment="1">
      <alignment horizontal="center" vertical="center"/>
    </xf>
    <xf numFmtId="4" fontId="38" fillId="2" borderId="73" xfId="0" applyNumberFormat="1" applyFont="1" applyFill="1" applyBorder="1" applyAlignment="1">
      <alignment horizontal="center" vertical="center"/>
    </xf>
    <xf numFmtId="0" fontId="34" fillId="0" borderId="0" xfId="0" applyFont="1"/>
    <xf numFmtId="0" fontId="29" fillId="16" borderId="20" xfId="0" applyFont="1" applyFill="1" applyBorder="1" applyAlignment="1">
      <alignment horizontal="center" vertical="center" wrapText="1"/>
    </xf>
    <xf numFmtId="0" fontId="29" fillId="9" borderId="19" xfId="0" applyFont="1" applyFill="1" applyBorder="1" applyAlignment="1">
      <alignment horizontal="center" vertical="center" wrapText="1"/>
    </xf>
    <xf numFmtId="0" fontId="30" fillId="27" borderId="19" xfId="0" applyFont="1" applyFill="1" applyBorder="1" applyAlignment="1">
      <alignment horizontal="center" vertical="center" wrapText="1"/>
    </xf>
    <xf numFmtId="0" fontId="30" fillId="36" borderId="22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27" fillId="16" borderId="33" xfId="0" applyFont="1" applyFill="1" applyBorder="1" applyAlignment="1">
      <alignment horizontal="center" vertical="center" wrapText="1"/>
    </xf>
    <xf numFmtId="0" fontId="27" fillId="9" borderId="41" xfId="0" applyFont="1" applyFill="1" applyBorder="1" applyAlignment="1">
      <alignment horizontal="center" vertical="center" wrapText="1"/>
    </xf>
    <xf numFmtId="0" fontId="41" fillId="27" borderId="34" xfId="0" applyFont="1" applyFill="1" applyBorder="1" applyAlignment="1">
      <alignment horizontal="center" vertical="center" wrapText="1"/>
    </xf>
    <xf numFmtId="0" fontId="7" fillId="0" borderId="64" xfId="0" applyFont="1" applyBorder="1" applyAlignment="1" applyProtection="1">
      <alignment horizontal="left" vertical="center"/>
      <protection locked="0"/>
    </xf>
    <xf numFmtId="10" fontId="24" fillId="0" borderId="77" xfId="0" applyNumberFormat="1" applyFont="1" applyBorder="1" applyAlignment="1" applyProtection="1">
      <alignment horizontal="center" vertical="center"/>
      <protection locked="0"/>
    </xf>
    <xf numFmtId="165" fontId="13" fillId="0" borderId="3" xfId="1" applyFont="1" applyBorder="1" applyAlignment="1">
      <alignment horizontal="center" vertical="center"/>
    </xf>
    <xf numFmtId="165" fontId="13" fillId="0" borderId="78" xfId="1" applyFont="1" applyBorder="1" applyAlignment="1">
      <alignment horizontal="center" vertical="center"/>
    </xf>
    <xf numFmtId="165" fontId="13" fillId="0" borderId="65" xfId="1" applyFont="1" applyBorder="1" applyAlignment="1">
      <alignment horizontal="center" vertical="center"/>
    </xf>
    <xf numFmtId="165" fontId="13" fillId="0" borderId="59" xfId="1" applyFont="1" applyBorder="1" applyAlignment="1">
      <alignment horizontal="center" vertical="center"/>
    </xf>
    <xf numFmtId="165" fontId="21" fillId="30" borderId="43" xfId="1" applyFont="1" applyFill="1" applyBorder="1" applyAlignment="1">
      <alignment horizontal="center" vertical="center"/>
    </xf>
    <xf numFmtId="2" fontId="21" fillId="31" borderId="61" xfId="1" applyNumberFormat="1" applyFont="1" applyFill="1" applyBorder="1" applyAlignment="1">
      <alignment horizontal="center" vertical="center"/>
    </xf>
    <xf numFmtId="2" fontId="21" fillId="11" borderId="43" xfId="1" applyNumberFormat="1" applyFont="1" applyFill="1" applyBorder="1" applyAlignment="1">
      <alignment horizontal="center" vertical="center"/>
    </xf>
    <xf numFmtId="165" fontId="21" fillId="37" borderId="2" xfId="1" applyFont="1" applyFill="1" applyBorder="1" applyAlignment="1">
      <alignment horizontal="center" vertical="center"/>
    </xf>
    <xf numFmtId="0" fontId="13" fillId="0" borderId="44" xfId="0" applyFont="1" applyBorder="1" applyAlignment="1" applyProtection="1">
      <alignment horizontal="left" vertical="center"/>
      <protection locked="0"/>
    </xf>
    <xf numFmtId="10" fontId="24" fillId="0" borderId="60" xfId="0" applyNumberFormat="1" applyFont="1" applyBorder="1" applyAlignment="1" applyProtection="1">
      <alignment horizontal="center" vertical="center"/>
      <protection locked="0"/>
    </xf>
    <xf numFmtId="165" fontId="13" fillId="0" borderId="60" xfId="1" applyFont="1" applyBorder="1" applyAlignment="1">
      <alignment horizontal="center" vertical="center"/>
    </xf>
    <xf numFmtId="165" fontId="21" fillId="28" borderId="67" xfId="1" applyFont="1" applyFill="1" applyBorder="1" applyAlignment="1">
      <alignment horizontal="center" vertical="center"/>
    </xf>
    <xf numFmtId="165" fontId="21" fillId="29" borderId="67" xfId="1" applyFont="1" applyFill="1" applyBorder="1" applyAlignment="1">
      <alignment horizontal="center" vertical="center"/>
    </xf>
    <xf numFmtId="165" fontId="21" fillId="30" borderId="45" xfId="1" applyFont="1" applyFill="1" applyBorder="1" applyAlignment="1">
      <alignment horizontal="center" vertical="center"/>
    </xf>
    <xf numFmtId="2" fontId="21" fillId="31" borderId="15" xfId="1" applyNumberFormat="1" applyFont="1" applyFill="1" applyBorder="1" applyAlignment="1">
      <alignment horizontal="center" vertical="center"/>
    </xf>
    <xf numFmtId="172" fontId="21" fillId="11" borderId="31" xfId="1" applyNumberFormat="1" applyFont="1" applyFill="1" applyBorder="1" applyAlignment="1">
      <alignment horizontal="center" vertical="center"/>
    </xf>
    <xf numFmtId="165" fontId="21" fillId="37" borderId="15" xfId="1" applyFont="1" applyFill="1" applyBorder="1" applyAlignment="1">
      <alignment horizontal="center" vertical="center"/>
    </xf>
    <xf numFmtId="172" fontId="21" fillId="11" borderId="45" xfId="1" applyNumberFormat="1" applyFont="1" applyFill="1" applyBorder="1" applyAlignment="1">
      <alignment horizontal="center" vertical="center"/>
    </xf>
    <xf numFmtId="0" fontId="13" fillId="0" borderId="46" xfId="0" applyFont="1" applyBorder="1" applyAlignment="1" applyProtection="1">
      <alignment horizontal="left" vertical="center"/>
      <protection locked="0"/>
    </xf>
    <xf numFmtId="10" fontId="24" fillId="0" borderId="80" xfId="0" applyNumberFormat="1" applyFont="1" applyBorder="1" applyAlignment="1" applyProtection="1">
      <alignment horizontal="center" vertical="center"/>
      <protection locked="0"/>
    </xf>
    <xf numFmtId="165" fontId="13" fillId="0" borderId="81" xfId="1" applyFont="1" applyBorder="1" applyAlignment="1">
      <alignment horizontal="center" vertical="center"/>
    </xf>
    <xf numFmtId="165" fontId="13" fillId="0" borderId="12" xfId="1" applyFont="1" applyBorder="1" applyAlignment="1">
      <alignment horizontal="center" vertical="center"/>
    </xf>
    <xf numFmtId="165" fontId="13" fillId="0" borderId="68" xfId="1" applyFont="1" applyBorder="1" applyAlignment="1">
      <alignment horizontal="center" vertical="center"/>
    </xf>
    <xf numFmtId="0" fontId="42" fillId="21" borderId="20" xfId="0" applyFont="1" applyFill="1" applyBorder="1" applyAlignment="1">
      <alignment horizontal="center" vertical="center"/>
    </xf>
    <xf numFmtId="165" fontId="24" fillId="21" borderId="48" xfId="1" applyFont="1" applyFill="1" applyBorder="1" applyAlignment="1">
      <alignment horizontal="center" vertical="center"/>
    </xf>
    <xf numFmtId="165" fontId="24" fillId="21" borderId="49" xfId="1" applyFont="1" applyFill="1" applyBorder="1" applyAlignment="1">
      <alignment horizontal="center" vertical="center"/>
    </xf>
    <xf numFmtId="165" fontId="24" fillId="21" borderId="58" xfId="1" applyFont="1" applyFill="1" applyBorder="1" applyAlignment="1">
      <alignment horizontal="center" vertical="center"/>
    </xf>
    <xf numFmtId="165" fontId="24" fillId="28" borderId="21" xfId="1" applyFont="1" applyFill="1" applyBorder="1" applyAlignment="1">
      <alignment horizontal="center" vertical="center"/>
    </xf>
    <xf numFmtId="165" fontId="24" fillId="28" borderId="27" xfId="1" applyFont="1" applyFill="1" applyBorder="1" applyAlignment="1">
      <alignment horizontal="center" vertical="center"/>
    </xf>
    <xf numFmtId="165" fontId="24" fillId="28" borderId="40" xfId="1" applyFont="1" applyFill="1" applyBorder="1" applyAlignment="1">
      <alignment horizontal="center" vertical="center"/>
    </xf>
    <xf numFmtId="165" fontId="24" fillId="26" borderId="28" xfId="1" applyFont="1" applyFill="1" applyBorder="1" applyAlignment="1">
      <alignment horizontal="center" vertical="center"/>
    </xf>
    <xf numFmtId="165" fontId="24" fillId="26" borderId="27" xfId="1" applyFont="1" applyFill="1" applyBorder="1" applyAlignment="1">
      <alignment horizontal="center" vertical="center"/>
    </xf>
    <xf numFmtId="165" fontId="27" fillId="16" borderId="20" xfId="0" applyNumberFormat="1" applyFont="1" applyFill="1" applyBorder="1" applyAlignment="1">
      <alignment horizontal="center" vertical="center" wrapText="1"/>
    </xf>
    <xf numFmtId="165" fontId="27" fillId="9" borderId="19" xfId="0" applyNumberFormat="1" applyFont="1" applyFill="1" applyBorder="1" applyAlignment="1">
      <alignment horizontal="center" vertical="center" wrapText="1"/>
    </xf>
    <xf numFmtId="165" fontId="41" fillId="27" borderId="22" xfId="0" applyNumberFormat="1" applyFont="1" applyFill="1" applyBorder="1" applyAlignment="1">
      <alignment horizontal="center" vertical="center" wrapText="1"/>
    </xf>
    <xf numFmtId="165" fontId="24" fillId="36" borderId="21" xfId="1" applyFont="1" applyFill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/>
    </xf>
    <xf numFmtId="2" fontId="31" fillId="0" borderId="20" xfId="0" applyNumberFormat="1" applyFont="1" applyBorder="1" applyAlignment="1">
      <alignment horizontal="right"/>
    </xf>
    <xf numFmtId="2" fontId="27" fillId="0" borderId="29" xfId="0" applyNumberFormat="1" applyFont="1" applyBorder="1" applyAlignment="1">
      <alignment horizontal="left"/>
    </xf>
    <xf numFmtId="2" fontId="27" fillId="0" borderId="28" xfId="0" applyNumberFormat="1" applyFont="1" applyBorder="1" applyAlignment="1">
      <alignment horizontal="left"/>
    </xf>
    <xf numFmtId="2" fontId="27" fillId="0" borderId="22" xfId="0" applyNumberFormat="1" applyFont="1" applyBorder="1" applyAlignment="1">
      <alignment horizontal="left"/>
    </xf>
    <xf numFmtId="2" fontId="27" fillId="0" borderId="0" xfId="0" applyNumberFormat="1" applyFont="1" applyAlignment="1">
      <alignment horizontal="left"/>
    </xf>
    <xf numFmtId="2" fontId="27" fillId="9" borderId="67" xfId="0" applyNumberFormat="1" applyFont="1" applyFill="1" applyBorder="1" applyAlignment="1">
      <alignment horizontal="center"/>
    </xf>
    <xf numFmtId="2" fontId="27" fillId="9" borderId="44" xfId="0" applyNumberFormat="1" applyFont="1" applyFill="1" applyBorder="1" applyAlignment="1">
      <alignment horizontal="center"/>
    </xf>
    <xf numFmtId="2" fontId="27" fillId="9" borderId="3" xfId="0" applyNumberFormat="1" applyFont="1" applyFill="1" applyBorder="1" applyAlignment="1">
      <alignment horizontal="center"/>
    </xf>
    <xf numFmtId="2" fontId="27" fillId="9" borderId="60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0" fontId="20" fillId="0" borderId="0" xfId="0" applyFont="1"/>
    <xf numFmtId="2" fontId="27" fillId="9" borderId="82" xfId="0" applyNumberFormat="1" applyFont="1" applyFill="1" applyBorder="1" applyAlignment="1">
      <alignment horizontal="center"/>
    </xf>
    <xf numFmtId="2" fontId="27" fillId="9" borderId="83" xfId="0" applyNumberFormat="1" applyFont="1" applyFill="1" applyBorder="1" applyAlignment="1">
      <alignment horizontal="center"/>
    </xf>
    <xf numFmtId="2" fontId="27" fillId="9" borderId="84" xfId="0" applyNumberFormat="1" applyFont="1" applyFill="1" applyBorder="1" applyAlignment="1">
      <alignment horizontal="center"/>
    </xf>
    <xf numFmtId="2" fontId="27" fillId="9" borderId="85" xfId="0" applyNumberFormat="1" applyFont="1" applyFill="1" applyBorder="1" applyAlignment="1">
      <alignment horizontal="center"/>
    </xf>
    <xf numFmtId="2" fontId="27" fillId="14" borderId="30" xfId="0" applyNumberFormat="1" applyFont="1" applyFill="1" applyBorder="1" applyAlignment="1">
      <alignment horizontal="center"/>
    </xf>
    <xf numFmtId="175" fontId="27" fillId="14" borderId="30" xfId="0" applyNumberFormat="1" applyFont="1" applyFill="1" applyBorder="1" applyAlignment="1">
      <alignment horizontal="center"/>
    </xf>
    <xf numFmtId="175" fontId="27" fillId="14" borderId="7" xfId="0" applyNumberFormat="1" applyFont="1" applyFill="1" applyBorder="1" applyAlignment="1">
      <alignment horizontal="center"/>
    </xf>
    <xf numFmtId="176" fontId="27" fillId="14" borderId="7" xfId="0" applyNumberFormat="1" applyFont="1" applyFill="1" applyBorder="1" applyAlignment="1">
      <alignment horizontal="center"/>
    </xf>
    <xf numFmtId="176" fontId="27" fillId="14" borderId="79" xfId="0" applyNumberFormat="1" applyFont="1" applyFill="1" applyBorder="1" applyAlignment="1">
      <alignment horizontal="center"/>
    </xf>
    <xf numFmtId="2" fontId="27" fillId="14" borderId="44" xfId="0" applyNumberFormat="1" applyFont="1" applyFill="1" applyBorder="1" applyAlignment="1">
      <alignment horizontal="center"/>
    </xf>
    <xf numFmtId="175" fontId="27" fillId="14" borderId="44" xfId="0" applyNumberFormat="1" applyFont="1" applyFill="1" applyBorder="1" applyAlignment="1">
      <alignment horizontal="center"/>
    </xf>
    <xf numFmtId="175" fontId="27" fillId="14" borderId="3" xfId="0" applyNumberFormat="1" applyFont="1" applyFill="1" applyBorder="1" applyAlignment="1">
      <alignment horizontal="center"/>
    </xf>
    <xf numFmtId="176" fontId="27" fillId="14" borderId="3" xfId="0" applyNumberFormat="1" applyFont="1" applyFill="1" applyBorder="1" applyAlignment="1">
      <alignment horizontal="center"/>
    </xf>
    <xf numFmtId="176" fontId="27" fillId="14" borderId="60" xfId="0" applyNumberFormat="1" applyFont="1" applyFill="1" applyBorder="1" applyAlignment="1">
      <alignment horizontal="center"/>
    </xf>
    <xf numFmtId="0" fontId="7" fillId="34" borderId="53" xfId="0" applyFont="1" applyFill="1" applyBorder="1" applyAlignment="1" applyProtection="1">
      <alignment horizontal="center" vertical="center"/>
      <protection locked="0"/>
    </xf>
    <xf numFmtId="0" fontId="13" fillId="6" borderId="53" xfId="0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13" fillId="23" borderId="54" xfId="0" applyFont="1" applyFill="1" applyBorder="1" applyAlignment="1">
      <alignment horizontal="center" vertical="center" wrapText="1"/>
    </xf>
    <xf numFmtId="0" fontId="21" fillId="24" borderId="54" xfId="0" applyFont="1" applyFill="1" applyBorder="1" applyAlignment="1">
      <alignment horizontal="center" vertical="center" wrapText="1"/>
    </xf>
    <xf numFmtId="0" fontId="13" fillId="24" borderId="86" xfId="0" applyFont="1" applyFill="1" applyBorder="1" applyAlignment="1">
      <alignment horizontal="center" vertical="center" wrapText="1"/>
    </xf>
    <xf numFmtId="0" fontId="8" fillId="0" borderId="0" xfId="0" applyFont="1"/>
    <xf numFmtId="0" fontId="43" fillId="10" borderId="33" xfId="0" applyFont="1" applyFill="1" applyBorder="1" applyAlignment="1">
      <alignment vertical="center"/>
    </xf>
    <xf numFmtId="0" fontId="43" fillId="10" borderId="0" xfId="0" applyFont="1" applyFill="1" applyAlignment="1">
      <alignment vertical="center"/>
    </xf>
    <xf numFmtId="164" fontId="4" fillId="38" borderId="64" xfId="0" applyNumberFormat="1" applyFont="1" applyFill="1" applyBorder="1" applyAlignment="1">
      <alignment horizontal="center" vertical="center"/>
    </xf>
    <xf numFmtId="164" fontId="4" fillId="38" borderId="66" xfId="0" applyNumberFormat="1" applyFont="1" applyFill="1" applyBorder="1" applyAlignment="1">
      <alignment horizontal="center" vertical="center"/>
    </xf>
    <xf numFmtId="164" fontId="4" fillId="38" borderId="43" xfId="0" applyNumberFormat="1" applyFont="1" applyFill="1" applyBorder="1" applyAlignment="1">
      <alignment horizontal="center" vertical="center" wrapText="1"/>
    </xf>
    <xf numFmtId="164" fontId="4" fillId="38" borderId="43" xfId="0" applyNumberFormat="1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vertical="center"/>
    </xf>
    <xf numFmtId="0" fontId="4" fillId="10" borderId="0" xfId="0" applyFont="1" applyFill="1" applyAlignment="1">
      <alignment horizontal="right" vertical="center"/>
    </xf>
    <xf numFmtId="177" fontId="1" fillId="38" borderId="44" xfId="1" applyNumberFormat="1" applyFont="1" applyFill="1" applyBorder="1" applyAlignment="1">
      <alignment horizontal="center" vertical="center"/>
    </xf>
    <xf numFmtId="177" fontId="1" fillId="38" borderId="67" xfId="1" applyNumberFormat="1" applyFont="1" applyFill="1" applyBorder="1" applyAlignment="1">
      <alignment horizontal="center" vertical="center"/>
    </xf>
    <xf numFmtId="177" fontId="1" fillId="38" borderId="45" xfId="1" applyNumberFormat="1" applyFont="1" applyFill="1" applyBorder="1" applyAlignment="1">
      <alignment horizontal="center" vertical="center"/>
    </xf>
    <xf numFmtId="164" fontId="1" fillId="38" borderId="44" xfId="0" applyNumberFormat="1" applyFont="1" applyFill="1" applyBorder="1" applyAlignment="1">
      <alignment horizontal="center" vertical="center"/>
    </xf>
    <xf numFmtId="164" fontId="1" fillId="38" borderId="67" xfId="0" applyNumberFormat="1" applyFont="1" applyFill="1" applyBorder="1" applyAlignment="1">
      <alignment horizontal="center" vertical="center"/>
    </xf>
    <xf numFmtId="164" fontId="1" fillId="38" borderId="45" xfId="0" applyNumberFormat="1" applyFont="1" applyFill="1" applyBorder="1" applyAlignment="1">
      <alignment horizontal="center" vertical="center"/>
    </xf>
    <xf numFmtId="164" fontId="1" fillId="38" borderId="53" xfId="0" applyNumberFormat="1" applyFont="1" applyFill="1" applyBorder="1" applyAlignment="1">
      <alignment horizontal="center" vertical="center"/>
    </xf>
    <xf numFmtId="164" fontId="1" fillId="38" borderId="82" xfId="0" applyNumberFormat="1" applyFont="1" applyFill="1" applyBorder="1" applyAlignment="1">
      <alignment horizontal="center" vertical="center"/>
    </xf>
    <xf numFmtId="164" fontId="1" fillId="38" borderId="47" xfId="0" applyNumberFormat="1" applyFont="1" applyFill="1" applyBorder="1" applyAlignment="1">
      <alignment horizontal="center" vertical="center"/>
    </xf>
    <xf numFmtId="0" fontId="33" fillId="10" borderId="64" xfId="0" applyFont="1" applyFill="1" applyBorder="1" applyAlignment="1">
      <alignment horizontal="center" vertical="center"/>
    </xf>
    <xf numFmtId="0" fontId="33" fillId="39" borderId="65" xfId="0" applyFont="1" applyFill="1" applyBorder="1" applyAlignment="1">
      <alignment horizontal="center" vertical="center" wrapText="1"/>
    </xf>
    <xf numFmtId="0" fontId="33" fillId="39" borderId="10" xfId="0" applyFont="1" applyFill="1" applyBorder="1" applyAlignment="1">
      <alignment horizontal="center" vertical="center" wrapText="1"/>
    </xf>
    <xf numFmtId="0" fontId="33" fillId="39" borderId="56" xfId="0" applyFont="1" applyFill="1" applyBorder="1" applyAlignment="1">
      <alignment horizontal="center" vertical="center" wrapText="1"/>
    </xf>
    <xf numFmtId="0" fontId="33" fillId="41" borderId="44" xfId="0" applyFont="1" applyFill="1" applyBorder="1" applyAlignment="1">
      <alignment vertical="center" wrapText="1"/>
    </xf>
    <xf numFmtId="168" fontId="33" fillId="41" borderId="3" xfId="1" applyNumberFormat="1" applyFont="1" applyFill="1" applyBorder="1" applyAlignment="1">
      <alignment horizontal="center" vertical="center"/>
    </xf>
    <xf numFmtId="168" fontId="33" fillId="41" borderId="60" xfId="1" applyNumberFormat="1" applyFont="1" applyFill="1" applyBorder="1" applyAlignment="1">
      <alignment horizontal="center" vertical="center"/>
    </xf>
    <xf numFmtId="0" fontId="8" fillId="10" borderId="44" xfId="0" applyFont="1" applyFill="1" applyBorder="1" applyAlignment="1">
      <alignment vertical="center" wrapText="1"/>
    </xf>
    <xf numFmtId="166" fontId="44" fillId="10" borderId="3" xfId="2" applyNumberFormat="1" applyFont="1" applyFill="1" applyBorder="1" applyAlignment="1" applyProtection="1">
      <alignment vertical="center"/>
    </xf>
    <xf numFmtId="168" fontId="33" fillId="10" borderId="3" xfId="1" applyNumberFormat="1" applyFont="1" applyFill="1" applyBorder="1"/>
    <xf numFmtId="168" fontId="33" fillId="10" borderId="6" xfId="1" applyNumberFormat="1" applyFont="1" applyFill="1" applyBorder="1"/>
    <xf numFmtId="168" fontId="33" fillId="10" borderId="60" xfId="1" applyNumberFormat="1" applyFont="1" applyFill="1" applyBorder="1"/>
    <xf numFmtId="10" fontId="44" fillId="10" borderId="3" xfId="2" applyNumberFormat="1" applyFont="1" applyFill="1" applyBorder="1" applyAlignment="1" applyProtection="1">
      <alignment horizontal="right" vertical="center"/>
    </xf>
    <xf numFmtId="168" fontId="33" fillId="10" borderId="3" xfId="1" applyNumberFormat="1" applyFont="1" applyFill="1" applyBorder="1" applyAlignment="1">
      <alignment horizontal="center"/>
    </xf>
    <xf numFmtId="168" fontId="33" fillId="10" borderId="60" xfId="1" applyNumberFormat="1" applyFont="1" applyFill="1" applyBorder="1" applyAlignment="1">
      <alignment horizontal="center"/>
    </xf>
    <xf numFmtId="168" fontId="45" fillId="10" borderId="3" xfId="2" applyNumberFormat="1" applyFont="1" applyFill="1" applyBorder="1" applyAlignment="1" applyProtection="1">
      <alignment vertical="center"/>
    </xf>
    <xf numFmtId="168" fontId="33" fillId="10" borderId="6" xfId="1" applyNumberFormat="1" applyFont="1" applyFill="1" applyBorder="1" applyAlignment="1">
      <alignment horizontal="center"/>
    </xf>
    <xf numFmtId="10" fontId="45" fillId="10" borderId="3" xfId="0" applyNumberFormat="1" applyFont="1" applyFill="1" applyBorder="1" applyAlignment="1">
      <alignment vertical="center"/>
    </xf>
    <xf numFmtId="0" fontId="24" fillId="8" borderId="44" xfId="0" applyFont="1" applyFill="1" applyBorder="1" applyAlignment="1">
      <alignment horizontal="right" vertical="center"/>
    </xf>
    <xf numFmtId="9" fontId="24" fillId="8" borderId="3" xfId="0" applyNumberFormat="1" applyFont="1" applyFill="1" applyBorder="1" applyAlignment="1">
      <alignment horizontal="center" vertical="center"/>
    </xf>
    <xf numFmtId="4" fontId="24" fillId="8" borderId="3" xfId="0" applyNumberFormat="1" applyFont="1" applyFill="1" applyBorder="1" applyAlignment="1">
      <alignment horizontal="right" vertical="center"/>
    </xf>
    <xf numFmtId="4" fontId="24" fillId="8" borderId="6" xfId="0" applyNumberFormat="1" applyFont="1" applyFill="1" applyBorder="1" applyAlignment="1">
      <alignment horizontal="right" vertical="center"/>
    </xf>
    <xf numFmtId="4" fontId="24" fillId="8" borderId="60" xfId="0" applyNumberFormat="1" applyFont="1" applyFill="1" applyBorder="1" applyAlignment="1">
      <alignment horizontal="right" vertical="center"/>
    </xf>
    <xf numFmtId="0" fontId="8" fillId="10" borderId="44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60" xfId="0" applyFont="1" applyFill="1" applyBorder="1" applyAlignment="1">
      <alignment horizontal="center" vertical="center"/>
    </xf>
    <xf numFmtId="0" fontId="24" fillId="3" borderId="44" xfId="0" applyFont="1" applyFill="1" applyBorder="1" applyAlignment="1">
      <alignment vertical="center"/>
    </xf>
    <xf numFmtId="168" fontId="33" fillId="42" borderId="3" xfId="1" applyNumberFormat="1" applyFont="1" applyFill="1" applyBorder="1" applyAlignment="1">
      <alignment horizontal="center" vertical="center"/>
    </xf>
    <xf numFmtId="168" fontId="33" fillId="42" borderId="60" xfId="1" applyNumberFormat="1" applyFont="1" applyFill="1" applyBorder="1" applyAlignment="1">
      <alignment horizontal="center" vertical="center"/>
    </xf>
    <xf numFmtId="0" fontId="21" fillId="0" borderId="44" xfId="0" applyFont="1" applyBorder="1" applyAlignment="1">
      <alignment vertical="center"/>
    </xf>
    <xf numFmtId="10" fontId="44" fillId="10" borderId="3" xfId="2" applyNumberFormat="1" applyFont="1" applyFill="1" applyBorder="1" applyAlignment="1" applyProtection="1">
      <alignment vertical="center"/>
    </xf>
    <xf numFmtId="10" fontId="24" fillId="8" borderId="3" xfId="0" applyNumberFormat="1" applyFont="1" applyFill="1" applyBorder="1" applyAlignment="1">
      <alignment horizontal="center" vertical="center"/>
    </xf>
    <xf numFmtId="2" fontId="24" fillId="8" borderId="3" xfId="0" applyNumberFormat="1" applyFont="1" applyFill="1" applyBorder="1" applyAlignment="1">
      <alignment horizontal="right" vertical="center"/>
    </xf>
    <xf numFmtId="2" fontId="24" fillId="8" borderId="60" xfId="0" applyNumberFormat="1" applyFont="1" applyFill="1" applyBorder="1" applyAlignment="1">
      <alignment horizontal="right" vertical="center"/>
    </xf>
    <xf numFmtId="0" fontId="24" fillId="3" borderId="3" xfId="0" applyFont="1" applyFill="1" applyBorder="1" applyAlignment="1">
      <alignment vertical="center"/>
    </xf>
    <xf numFmtId="0" fontId="24" fillId="3" borderId="6" xfId="0" applyFont="1" applyFill="1" applyBorder="1" applyAlignment="1">
      <alignment vertical="center"/>
    </xf>
    <xf numFmtId="0" fontId="24" fillId="3" borderId="60" xfId="0" applyFont="1" applyFill="1" applyBorder="1" applyAlignment="1">
      <alignment vertical="center"/>
    </xf>
    <xf numFmtId="168" fontId="33" fillId="10" borderId="3" xfId="1" applyNumberFormat="1" applyFont="1" applyFill="1" applyBorder="1" applyAlignment="1">
      <alignment vertical="center"/>
    </xf>
    <xf numFmtId="168" fontId="33" fillId="10" borderId="60" xfId="1" applyNumberFormat="1" applyFont="1" applyFill="1" applyBorder="1" applyAlignment="1">
      <alignment vertical="center"/>
    </xf>
    <xf numFmtId="178" fontId="44" fillId="10" borderId="3" xfId="2" applyNumberFormat="1" applyFont="1" applyFill="1" applyBorder="1" applyAlignment="1" applyProtection="1">
      <alignment horizontal="right" vertical="center"/>
    </xf>
    <xf numFmtId="178" fontId="44" fillId="10" borderId="3" xfId="2" applyNumberFormat="1" applyFont="1" applyFill="1" applyBorder="1" applyAlignment="1" applyProtection="1">
      <alignment vertical="center"/>
    </xf>
    <xf numFmtId="168" fontId="33" fillId="10" borderId="3" xfId="1" applyNumberFormat="1" applyFont="1" applyFill="1" applyBorder="1" applyAlignment="1">
      <alignment horizontal="center" vertical="center"/>
    </xf>
    <xf numFmtId="168" fontId="33" fillId="10" borderId="60" xfId="1" applyNumberFormat="1" applyFont="1" applyFill="1" applyBorder="1" applyAlignment="1">
      <alignment horizontal="center" vertical="center"/>
    </xf>
    <xf numFmtId="165" fontId="44" fillId="10" borderId="3" xfId="2" applyNumberFormat="1" applyFont="1" applyFill="1" applyBorder="1" applyAlignment="1" applyProtection="1">
      <alignment vertical="center"/>
    </xf>
    <xf numFmtId="168" fontId="33" fillId="10" borderId="6" xfId="1" applyNumberFormat="1" applyFont="1" applyFill="1" applyBorder="1" applyAlignment="1">
      <alignment horizontal="center" vertical="center"/>
    </xf>
    <xf numFmtId="173" fontId="44" fillId="10" borderId="3" xfId="2" applyNumberFormat="1" applyFont="1" applyFill="1" applyBorder="1" applyAlignment="1" applyProtection="1">
      <alignment vertical="center"/>
    </xf>
    <xf numFmtId="10" fontId="21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vertical="center"/>
    </xf>
    <xf numFmtId="4" fontId="21" fillId="0" borderId="6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0" fontId="24" fillId="3" borderId="3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3" borderId="60" xfId="0" applyFont="1" applyFill="1" applyBorder="1" applyAlignment="1">
      <alignment horizontal="center" vertical="center"/>
    </xf>
    <xf numFmtId="2" fontId="21" fillId="0" borderId="3" xfId="0" applyNumberFormat="1" applyFont="1" applyBorder="1" applyAlignment="1">
      <alignment horizontal="right" vertical="center"/>
    </xf>
    <xf numFmtId="2" fontId="21" fillId="0" borderId="60" xfId="0" applyNumberFormat="1" applyFont="1" applyBorder="1" applyAlignment="1">
      <alignment horizontal="right" vertical="center"/>
    </xf>
    <xf numFmtId="10" fontId="44" fillId="10" borderId="3" xfId="2" applyNumberFormat="1" applyFont="1" applyFill="1" applyBorder="1" applyAlignment="1" applyProtection="1">
      <alignment vertical="center"/>
      <protection locked="0"/>
    </xf>
    <xf numFmtId="0" fontId="33" fillId="43" borderId="44" xfId="0" applyFont="1" applyFill="1" applyBorder="1" applyAlignment="1">
      <alignment horizontal="right" vertical="center" wrapText="1"/>
    </xf>
    <xf numFmtId="10" fontId="33" fillId="43" borderId="3" xfId="0" applyNumberFormat="1" applyFont="1" applyFill="1" applyBorder="1" applyAlignment="1">
      <alignment horizontal="right" vertical="center" wrapText="1"/>
    </xf>
    <xf numFmtId="168" fontId="33" fillId="43" borderId="3" xfId="0" applyNumberFormat="1" applyFont="1" applyFill="1" applyBorder="1" applyAlignment="1">
      <alignment vertical="center"/>
    </xf>
    <xf numFmtId="168" fontId="33" fillId="43" borderId="60" xfId="0" applyNumberFormat="1" applyFont="1" applyFill="1" applyBorder="1" applyAlignment="1">
      <alignment vertical="center"/>
    </xf>
    <xf numFmtId="168" fontId="33" fillId="43" borderId="3" xfId="0" applyNumberFormat="1" applyFont="1" applyFill="1" applyBorder="1" applyAlignment="1">
      <alignment horizontal="right" vertical="center"/>
    </xf>
    <xf numFmtId="168" fontId="33" fillId="43" borderId="60" xfId="0" applyNumberFormat="1" applyFont="1" applyFill="1" applyBorder="1" applyAlignment="1">
      <alignment horizontal="right" vertical="center"/>
    </xf>
    <xf numFmtId="0" fontId="33" fillId="40" borderId="87" xfId="0" applyFont="1" applyFill="1" applyBorder="1" applyAlignment="1">
      <alignment vertical="center" wrapText="1"/>
    </xf>
    <xf numFmtId="0" fontId="33" fillId="40" borderId="4" xfId="0" applyFont="1" applyFill="1" applyBorder="1" applyAlignment="1">
      <alignment vertical="center" wrapText="1"/>
    </xf>
    <xf numFmtId="0" fontId="33" fillId="40" borderId="50" xfId="0" applyFont="1" applyFill="1" applyBorder="1" applyAlignment="1">
      <alignment vertical="center" wrapText="1"/>
    </xf>
    <xf numFmtId="170" fontId="44" fillId="10" borderId="3" xfId="2" applyNumberFormat="1" applyFont="1" applyFill="1" applyBorder="1" applyProtection="1"/>
    <xf numFmtId="0" fontId="21" fillId="0" borderId="44" xfId="0" applyFont="1" applyBorder="1" applyAlignment="1">
      <alignment wrapText="1"/>
    </xf>
    <xf numFmtId="170" fontId="44" fillId="10" borderId="3" xfId="2" applyNumberFormat="1" applyFont="1" applyFill="1" applyBorder="1" applyAlignment="1" applyProtection="1">
      <alignment vertical="center"/>
    </xf>
    <xf numFmtId="0" fontId="21" fillId="44" borderId="44" xfId="0" applyFont="1" applyFill="1" applyBorder="1" applyAlignment="1">
      <alignment wrapText="1"/>
    </xf>
    <xf numFmtId="10" fontId="44" fillId="44" borderId="3" xfId="2" applyNumberFormat="1" applyFont="1" applyFill="1" applyBorder="1" applyAlignment="1" applyProtection="1">
      <alignment vertical="center"/>
    </xf>
    <xf numFmtId="168" fontId="33" fillId="44" borderId="3" xfId="1" applyNumberFormat="1" applyFont="1" applyFill="1" applyBorder="1" applyAlignment="1">
      <alignment horizontal="center"/>
    </xf>
    <xf numFmtId="168" fontId="33" fillId="44" borderId="6" xfId="1" applyNumberFormat="1" applyFont="1" applyFill="1" applyBorder="1"/>
    <xf numFmtId="168" fontId="33" fillId="44" borderId="60" xfId="1" applyNumberFormat="1" applyFont="1" applyFill="1" applyBorder="1" applyAlignment="1">
      <alignment horizontal="right"/>
    </xf>
    <xf numFmtId="0" fontId="45" fillId="43" borderId="3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68" xfId="0" applyFont="1" applyFill="1" applyBorder="1" applyAlignment="1">
      <alignment horizontal="center" vertical="center"/>
    </xf>
    <xf numFmtId="0" fontId="33" fillId="45" borderId="44" xfId="0" applyFont="1" applyFill="1" applyBorder="1" applyAlignment="1">
      <alignment vertical="center" wrapText="1"/>
    </xf>
    <xf numFmtId="10" fontId="44" fillId="45" borderId="3" xfId="2" applyNumberFormat="1" applyFont="1" applyFill="1" applyBorder="1" applyAlignment="1" applyProtection="1">
      <alignment vertical="center"/>
    </xf>
    <xf numFmtId="168" fontId="33" fillId="45" borderId="3" xfId="1" applyNumberFormat="1" applyFont="1" applyFill="1" applyBorder="1" applyAlignment="1">
      <alignment horizontal="right" vertical="center"/>
    </xf>
    <xf numFmtId="168" fontId="33" fillId="45" borderId="60" xfId="1" applyNumberFormat="1" applyFont="1" applyFill="1" applyBorder="1" applyAlignment="1">
      <alignment horizontal="right" vertical="center"/>
    </xf>
    <xf numFmtId="168" fontId="8" fillId="0" borderId="3" xfId="1" applyNumberFormat="1" applyFont="1" applyBorder="1" applyAlignment="1">
      <alignment horizontal="right" vertical="center"/>
    </xf>
    <xf numFmtId="168" fontId="8" fillId="0" borderId="60" xfId="1" applyNumberFormat="1" applyFont="1" applyBorder="1" applyAlignment="1">
      <alignment horizontal="right" vertical="center"/>
    </xf>
    <xf numFmtId="168" fontId="8" fillId="0" borderId="12" xfId="1" applyNumberFormat="1" applyFont="1" applyBorder="1" applyAlignment="1">
      <alignment horizontal="right" vertical="center"/>
    </xf>
    <xf numFmtId="168" fontId="8" fillId="0" borderId="68" xfId="1" applyNumberFormat="1" applyFont="1" applyBorder="1" applyAlignment="1">
      <alignment horizontal="right" vertical="center"/>
    </xf>
    <xf numFmtId="4" fontId="8" fillId="0" borderId="0" xfId="0" applyNumberFormat="1" applyFont="1"/>
    <xf numFmtId="168" fontId="8" fillId="0" borderId="3" xfId="1" applyNumberFormat="1" applyFont="1" applyBorder="1" applyAlignment="1">
      <alignment vertical="center"/>
    </xf>
    <xf numFmtId="168" fontId="8" fillId="0" borderId="60" xfId="1" applyNumberFormat="1" applyFont="1" applyBorder="1" applyAlignment="1">
      <alignment vertical="center"/>
    </xf>
    <xf numFmtId="10" fontId="44" fillId="10" borderId="12" xfId="2" applyNumberFormat="1" applyFont="1" applyFill="1" applyBorder="1" applyAlignment="1" applyProtection="1">
      <alignment vertical="center"/>
    </xf>
    <xf numFmtId="168" fontId="8" fillId="0" borderId="12" xfId="1" applyNumberFormat="1" applyFont="1" applyBorder="1" applyAlignment="1">
      <alignment vertical="center"/>
    </xf>
    <xf numFmtId="168" fontId="8" fillId="0" borderId="68" xfId="1" applyNumberFormat="1" applyFont="1" applyBorder="1" applyAlignment="1">
      <alignment vertical="center"/>
    </xf>
    <xf numFmtId="10" fontId="44" fillId="46" borderId="66" xfId="2" applyNumberFormat="1" applyFont="1" applyFill="1" applyBorder="1" applyAlignment="1" applyProtection="1">
      <alignment vertical="center"/>
    </xf>
    <xf numFmtId="168" fontId="33" fillId="46" borderId="65" xfId="1" applyNumberFormat="1" applyFont="1" applyFill="1" applyBorder="1" applyAlignment="1">
      <alignment vertical="center"/>
    </xf>
    <xf numFmtId="168" fontId="33" fillId="46" borderId="59" xfId="1" applyNumberFormat="1" applyFont="1" applyFill="1" applyBorder="1" applyAlignment="1">
      <alignment vertical="center"/>
    </xf>
    <xf numFmtId="10" fontId="44" fillId="46" borderId="67" xfId="2" applyNumberFormat="1" applyFont="1" applyFill="1" applyBorder="1" applyAlignment="1" applyProtection="1">
      <alignment vertical="center"/>
    </xf>
    <xf numFmtId="168" fontId="33" fillId="46" borderId="3" xfId="1" applyNumberFormat="1" applyFont="1" applyFill="1" applyBorder="1" applyAlignment="1">
      <alignment vertical="center"/>
    </xf>
    <xf numFmtId="168" fontId="33" fillId="46" borderId="60" xfId="1" applyNumberFormat="1" applyFont="1" applyFill="1" applyBorder="1" applyAlignment="1">
      <alignment vertical="center"/>
    </xf>
    <xf numFmtId="10" fontId="44" fillId="46" borderId="82" xfId="2" applyNumberFormat="1" applyFont="1" applyFill="1" applyBorder="1" applyAlignment="1" applyProtection="1">
      <alignment vertical="center"/>
    </xf>
    <xf numFmtId="168" fontId="33" fillId="46" borderId="54" xfId="1" applyNumberFormat="1" applyFont="1" applyFill="1" applyBorder="1" applyAlignment="1">
      <alignment vertical="center"/>
    </xf>
    <xf numFmtId="168" fontId="33" fillId="46" borderId="86" xfId="1" applyNumberFormat="1" applyFont="1" applyFill="1" applyBorder="1" applyAlignment="1">
      <alignment vertical="center"/>
    </xf>
    <xf numFmtId="0" fontId="44" fillId="10" borderId="7" xfId="2" applyNumberFormat="1" applyFont="1" applyFill="1" applyBorder="1" applyAlignment="1" applyProtection="1">
      <alignment vertical="center"/>
    </xf>
    <xf numFmtId="168" fontId="8" fillId="10" borderId="7" xfId="1" applyNumberFormat="1" applyFont="1" applyFill="1" applyBorder="1" applyAlignment="1">
      <alignment vertical="center"/>
    </xf>
    <xf numFmtId="168" fontId="8" fillId="10" borderId="9" xfId="1" applyNumberFormat="1" applyFont="1" applyFill="1" applyBorder="1" applyAlignment="1">
      <alignment vertical="center"/>
    </xf>
    <xf numFmtId="168" fontId="8" fillId="10" borderId="79" xfId="1" applyNumberFormat="1" applyFont="1" applyFill="1" applyBorder="1" applyAlignment="1">
      <alignment vertical="center"/>
    </xf>
    <xf numFmtId="0" fontId="33" fillId="43" borderId="53" xfId="0" applyFont="1" applyFill="1" applyBorder="1" applyAlignment="1">
      <alignment horizontal="right" vertical="center" wrapText="1"/>
    </xf>
    <xf numFmtId="10" fontId="33" fillId="43" borderId="54" xfId="0" applyNumberFormat="1" applyFont="1" applyFill="1" applyBorder="1" applyAlignment="1">
      <alignment horizontal="right" vertical="center" wrapText="1"/>
    </xf>
    <xf numFmtId="168" fontId="33" fillId="43" borderId="54" xfId="0" applyNumberFormat="1" applyFont="1" applyFill="1" applyBorder="1" applyAlignment="1">
      <alignment vertical="center"/>
    </xf>
    <xf numFmtId="168" fontId="33" fillId="43" borderId="55" xfId="0" applyNumberFormat="1" applyFont="1" applyFill="1" applyBorder="1" applyAlignment="1">
      <alignment vertical="center"/>
    </xf>
    <xf numFmtId="168" fontId="33" fillId="43" borderId="86" xfId="0" applyNumberFormat="1" applyFont="1" applyFill="1" applyBorder="1" applyAlignment="1">
      <alignment vertical="center"/>
    </xf>
    <xf numFmtId="0" fontId="33" fillId="47" borderId="65" xfId="0" applyFont="1" applyFill="1" applyBorder="1" applyAlignment="1">
      <alignment horizontal="center" vertical="center" wrapText="1"/>
    </xf>
    <xf numFmtId="0" fontId="33" fillId="47" borderId="88" xfId="0" applyFont="1" applyFill="1" applyBorder="1" applyAlignment="1">
      <alignment horizontal="center" vertical="center" wrapText="1"/>
    </xf>
    <xf numFmtId="0" fontId="33" fillId="47" borderId="59" xfId="0" applyFont="1" applyFill="1" applyBorder="1" applyAlignment="1">
      <alignment horizontal="center" vertical="center" wrapText="1"/>
    </xf>
    <xf numFmtId="168" fontId="33" fillId="17" borderId="12" xfId="1" applyNumberFormat="1" applyFont="1" applyFill="1" applyBorder="1" applyAlignment="1">
      <alignment horizontal="center" vertical="center"/>
    </xf>
    <xf numFmtId="168" fontId="33" fillId="17" borderId="68" xfId="1" applyNumberFormat="1" applyFont="1" applyFill="1" applyBorder="1" applyAlignment="1">
      <alignment horizontal="center" vertical="center"/>
    </xf>
    <xf numFmtId="168" fontId="33" fillId="10" borderId="65" xfId="0" applyNumberFormat="1" applyFont="1" applyFill="1" applyBorder="1" applyAlignment="1">
      <alignment vertical="center"/>
    </xf>
    <xf numFmtId="168" fontId="33" fillId="10" borderId="59" xfId="0" applyNumberFormat="1" applyFont="1" applyFill="1" applyBorder="1" applyAlignment="1">
      <alignment vertical="center"/>
    </xf>
    <xf numFmtId="168" fontId="33" fillId="10" borderId="3" xfId="0" applyNumberFormat="1" applyFont="1" applyFill="1" applyBorder="1" applyAlignment="1">
      <alignment vertical="center"/>
    </xf>
    <xf numFmtId="168" fontId="33" fillId="10" borderId="60" xfId="0" applyNumberFormat="1" applyFont="1" applyFill="1" applyBorder="1" applyAlignment="1">
      <alignment vertical="center"/>
    </xf>
    <xf numFmtId="168" fontId="46" fillId="10" borderId="3" xfId="0" applyNumberFormat="1" applyFont="1" applyFill="1" applyBorder="1" applyAlignment="1">
      <alignment vertical="center"/>
    </xf>
    <xf numFmtId="168" fontId="46" fillId="10" borderId="6" xfId="0" applyNumberFormat="1" applyFont="1" applyFill="1" applyBorder="1" applyAlignment="1">
      <alignment vertical="center"/>
    </xf>
    <xf numFmtId="168" fontId="46" fillId="10" borderId="60" xfId="0" applyNumberFormat="1" applyFont="1" applyFill="1" applyBorder="1" applyAlignment="1">
      <alignment vertical="center"/>
    </xf>
    <xf numFmtId="168" fontId="46" fillId="10" borderId="12" xfId="0" applyNumberFormat="1" applyFont="1" applyFill="1" applyBorder="1" applyAlignment="1">
      <alignment vertical="center"/>
    </xf>
    <xf numFmtId="168" fontId="46" fillId="10" borderId="68" xfId="0" applyNumberFormat="1" applyFont="1" applyFill="1" applyBorder="1" applyAlignment="1">
      <alignment vertical="center"/>
    </xf>
    <xf numFmtId="168" fontId="46" fillId="10" borderId="16" xfId="0" applyNumberFormat="1" applyFont="1" applyFill="1" applyBorder="1" applyAlignment="1">
      <alignment vertical="center"/>
    </xf>
    <xf numFmtId="168" fontId="46" fillId="10" borderId="50" xfId="0" applyNumberFormat="1" applyFont="1" applyFill="1" applyBorder="1" applyAlignment="1">
      <alignment vertical="center"/>
    </xf>
    <xf numFmtId="0" fontId="33" fillId="18" borderId="27" xfId="0" applyFont="1" applyFill="1" applyBorder="1" applyAlignment="1">
      <alignment vertical="center" wrapText="1"/>
    </xf>
    <xf numFmtId="0" fontId="33" fillId="18" borderId="28" xfId="0" applyFont="1" applyFill="1" applyBorder="1" applyAlignment="1">
      <alignment vertical="center" wrapText="1"/>
    </xf>
    <xf numFmtId="173" fontId="33" fillId="18" borderId="28" xfId="0" applyNumberFormat="1" applyFont="1" applyFill="1" applyBorder="1" applyAlignment="1">
      <alignment horizontal="right" vertical="center" wrapText="1"/>
    </xf>
    <xf numFmtId="173" fontId="33" fillId="18" borderId="29" xfId="0" applyNumberFormat="1" applyFont="1" applyFill="1" applyBorder="1" applyAlignment="1">
      <alignment horizontal="right" vertical="center" wrapText="1"/>
    </xf>
    <xf numFmtId="0" fontId="33" fillId="18" borderId="33" xfId="0" applyFont="1" applyFill="1" applyBorder="1" applyAlignment="1">
      <alignment vertical="center" wrapText="1"/>
    </xf>
    <xf numFmtId="0" fontId="33" fillId="18" borderId="0" xfId="0" applyFont="1" applyFill="1" applyAlignment="1">
      <alignment vertical="center" wrapText="1"/>
    </xf>
    <xf numFmtId="173" fontId="33" fillId="18" borderId="0" xfId="0" applyNumberFormat="1" applyFont="1" applyFill="1" applyAlignment="1">
      <alignment horizontal="right" vertical="center" wrapText="1"/>
    </xf>
    <xf numFmtId="173" fontId="33" fillId="18" borderId="34" xfId="0" applyNumberFormat="1" applyFont="1" applyFill="1" applyBorder="1" applyAlignment="1">
      <alignment horizontal="right" vertical="center" wrapText="1"/>
    </xf>
    <xf numFmtId="0" fontId="33" fillId="22" borderId="27" xfId="0" applyFont="1" applyFill="1" applyBorder="1" applyAlignment="1">
      <alignment vertical="center" wrapText="1"/>
    </xf>
    <xf numFmtId="0" fontId="33" fillId="22" borderId="28" xfId="0" applyFont="1" applyFill="1" applyBorder="1" applyAlignment="1">
      <alignment vertical="center" wrapText="1"/>
    </xf>
    <xf numFmtId="173" fontId="27" fillId="22" borderId="28" xfId="0" applyNumberFormat="1" applyFont="1" applyFill="1" applyBorder="1" applyAlignment="1">
      <alignment horizontal="right" vertical="center" wrapText="1"/>
    </xf>
    <xf numFmtId="173" fontId="33" fillId="22" borderId="28" xfId="0" applyNumberFormat="1" applyFont="1" applyFill="1" applyBorder="1" applyAlignment="1">
      <alignment horizontal="right" vertical="center" wrapText="1"/>
    </xf>
    <xf numFmtId="173" fontId="33" fillId="22" borderId="29" xfId="0" applyNumberFormat="1" applyFont="1" applyFill="1" applyBorder="1" applyAlignment="1">
      <alignment horizontal="right" vertical="center" wrapText="1"/>
    </xf>
    <xf numFmtId="0" fontId="33" fillId="22" borderId="33" xfId="0" applyFont="1" applyFill="1" applyBorder="1" applyAlignment="1">
      <alignment vertical="center" wrapText="1"/>
    </xf>
    <xf numFmtId="0" fontId="33" fillId="22" borderId="0" xfId="0" applyFont="1" applyFill="1" applyAlignment="1">
      <alignment vertical="center" wrapText="1"/>
    </xf>
    <xf numFmtId="173" fontId="27" fillId="22" borderId="0" xfId="0" applyNumberFormat="1" applyFont="1" applyFill="1" applyAlignment="1">
      <alignment horizontal="right" vertical="center" wrapText="1"/>
    </xf>
    <xf numFmtId="173" fontId="33" fillId="22" borderId="0" xfId="0" applyNumberFormat="1" applyFont="1" applyFill="1" applyAlignment="1">
      <alignment horizontal="right" vertical="center" wrapText="1"/>
    </xf>
    <xf numFmtId="173" fontId="33" fillId="22" borderId="34" xfId="0" applyNumberFormat="1" applyFont="1" applyFill="1" applyBorder="1" applyAlignment="1">
      <alignment horizontal="right" vertical="center" wrapText="1"/>
    </xf>
    <xf numFmtId="0" fontId="33" fillId="22" borderId="36" xfId="0" applyFont="1" applyFill="1" applyBorder="1" applyAlignment="1">
      <alignment vertical="center" wrapText="1"/>
    </xf>
    <xf numFmtId="0" fontId="33" fillId="22" borderId="1" xfId="0" applyFont="1" applyFill="1" applyBorder="1" applyAlignment="1">
      <alignment vertical="center" wrapText="1"/>
    </xf>
    <xf numFmtId="173" fontId="27" fillId="22" borderId="1" xfId="0" applyNumberFormat="1" applyFont="1" applyFill="1" applyBorder="1" applyAlignment="1">
      <alignment horizontal="right" vertical="center" wrapText="1"/>
    </xf>
    <xf numFmtId="173" fontId="33" fillId="22" borderId="1" xfId="0" applyNumberFormat="1" applyFont="1" applyFill="1" applyBorder="1" applyAlignment="1">
      <alignment horizontal="right" vertical="center" wrapText="1"/>
    </xf>
    <xf numFmtId="173" fontId="33" fillId="22" borderId="26" xfId="0" applyNumberFormat="1" applyFont="1" applyFill="1" applyBorder="1" applyAlignment="1">
      <alignment horizontal="right" vertical="center" wrapText="1"/>
    </xf>
    <xf numFmtId="0" fontId="8" fillId="0" borderId="33" xfId="0" applyFont="1" applyBorder="1"/>
    <xf numFmtId="0" fontId="33" fillId="48" borderId="3" xfId="0" applyFont="1" applyFill="1" applyBorder="1" applyAlignment="1">
      <alignment horizontal="center" vertical="center"/>
    </xf>
    <xf numFmtId="0" fontId="33" fillId="48" borderId="3" xfId="0" applyFont="1" applyFill="1" applyBorder="1" applyAlignment="1">
      <alignment horizontal="center" vertical="center" wrapText="1"/>
    </xf>
    <xf numFmtId="0" fontId="8" fillId="48" borderId="3" xfId="0" applyFont="1" applyFill="1" applyBorder="1"/>
    <xf numFmtId="179" fontId="8" fillId="48" borderId="3" xfId="0" applyNumberFormat="1" applyFont="1" applyFill="1" applyBorder="1"/>
    <xf numFmtId="168" fontId="8" fillId="48" borderId="3" xfId="0" applyNumberFormat="1" applyFont="1" applyFill="1" applyBorder="1"/>
    <xf numFmtId="0" fontId="33" fillId="48" borderId="3" xfId="0" applyFont="1" applyFill="1" applyBorder="1"/>
    <xf numFmtId="0" fontId="47" fillId="0" borderId="0" xfId="3" applyBorder="1" applyProtection="1"/>
    <xf numFmtId="0" fontId="48" fillId="6" borderId="3" xfId="0" applyFont="1" applyFill="1" applyBorder="1" applyAlignment="1">
      <alignment horizontal="right"/>
    </xf>
    <xf numFmtId="179" fontId="48" fillId="6" borderId="3" xfId="0" applyNumberFormat="1" applyFont="1" applyFill="1" applyBorder="1"/>
    <xf numFmtId="168" fontId="48" fillId="6" borderId="3" xfId="0" applyNumberFormat="1" applyFont="1" applyFill="1" applyBorder="1"/>
    <xf numFmtId="170" fontId="8" fillId="0" borderId="33" xfId="0" applyNumberFormat="1" applyFont="1" applyBorder="1"/>
    <xf numFmtId="170" fontId="8" fillId="0" borderId="0" xfId="0" applyNumberFormat="1" applyFont="1"/>
    <xf numFmtId="168" fontId="49" fillId="48" borderId="3" xfId="0" applyNumberFormat="1" applyFont="1" applyFill="1" applyBorder="1"/>
    <xf numFmtId="0" fontId="8" fillId="10" borderId="33" xfId="0" applyFont="1" applyFill="1" applyBorder="1" applyAlignment="1">
      <alignment horizontal="center" vertical="center"/>
    </xf>
    <xf numFmtId="0" fontId="8" fillId="10" borderId="0" xfId="0" applyFont="1" applyFill="1" applyAlignment="1">
      <alignment vertical="center"/>
    </xf>
    <xf numFmtId="180" fontId="8" fillId="10" borderId="0" xfId="0" applyNumberFormat="1" applyFont="1" applyFill="1" applyAlignment="1">
      <alignment vertical="center"/>
    </xf>
    <xf numFmtId="181" fontId="8" fillId="48" borderId="3" xfId="0" applyNumberFormat="1" applyFont="1" applyFill="1" applyBorder="1"/>
    <xf numFmtId="4" fontId="8" fillId="48" borderId="3" xfId="0" applyNumberFormat="1" applyFont="1" applyFill="1" applyBorder="1"/>
    <xf numFmtId="0" fontId="8" fillId="10" borderId="0" xfId="0" applyFont="1" applyFill="1"/>
    <xf numFmtId="0" fontId="0" fillId="10" borderId="0" xfId="0" applyFill="1"/>
    <xf numFmtId="0" fontId="48" fillId="23" borderId="3" xfId="0" applyFont="1" applyFill="1" applyBorder="1" applyAlignment="1">
      <alignment horizontal="right"/>
    </xf>
    <xf numFmtId="179" fontId="8" fillId="23" borderId="3" xfId="0" applyNumberFormat="1" applyFont="1" applyFill="1" applyBorder="1"/>
    <xf numFmtId="4" fontId="8" fillId="23" borderId="3" xfId="0" applyNumberFormat="1" applyFont="1" applyFill="1" applyBorder="1"/>
    <xf numFmtId="168" fontId="48" fillId="23" borderId="3" xfId="0" applyNumberFormat="1" applyFont="1" applyFill="1" applyBorder="1"/>
    <xf numFmtId="181" fontId="8" fillId="23" borderId="3" xfId="0" applyNumberFormat="1" applyFont="1" applyFill="1" applyBorder="1"/>
    <xf numFmtId="0" fontId="21" fillId="48" borderId="3" xfId="0" applyFont="1" applyFill="1" applyBorder="1"/>
    <xf numFmtId="168" fontId="50" fillId="48" borderId="3" xfId="0" applyNumberFormat="1" applyFont="1" applyFill="1" applyBorder="1"/>
    <xf numFmtId="0" fontId="42" fillId="24" borderId="3" xfId="0" applyFont="1" applyFill="1" applyBorder="1" applyAlignment="1">
      <alignment horizontal="right" vertical="center" wrapText="1"/>
    </xf>
    <xf numFmtId="182" fontId="8" fillId="24" borderId="3" xfId="0" applyNumberFormat="1" applyFont="1" applyFill="1" applyBorder="1"/>
    <xf numFmtId="4" fontId="8" fillId="24" borderId="3" xfId="0" applyNumberFormat="1" applyFont="1" applyFill="1" applyBorder="1"/>
    <xf numFmtId="168" fontId="48" fillId="24" borderId="3" xfId="0" applyNumberFormat="1" applyFont="1" applyFill="1" applyBorder="1"/>
    <xf numFmtId="0" fontId="33" fillId="47" borderId="89" xfId="0" applyFont="1" applyFill="1" applyBorder="1" applyAlignment="1">
      <alignment horizontal="center" vertical="center" wrapText="1"/>
    </xf>
    <xf numFmtId="0" fontId="33" fillId="47" borderId="90" xfId="0" applyFont="1" applyFill="1" applyBorder="1" applyAlignment="1">
      <alignment horizontal="center" vertical="center" wrapText="1"/>
    </xf>
    <xf numFmtId="168" fontId="33" fillId="17" borderId="84" xfId="1" applyNumberFormat="1" applyFont="1" applyFill="1" applyBorder="1" applyAlignment="1">
      <alignment horizontal="center" vertical="center"/>
    </xf>
    <xf numFmtId="168" fontId="33" fillId="17" borderId="91" xfId="1" applyNumberFormat="1" applyFont="1" applyFill="1" applyBorder="1" applyAlignment="1">
      <alignment horizontal="center" vertical="center"/>
    </xf>
    <xf numFmtId="168" fontId="33" fillId="10" borderId="89" xfId="0" applyNumberFormat="1" applyFont="1" applyFill="1" applyBorder="1" applyAlignment="1">
      <alignment vertical="center"/>
    </xf>
    <xf numFmtId="168" fontId="33" fillId="10" borderId="90" xfId="0" applyNumberFormat="1" applyFont="1" applyFill="1" applyBorder="1" applyAlignment="1">
      <alignment vertical="center"/>
    </xf>
    <xf numFmtId="168" fontId="33" fillId="10" borderId="10" xfId="0" applyNumberFormat="1" applyFont="1" applyFill="1" applyBorder="1" applyAlignment="1">
      <alignment vertical="center"/>
    </xf>
    <xf numFmtId="168" fontId="33" fillId="10" borderId="56" xfId="0" applyNumberFormat="1" applyFont="1" applyFill="1" applyBorder="1" applyAlignment="1">
      <alignment vertical="center"/>
    </xf>
    <xf numFmtId="168" fontId="46" fillId="10" borderId="10" xfId="0" applyNumberFormat="1" applyFont="1" applyFill="1" applyBorder="1" applyAlignment="1">
      <alignment vertical="center"/>
    </xf>
    <xf numFmtId="168" fontId="46" fillId="10" borderId="56" xfId="0" applyNumberFormat="1" applyFont="1" applyFill="1" applyBorder="1" applyAlignment="1">
      <alignment vertical="center"/>
    </xf>
    <xf numFmtId="168" fontId="46" fillId="10" borderId="84" xfId="0" applyNumberFormat="1" applyFont="1" applyFill="1" applyBorder="1" applyAlignment="1">
      <alignment vertical="center"/>
    </xf>
    <xf numFmtId="168" fontId="46" fillId="10" borderId="91" xfId="0" applyNumberFormat="1" applyFont="1" applyFill="1" applyBorder="1" applyAlignment="1">
      <alignment vertical="center"/>
    </xf>
    <xf numFmtId="173" fontId="33" fillId="18" borderId="1" xfId="0" applyNumberFormat="1" applyFont="1" applyFill="1" applyBorder="1" applyAlignment="1">
      <alignment horizontal="right" vertical="center" wrapText="1"/>
    </xf>
    <xf numFmtId="173" fontId="33" fillId="18" borderId="26" xfId="0" applyNumberFormat="1" applyFont="1" applyFill="1" applyBorder="1" applyAlignment="1">
      <alignment horizontal="right" vertical="center" wrapText="1"/>
    </xf>
    <xf numFmtId="173" fontId="27" fillId="22" borderId="29" xfId="0" applyNumberFormat="1" applyFont="1" applyFill="1" applyBorder="1" applyAlignment="1">
      <alignment horizontal="right" vertical="center" wrapText="1"/>
    </xf>
    <xf numFmtId="173" fontId="27" fillId="22" borderId="34" xfId="0" applyNumberFormat="1" applyFont="1" applyFill="1" applyBorder="1" applyAlignment="1">
      <alignment horizontal="right" vertical="center" wrapText="1"/>
    </xf>
    <xf numFmtId="173" fontId="27" fillId="22" borderId="26" xfId="0" applyNumberFormat="1" applyFont="1" applyFill="1" applyBorder="1" applyAlignment="1">
      <alignment horizontal="right" vertical="center" wrapText="1"/>
    </xf>
    <xf numFmtId="0" fontId="13" fillId="0" borderId="64" xfId="0" applyFont="1" applyBorder="1" applyAlignment="1" applyProtection="1">
      <alignment horizontal="left" vertical="center"/>
      <protection locked="0"/>
    </xf>
    <xf numFmtId="10" fontId="7" fillId="0" borderId="77" xfId="0" applyNumberFormat="1" applyFont="1" applyBorder="1" applyAlignment="1" applyProtection="1">
      <alignment horizontal="center" vertical="center"/>
      <protection locked="0"/>
    </xf>
    <xf numFmtId="165" fontId="13" fillId="0" borderId="92" xfId="1" applyFont="1" applyBorder="1" applyAlignment="1">
      <alignment horizontal="center" vertical="center"/>
    </xf>
    <xf numFmtId="10" fontId="7" fillId="0" borderId="60" xfId="0" applyNumberFormat="1" applyFont="1" applyBorder="1" applyAlignment="1" applyProtection="1">
      <alignment horizontal="center" vertical="center"/>
      <protection locked="0"/>
    </xf>
    <xf numFmtId="165" fontId="13" fillId="0" borderId="5" xfId="1" applyFont="1" applyBorder="1" applyAlignment="1">
      <alignment horizontal="center" vertical="center"/>
    </xf>
    <xf numFmtId="165" fontId="13" fillId="0" borderId="6" xfId="1" applyFont="1" applyBorder="1" applyAlignment="1">
      <alignment horizontal="center" vertical="center"/>
    </xf>
    <xf numFmtId="165" fontId="13" fillId="0" borderId="11" xfId="1" applyFont="1" applyBorder="1" applyAlignment="1">
      <alignment horizontal="center" vertical="center"/>
    </xf>
    <xf numFmtId="10" fontId="7" fillId="0" borderId="80" xfId="0" applyNumberFormat="1" applyFont="1" applyBorder="1" applyAlignment="1" applyProtection="1">
      <alignment horizontal="center" vertical="center"/>
      <protection locked="0"/>
    </xf>
    <xf numFmtId="165" fontId="13" fillId="0" borderId="16" xfId="1" applyFont="1" applyBorder="1" applyAlignment="1">
      <alignment horizontal="center" vertical="center"/>
    </xf>
    <xf numFmtId="165" fontId="13" fillId="0" borderId="14" xfId="1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left" vertical="center"/>
      <protection locked="0"/>
    </xf>
    <xf numFmtId="10" fontId="28" fillId="0" borderId="77" xfId="0" applyNumberFormat="1" applyFont="1" applyBorder="1" applyAlignment="1" applyProtection="1">
      <alignment horizontal="center" vertical="center"/>
      <protection locked="0"/>
    </xf>
    <xf numFmtId="2" fontId="21" fillId="10" borderId="64" xfId="0" applyNumberFormat="1" applyFont="1" applyFill="1" applyBorder="1"/>
    <xf numFmtId="2" fontId="21" fillId="10" borderId="65" xfId="0" applyNumberFormat="1" applyFont="1" applyFill="1" applyBorder="1"/>
    <xf numFmtId="165" fontId="13" fillId="0" borderId="65" xfId="0" applyNumberFormat="1" applyFont="1" applyBorder="1" applyAlignment="1">
      <alignment horizontal="center" vertical="center"/>
    </xf>
    <xf numFmtId="2" fontId="21" fillId="10" borderId="88" xfId="0" applyNumberFormat="1" applyFont="1" applyFill="1" applyBorder="1"/>
    <xf numFmtId="10" fontId="28" fillId="0" borderId="60" xfId="0" applyNumberFormat="1" applyFont="1" applyBorder="1" applyAlignment="1" applyProtection="1">
      <alignment horizontal="center" vertical="center"/>
      <protection locked="0"/>
    </xf>
    <xf numFmtId="2" fontId="21" fillId="10" borderId="44" xfId="0" applyNumberFormat="1" applyFont="1" applyFill="1" applyBorder="1"/>
    <xf numFmtId="165" fontId="14" fillId="0" borderId="3" xfId="1" applyFont="1" applyBorder="1" applyAlignment="1">
      <alignment horizontal="center" vertical="center"/>
    </xf>
    <xf numFmtId="2" fontId="21" fillId="10" borderId="3" xfId="0" applyNumberFormat="1" applyFont="1" applyFill="1" applyBorder="1"/>
    <xf numFmtId="165" fontId="13" fillId="0" borderId="3" xfId="0" applyNumberFormat="1" applyFont="1" applyBorder="1" applyAlignment="1">
      <alignment horizontal="center" vertical="center"/>
    </xf>
    <xf numFmtId="2" fontId="21" fillId="10" borderId="6" xfId="0" applyNumberFormat="1" applyFont="1" applyFill="1" applyBorder="1"/>
    <xf numFmtId="10" fontId="28" fillId="0" borderId="80" xfId="0" applyNumberFormat="1" applyFont="1" applyBorder="1" applyAlignment="1" applyProtection="1">
      <alignment horizontal="center" vertical="center"/>
      <protection locked="0"/>
    </xf>
    <xf numFmtId="2" fontId="21" fillId="10" borderId="46" xfId="0" applyNumberFormat="1" applyFont="1" applyFill="1" applyBorder="1"/>
    <xf numFmtId="165" fontId="14" fillId="0" borderId="81" xfId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2" fontId="21" fillId="10" borderId="12" xfId="0" applyNumberFormat="1" applyFont="1" applyFill="1" applyBorder="1"/>
    <xf numFmtId="2" fontId="21" fillId="10" borderId="14" xfId="0" applyNumberFormat="1" applyFont="1" applyFill="1" applyBorder="1"/>
    <xf numFmtId="165" fontId="7" fillId="0" borderId="94" xfId="1" applyFont="1" applyBorder="1" applyAlignment="1">
      <alignment horizontal="center" vertical="center"/>
    </xf>
    <xf numFmtId="166" fontId="32" fillId="0" borderId="95" xfId="1" applyNumberFormat="1" applyFont="1" applyBorder="1" applyAlignment="1">
      <alignment horizontal="center" vertical="center"/>
    </xf>
    <xf numFmtId="165" fontId="7" fillId="0" borderId="96" xfId="1" applyFont="1" applyBorder="1" applyAlignment="1">
      <alignment horizontal="center" vertical="center"/>
    </xf>
    <xf numFmtId="166" fontId="32" fillId="0" borderId="97" xfId="1" applyNumberFormat="1" applyFont="1" applyBorder="1" applyAlignment="1">
      <alignment horizontal="center" vertical="center"/>
    </xf>
    <xf numFmtId="165" fontId="7" fillId="0" borderId="98" xfId="1" applyFont="1" applyBorder="1" applyAlignment="1">
      <alignment horizontal="center" vertical="center"/>
    </xf>
    <xf numFmtId="166" fontId="32" fillId="0" borderId="99" xfId="1" applyNumberFormat="1" applyFont="1" applyBorder="1" applyAlignment="1">
      <alignment horizontal="center" vertical="center"/>
    </xf>
    <xf numFmtId="0" fontId="29" fillId="29" borderId="100" xfId="0" applyFont="1" applyFill="1" applyBorder="1" applyAlignment="1">
      <alignment horizontal="center" vertical="center" wrapText="1"/>
    </xf>
    <xf numFmtId="0" fontId="21" fillId="0" borderId="101" xfId="0" applyFont="1" applyBorder="1" applyAlignment="1">
      <alignment horizontal="center" vertical="center"/>
    </xf>
    <xf numFmtId="0" fontId="21" fillId="0" borderId="102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2" fontId="27" fillId="9" borderId="104" xfId="0" applyNumberFormat="1" applyFont="1" applyFill="1" applyBorder="1" applyAlignment="1">
      <alignment horizontal="center"/>
    </xf>
    <xf numFmtId="2" fontId="27" fillId="9" borderId="105" xfId="0" applyNumberFormat="1" applyFont="1" applyFill="1" applyBorder="1" applyAlignment="1">
      <alignment horizontal="center"/>
    </xf>
    <xf numFmtId="2" fontId="27" fillId="9" borderId="97" xfId="0" applyNumberFormat="1" applyFont="1" applyFill="1" applyBorder="1" applyAlignment="1">
      <alignment horizontal="center"/>
    </xf>
    <xf numFmtId="2" fontId="27" fillId="9" borderId="106" xfId="0" applyNumberFormat="1" applyFont="1" applyFill="1" applyBorder="1" applyAlignment="1">
      <alignment horizontal="center"/>
    </xf>
    <xf numFmtId="2" fontId="27" fillId="9" borderId="107" xfId="0" applyNumberFormat="1" applyFont="1" applyFill="1" applyBorder="1" applyAlignment="1">
      <alignment horizontal="center"/>
    </xf>
    <xf numFmtId="2" fontId="27" fillId="9" borderId="108" xfId="0" applyNumberFormat="1" applyFont="1" applyFill="1" applyBorder="1" applyAlignment="1">
      <alignment horizontal="center"/>
    </xf>
    <xf numFmtId="165" fontId="13" fillId="0" borderId="105" xfId="1" applyFont="1" applyBorder="1" applyAlignment="1">
      <alignment horizontal="center" vertical="center"/>
    </xf>
    <xf numFmtId="165" fontId="53" fillId="50" borderId="111" xfId="1" applyFont="1" applyFill="1" applyBorder="1" applyAlignment="1">
      <alignment horizontal="center" vertical="center"/>
    </xf>
    <xf numFmtId="165" fontId="53" fillId="50" borderId="112" xfId="1" applyFont="1" applyFill="1" applyBorder="1" applyAlignment="1">
      <alignment horizontal="center" vertical="center"/>
    </xf>
    <xf numFmtId="165" fontId="53" fillId="50" borderId="113" xfId="1" applyFont="1" applyFill="1" applyBorder="1" applyAlignment="1">
      <alignment horizontal="center" vertical="center"/>
    </xf>
    <xf numFmtId="165" fontId="53" fillId="50" borderId="114" xfId="1" applyFont="1" applyFill="1" applyBorder="1" applyAlignment="1">
      <alignment horizontal="center" vertical="center"/>
    </xf>
    <xf numFmtId="165" fontId="53" fillId="50" borderId="115" xfId="1" applyFont="1" applyFill="1" applyBorder="1" applyAlignment="1">
      <alignment horizontal="center" vertical="center"/>
    </xf>
    <xf numFmtId="165" fontId="53" fillId="50" borderId="116" xfId="1" applyFont="1" applyFill="1" applyBorder="1" applyAlignment="1">
      <alignment horizontal="center" vertical="center"/>
    </xf>
    <xf numFmtId="165" fontId="53" fillId="50" borderId="117" xfId="1" applyFont="1" applyFill="1" applyBorder="1" applyAlignment="1">
      <alignment horizontal="center" vertical="center"/>
    </xf>
    <xf numFmtId="165" fontId="53" fillId="50" borderId="118" xfId="1" applyFont="1" applyFill="1" applyBorder="1" applyAlignment="1">
      <alignment horizontal="center" vertical="center"/>
    </xf>
    <xf numFmtId="165" fontId="53" fillId="50" borderId="119" xfId="1" applyFont="1" applyFill="1" applyBorder="1" applyAlignment="1">
      <alignment horizontal="center" vertical="center"/>
    </xf>
    <xf numFmtId="165" fontId="53" fillId="50" borderId="120" xfId="1" applyFont="1" applyFill="1" applyBorder="1" applyAlignment="1">
      <alignment horizontal="center" vertical="center"/>
    </xf>
    <xf numFmtId="165" fontId="53" fillId="49" borderId="121" xfId="1" applyFont="1" applyFill="1" applyBorder="1" applyAlignment="1">
      <alignment horizontal="center" vertical="center"/>
    </xf>
    <xf numFmtId="165" fontId="53" fillId="49" borderId="112" xfId="1" applyFont="1" applyFill="1" applyBorder="1" applyAlignment="1">
      <alignment horizontal="center" vertical="center"/>
    </xf>
    <xf numFmtId="165" fontId="53" fillId="49" borderId="122" xfId="1" applyFont="1" applyFill="1" applyBorder="1" applyAlignment="1">
      <alignment horizontal="center" vertical="center"/>
    </xf>
    <xf numFmtId="165" fontId="53" fillId="49" borderId="115" xfId="1" applyFont="1" applyFill="1" applyBorder="1" applyAlignment="1">
      <alignment horizontal="center" vertical="center"/>
    </xf>
    <xf numFmtId="165" fontId="53" fillId="49" borderId="123" xfId="1" applyFont="1" applyFill="1" applyBorder="1" applyAlignment="1">
      <alignment horizontal="center" vertical="center"/>
    </xf>
    <xf numFmtId="165" fontId="53" fillId="49" borderId="118" xfId="1" applyFont="1" applyFill="1" applyBorder="1" applyAlignment="1">
      <alignment horizontal="center" vertical="center"/>
    </xf>
    <xf numFmtId="165" fontId="21" fillId="28" borderId="124" xfId="1" applyFont="1" applyFill="1" applyBorder="1" applyAlignment="1">
      <alignment horizontal="center" vertical="center"/>
    </xf>
    <xf numFmtId="165" fontId="21" fillId="28" borderId="125" xfId="1" applyFont="1" applyFill="1" applyBorder="1" applyAlignment="1">
      <alignment horizontal="center" vertical="center"/>
    </xf>
    <xf numFmtId="165" fontId="24" fillId="28" borderId="126" xfId="1" applyFont="1" applyFill="1" applyBorder="1" applyAlignment="1">
      <alignment horizontal="center" vertical="center"/>
    </xf>
    <xf numFmtId="165" fontId="24" fillId="21" borderId="51" xfId="1" applyFont="1" applyFill="1" applyBorder="1" applyAlignment="1">
      <alignment horizontal="center" vertical="center"/>
    </xf>
    <xf numFmtId="165" fontId="24" fillId="28" borderId="29" xfId="1" applyFont="1" applyFill="1" applyBorder="1" applyAlignment="1">
      <alignment horizontal="center" vertical="center"/>
    </xf>
    <xf numFmtId="0" fontId="54" fillId="0" borderId="127" xfId="0" applyFont="1" applyBorder="1"/>
    <xf numFmtId="0" fontId="52" fillId="0" borderId="127" xfId="0" applyFont="1" applyBorder="1"/>
    <xf numFmtId="0" fontId="52" fillId="0" borderId="127" xfId="0" quotePrefix="1" applyFont="1" applyBorder="1"/>
    <xf numFmtId="0" fontId="54" fillId="0" borderId="105" xfId="0" applyFont="1" applyBorder="1"/>
    <xf numFmtId="0" fontId="52" fillId="0" borderId="105" xfId="0" applyFont="1" applyBorder="1"/>
    <xf numFmtId="0" fontId="52" fillId="0" borderId="105" xfId="0" quotePrefix="1" applyFont="1" applyBorder="1"/>
    <xf numFmtId="4" fontId="52" fillId="0" borderId="105" xfId="0" applyNumberFormat="1" applyFont="1" applyBorder="1"/>
    <xf numFmtId="165" fontId="55" fillId="0" borderId="3" xfId="1" applyFont="1" applyBorder="1" applyAlignment="1">
      <alignment horizontal="center" vertical="center"/>
    </xf>
    <xf numFmtId="10" fontId="44" fillId="46" borderId="67" xfId="2" applyNumberFormat="1" applyFont="1" applyFill="1" applyBorder="1" applyAlignment="1" applyProtection="1">
      <alignment vertical="center" wrapText="1"/>
    </xf>
    <xf numFmtId="165" fontId="27" fillId="16" borderId="36" xfId="0" applyNumberFormat="1" applyFont="1" applyFill="1" applyBorder="1" applyAlignment="1">
      <alignment horizontal="center" vertical="center" wrapText="1"/>
    </xf>
    <xf numFmtId="165" fontId="21" fillId="30" borderId="130" xfId="1" applyFont="1" applyFill="1" applyBorder="1" applyAlignment="1">
      <alignment horizontal="center" vertical="center"/>
    </xf>
    <xf numFmtId="165" fontId="21" fillId="30" borderId="116" xfId="1" applyFont="1" applyFill="1" applyBorder="1" applyAlignment="1">
      <alignment horizontal="center" vertical="center"/>
    </xf>
    <xf numFmtId="165" fontId="21" fillId="30" borderId="119" xfId="1" applyFont="1" applyFill="1" applyBorder="1" applyAlignment="1">
      <alignment horizontal="center" vertical="center"/>
    </xf>
    <xf numFmtId="2" fontId="21" fillId="11" borderId="93" xfId="1" applyNumberFormat="1" applyFont="1" applyFill="1" applyBorder="1" applyAlignment="1">
      <alignment horizontal="center" vertical="center"/>
    </xf>
    <xf numFmtId="172" fontId="21" fillId="11" borderId="32" xfId="1" applyNumberFormat="1" applyFont="1" applyFill="1" applyBorder="1" applyAlignment="1">
      <alignment horizontal="center" vertical="center"/>
    </xf>
    <xf numFmtId="172" fontId="21" fillId="11" borderId="35" xfId="1" applyNumberFormat="1" applyFont="1" applyFill="1" applyBorder="1" applyAlignment="1">
      <alignment horizontal="center" vertical="center"/>
    </xf>
    <xf numFmtId="0" fontId="27" fillId="9" borderId="38" xfId="0" applyFont="1" applyFill="1" applyBorder="1" applyAlignment="1">
      <alignment horizontal="center" vertical="center" wrapText="1"/>
    </xf>
    <xf numFmtId="165" fontId="27" fillId="9" borderId="41" xfId="0" applyNumberFormat="1" applyFont="1" applyFill="1" applyBorder="1" applyAlignment="1">
      <alignment horizontal="center" vertical="center" wrapText="1"/>
    </xf>
    <xf numFmtId="2" fontId="21" fillId="31" borderId="128" xfId="1" applyNumberFormat="1" applyFont="1" applyFill="1" applyBorder="1" applyAlignment="1">
      <alignment horizontal="center" vertical="center"/>
    </xf>
    <xf numFmtId="2" fontId="21" fillId="31" borderId="122" xfId="1" applyNumberFormat="1" applyFont="1" applyFill="1" applyBorder="1" applyAlignment="1">
      <alignment horizontal="center" vertical="center"/>
    </xf>
    <xf numFmtId="172" fontId="13" fillId="29" borderId="9" xfId="1" applyNumberFormat="1" applyFont="1" applyFill="1" applyBorder="1" applyAlignment="1">
      <alignment horizontal="center" vertical="center"/>
    </xf>
    <xf numFmtId="172" fontId="13" fillId="29" borderId="6" xfId="1" applyNumberFormat="1" applyFont="1" applyFill="1" applyBorder="1" applyAlignment="1">
      <alignment horizontal="center" vertical="center"/>
    </xf>
    <xf numFmtId="165" fontId="35" fillId="21" borderId="63" xfId="1" applyFont="1" applyFill="1" applyBorder="1" applyAlignment="1">
      <alignment horizontal="center" vertical="center"/>
    </xf>
    <xf numFmtId="165" fontId="13" fillId="30" borderId="130" xfId="1" applyFont="1" applyFill="1" applyBorder="1" applyAlignment="1">
      <alignment horizontal="center" vertical="center"/>
    </xf>
    <xf numFmtId="165" fontId="13" fillId="30" borderId="116" xfId="1" applyFont="1" applyFill="1" applyBorder="1" applyAlignment="1">
      <alignment horizontal="center" vertical="center"/>
    </xf>
    <xf numFmtId="165" fontId="13" fillId="30" borderId="119" xfId="1" applyFont="1" applyFill="1" applyBorder="1" applyAlignment="1">
      <alignment horizontal="center" vertical="center"/>
    </xf>
    <xf numFmtId="172" fontId="13" fillId="11" borderId="93" xfId="1" applyNumberFormat="1" applyFont="1" applyFill="1" applyBorder="1" applyAlignment="1">
      <alignment horizontal="center" vertical="center"/>
    </xf>
    <xf numFmtId="172" fontId="13" fillId="11" borderId="35" xfId="1" applyNumberFormat="1" applyFont="1" applyFill="1" applyBorder="1" applyAlignment="1">
      <alignment horizontal="center" vertical="center"/>
    </xf>
    <xf numFmtId="2" fontId="13" fillId="31" borderId="128" xfId="1" applyNumberFormat="1" applyFont="1" applyFill="1" applyBorder="1" applyAlignment="1">
      <alignment horizontal="right" vertical="center"/>
    </xf>
    <xf numFmtId="2" fontId="13" fillId="31" borderId="122" xfId="1" applyNumberFormat="1" applyFont="1" applyFill="1" applyBorder="1" applyAlignment="1">
      <alignment horizontal="right" vertical="center"/>
    </xf>
    <xf numFmtId="2" fontId="13" fillId="31" borderId="129" xfId="1" applyNumberFormat="1" applyFont="1" applyFill="1" applyBorder="1" applyAlignment="1">
      <alignment horizontal="right" vertical="center"/>
    </xf>
    <xf numFmtId="10" fontId="44" fillId="46" borderId="105" xfId="2" applyNumberFormat="1" applyFont="1" applyFill="1" applyBorder="1" applyAlignment="1" applyProtection="1">
      <alignment vertical="center"/>
    </xf>
    <xf numFmtId="168" fontId="33" fillId="46" borderId="105" xfId="1" applyNumberFormat="1" applyFont="1" applyFill="1" applyBorder="1" applyAlignment="1">
      <alignment vertical="center"/>
    </xf>
    <xf numFmtId="168" fontId="33" fillId="46" borderId="135" xfId="1" applyNumberFormat="1" applyFont="1" applyFill="1" applyBorder="1" applyAlignment="1">
      <alignment vertical="center"/>
    </xf>
    <xf numFmtId="10" fontId="44" fillId="46" borderId="137" xfId="2" applyNumberFormat="1" applyFont="1" applyFill="1" applyBorder="1" applyAlignment="1" applyProtection="1">
      <alignment vertical="center"/>
    </xf>
    <xf numFmtId="168" fontId="33" fillId="46" borderId="137" xfId="1" applyNumberFormat="1" applyFont="1" applyFill="1" applyBorder="1" applyAlignment="1">
      <alignment vertical="center"/>
    </xf>
    <xf numFmtId="168" fontId="33" fillId="46" borderId="138" xfId="1" applyNumberFormat="1" applyFont="1" applyFill="1" applyBorder="1" applyAlignment="1">
      <alignment vertical="center"/>
    </xf>
    <xf numFmtId="168" fontId="33" fillId="41" borderId="105" xfId="1" applyNumberFormat="1" applyFont="1" applyFill="1" applyBorder="1" applyAlignment="1">
      <alignment horizontal="center" vertical="center"/>
    </xf>
    <xf numFmtId="10" fontId="44" fillId="10" borderId="105" xfId="2" applyNumberFormat="1" applyFont="1" applyFill="1" applyBorder="1" applyAlignment="1" applyProtection="1">
      <alignment vertical="center"/>
    </xf>
    <xf numFmtId="168" fontId="33" fillId="10" borderId="105" xfId="1" applyNumberFormat="1" applyFont="1" applyFill="1" applyBorder="1" applyAlignment="1">
      <alignment vertical="center"/>
    </xf>
    <xf numFmtId="10" fontId="44" fillId="45" borderId="105" xfId="2" applyNumberFormat="1" applyFont="1" applyFill="1" applyBorder="1" applyAlignment="1" applyProtection="1">
      <alignment vertical="center"/>
    </xf>
    <xf numFmtId="168" fontId="33" fillId="45" borderId="105" xfId="1" applyNumberFormat="1" applyFont="1" applyFill="1" applyBorder="1" applyAlignment="1">
      <alignment horizontal="right" vertical="center"/>
    </xf>
    <xf numFmtId="168" fontId="8" fillId="0" borderId="105" xfId="1" applyNumberFormat="1" applyFont="1" applyBorder="1" applyAlignment="1">
      <alignment vertical="center"/>
    </xf>
    <xf numFmtId="168" fontId="8" fillId="0" borderId="105" xfId="1" applyNumberFormat="1" applyFont="1" applyBorder="1" applyAlignment="1">
      <alignment horizontal="right" vertical="center"/>
    </xf>
    <xf numFmtId="10" fontId="44" fillId="46" borderId="102" xfId="2" applyNumberFormat="1" applyFont="1" applyFill="1" applyBorder="1" applyAlignment="1" applyProtection="1">
      <alignment vertical="center"/>
    </xf>
    <xf numFmtId="168" fontId="33" fillId="46" borderId="102" xfId="1" applyNumberFormat="1" applyFont="1" applyFill="1" applyBorder="1" applyAlignment="1">
      <alignment vertical="center"/>
    </xf>
    <xf numFmtId="168" fontId="33" fillId="46" borderId="140" xfId="1" applyNumberFormat="1" applyFont="1" applyFill="1" applyBorder="1" applyAlignment="1">
      <alignment vertical="center"/>
    </xf>
    <xf numFmtId="0" fontId="33" fillId="41" borderId="134" xfId="0" applyFont="1" applyFill="1" applyBorder="1" applyAlignment="1">
      <alignment vertical="center" wrapText="1"/>
    </xf>
    <xf numFmtId="168" fontId="33" fillId="41" borderId="135" xfId="1" applyNumberFormat="1" applyFont="1" applyFill="1" applyBorder="1" applyAlignment="1">
      <alignment horizontal="center" vertical="center"/>
    </xf>
    <xf numFmtId="0" fontId="8" fillId="10" borderId="134" xfId="0" applyFont="1" applyFill="1" applyBorder="1" applyAlignment="1">
      <alignment vertical="center" wrapText="1"/>
    </xf>
    <xf numFmtId="168" fontId="33" fillId="10" borderId="135" xfId="1" applyNumberFormat="1" applyFont="1" applyFill="1" applyBorder="1" applyAlignment="1">
      <alignment vertical="center"/>
    </xf>
    <xf numFmtId="0" fontId="33" fillId="45" borderId="134" xfId="0" applyFont="1" applyFill="1" applyBorder="1" applyAlignment="1">
      <alignment vertical="center" wrapText="1"/>
    </xf>
    <xf numFmtId="168" fontId="33" fillId="45" borderId="135" xfId="1" applyNumberFormat="1" applyFont="1" applyFill="1" applyBorder="1" applyAlignment="1">
      <alignment horizontal="right" vertical="center"/>
    </xf>
    <xf numFmtId="168" fontId="8" fillId="0" borderId="135" xfId="1" applyNumberFormat="1" applyFont="1" applyBorder="1" applyAlignment="1">
      <alignment vertical="center"/>
    </xf>
    <xf numFmtId="168" fontId="8" fillId="0" borderId="135" xfId="1" applyNumberFormat="1" applyFont="1" applyBorder="1" applyAlignment="1">
      <alignment horizontal="right" vertical="center"/>
    </xf>
    <xf numFmtId="0" fontId="8" fillId="10" borderId="136" xfId="0" applyFont="1" applyFill="1" applyBorder="1" applyAlignment="1">
      <alignment vertical="center" wrapText="1"/>
    </xf>
    <xf numFmtId="10" fontId="44" fillId="10" borderId="137" xfId="2" applyNumberFormat="1" applyFont="1" applyFill="1" applyBorder="1" applyAlignment="1" applyProtection="1">
      <alignment vertical="center"/>
    </xf>
    <xf numFmtId="168" fontId="8" fillId="0" borderId="137" xfId="1" applyNumberFormat="1" applyFont="1" applyBorder="1" applyAlignment="1">
      <alignment vertical="center"/>
    </xf>
    <xf numFmtId="168" fontId="8" fillId="0" borderId="138" xfId="1" applyNumberFormat="1" applyFont="1" applyBorder="1" applyAlignment="1">
      <alignment vertical="center"/>
    </xf>
    <xf numFmtId="170" fontId="44" fillId="10" borderId="105" xfId="2" applyNumberFormat="1" applyFont="1" applyFill="1" applyBorder="1" applyAlignment="1" applyProtection="1">
      <alignment wrapText="1"/>
    </xf>
    <xf numFmtId="168" fontId="33" fillId="10" borderId="105" xfId="1" applyNumberFormat="1" applyFont="1" applyFill="1" applyBorder="1"/>
    <xf numFmtId="170" fontId="44" fillId="10" borderId="105" xfId="2" applyNumberFormat="1" applyFont="1" applyFill="1" applyBorder="1" applyAlignment="1" applyProtection="1">
      <alignment vertical="center" wrapText="1"/>
    </xf>
    <xf numFmtId="168" fontId="33" fillId="10" borderId="105" xfId="1" applyNumberFormat="1" applyFont="1" applyFill="1" applyBorder="1" applyAlignment="1">
      <alignment horizontal="center"/>
    </xf>
    <xf numFmtId="173" fontId="44" fillId="10" borderId="105" xfId="2" applyNumberFormat="1" applyFont="1" applyFill="1" applyBorder="1" applyAlignment="1" applyProtection="1">
      <alignment vertical="center" wrapText="1"/>
    </xf>
    <xf numFmtId="168" fontId="33" fillId="43" borderId="105" xfId="0" applyNumberFormat="1" applyFont="1" applyFill="1" applyBorder="1" applyAlignment="1">
      <alignment vertical="center"/>
    </xf>
    <xf numFmtId="0" fontId="21" fillId="0" borderId="134" xfId="0" applyFont="1" applyBorder="1" applyAlignment="1">
      <alignment vertical="center"/>
    </xf>
    <xf numFmtId="168" fontId="33" fillId="10" borderId="135" xfId="1" applyNumberFormat="1" applyFont="1" applyFill="1" applyBorder="1"/>
    <xf numFmtId="0" fontId="21" fillId="0" borderId="134" xfId="0" applyFont="1" applyBorder="1" applyAlignment="1">
      <alignment wrapText="1"/>
    </xf>
    <xf numFmtId="168" fontId="33" fillId="10" borderId="135" xfId="1" applyNumberFormat="1" applyFont="1" applyFill="1" applyBorder="1" applyAlignment="1">
      <alignment horizontal="center"/>
    </xf>
    <xf numFmtId="0" fontId="33" fillId="43" borderId="136" xfId="0" applyFont="1" applyFill="1" applyBorder="1" applyAlignment="1">
      <alignment horizontal="right" vertical="center" wrapText="1"/>
    </xf>
    <xf numFmtId="0" fontId="45" fillId="43" borderId="137" xfId="0" applyFont="1" applyFill="1" applyBorder="1" applyAlignment="1">
      <alignment vertical="center"/>
    </xf>
    <xf numFmtId="168" fontId="33" fillId="43" borderId="137" xfId="0" applyNumberFormat="1" applyFont="1" applyFill="1" applyBorder="1" applyAlignment="1">
      <alignment vertical="center"/>
    </xf>
    <xf numFmtId="168" fontId="33" fillId="43" borderId="138" xfId="0" applyNumberFormat="1" applyFont="1" applyFill="1" applyBorder="1" applyAlignment="1">
      <alignment vertical="center"/>
    </xf>
    <xf numFmtId="0" fontId="24" fillId="3" borderId="105" xfId="0" applyFont="1" applyFill="1" applyBorder="1" applyAlignment="1">
      <alignment vertical="center"/>
    </xf>
    <xf numFmtId="168" fontId="33" fillId="42" borderId="105" xfId="1" applyNumberFormat="1" applyFont="1" applyFill="1" applyBorder="1" applyAlignment="1">
      <alignment horizontal="center" vertical="center"/>
    </xf>
    <xf numFmtId="10" fontId="44" fillId="10" borderId="105" xfId="2" applyNumberFormat="1" applyFont="1" applyFill="1" applyBorder="1" applyAlignment="1" applyProtection="1">
      <alignment vertical="center"/>
      <protection locked="0"/>
    </xf>
    <xf numFmtId="10" fontId="33" fillId="43" borderId="105" xfId="0" applyNumberFormat="1" applyFont="1" applyFill="1" applyBorder="1" applyAlignment="1">
      <alignment horizontal="right" vertical="center" wrapText="1"/>
    </xf>
    <xf numFmtId="10" fontId="21" fillId="0" borderId="105" xfId="0" applyNumberFormat="1" applyFont="1" applyBorder="1" applyAlignment="1">
      <alignment horizontal="center" vertical="center"/>
    </xf>
    <xf numFmtId="4" fontId="21" fillId="0" borderId="105" xfId="0" applyNumberFormat="1" applyFont="1" applyBorder="1" applyAlignment="1">
      <alignment vertical="center"/>
    </xf>
    <xf numFmtId="9" fontId="24" fillId="8" borderId="105" xfId="0" applyNumberFormat="1" applyFont="1" applyFill="1" applyBorder="1" applyAlignment="1">
      <alignment horizontal="center" vertical="center"/>
    </xf>
    <xf numFmtId="2" fontId="24" fillId="8" borderId="105" xfId="0" applyNumberFormat="1" applyFont="1" applyFill="1" applyBorder="1" applyAlignment="1">
      <alignment horizontal="right" vertical="center"/>
    </xf>
    <xf numFmtId="0" fontId="24" fillId="3" borderId="134" xfId="0" applyFont="1" applyFill="1" applyBorder="1" applyAlignment="1">
      <alignment vertical="center"/>
    </xf>
    <xf numFmtId="168" fontId="33" fillId="42" borderId="135" xfId="1" applyNumberFormat="1" applyFont="1" applyFill="1" applyBorder="1" applyAlignment="1">
      <alignment horizontal="center" vertical="center"/>
    </xf>
    <xf numFmtId="0" fontId="33" fillId="43" borderId="134" xfId="0" applyFont="1" applyFill="1" applyBorder="1" applyAlignment="1">
      <alignment horizontal="right" vertical="center" wrapText="1"/>
    </xf>
    <xf numFmtId="168" fontId="33" fillId="43" borderId="135" xfId="0" applyNumberFormat="1" applyFont="1" applyFill="1" applyBorder="1" applyAlignment="1">
      <alignment vertical="center"/>
    </xf>
    <xf numFmtId="4" fontId="21" fillId="0" borderId="135" xfId="0" applyNumberFormat="1" applyFont="1" applyBorder="1" applyAlignment="1">
      <alignment vertical="center"/>
    </xf>
    <xf numFmtId="0" fontId="24" fillId="8" borderId="136" xfId="0" applyFont="1" applyFill="1" applyBorder="1" applyAlignment="1">
      <alignment horizontal="right" vertical="center"/>
    </xf>
    <xf numFmtId="9" fontId="24" fillId="8" borderId="137" xfId="0" applyNumberFormat="1" applyFont="1" applyFill="1" applyBorder="1" applyAlignment="1">
      <alignment horizontal="center" vertical="center"/>
    </xf>
    <xf numFmtId="2" fontId="24" fillId="8" borderId="137" xfId="0" applyNumberFormat="1" applyFont="1" applyFill="1" applyBorder="1" applyAlignment="1">
      <alignment horizontal="right" vertical="center"/>
    </xf>
    <xf numFmtId="2" fontId="24" fillId="8" borderId="138" xfId="0" applyNumberFormat="1" applyFont="1" applyFill="1" applyBorder="1" applyAlignment="1">
      <alignment horizontal="right" vertical="center"/>
    </xf>
    <xf numFmtId="0" fontId="24" fillId="3" borderId="105" xfId="0" applyFont="1" applyFill="1" applyBorder="1" applyAlignment="1">
      <alignment horizontal="center" vertical="center"/>
    </xf>
    <xf numFmtId="2" fontId="21" fillId="0" borderId="105" xfId="0" applyNumberFormat="1" applyFont="1" applyBorder="1" applyAlignment="1">
      <alignment horizontal="right" vertical="center"/>
    </xf>
    <xf numFmtId="10" fontId="24" fillId="8" borderId="105" xfId="0" applyNumberFormat="1" applyFont="1" applyFill="1" applyBorder="1" applyAlignment="1">
      <alignment horizontal="center" vertical="center"/>
    </xf>
    <xf numFmtId="2" fontId="21" fillId="0" borderId="135" xfId="0" applyNumberFormat="1" applyFont="1" applyBorder="1" applyAlignment="1">
      <alignment horizontal="right" vertical="center"/>
    </xf>
    <xf numFmtId="10" fontId="24" fillId="8" borderId="137" xfId="0" applyNumberFormat="1" applyFont="1" applyFill="1" applyBorder="1" applyAlignment="1">
      <alignment horizontal="center" vertical="center"/>
    </xf>
    <xf numFmtId="4" fontId="24" fillId="8" borderId="137" xfId="0" applyNumberFormat="1" applyFont="1" applyFill="1" applyBorder="1" applyAlignment="1">
      <alignment horizontal="right" vertical="center"/>
    </xf>
    <xf numFmtId="4" fontId="24" fillId="8" borderId="138" xfId="0" applyNumberFormat="1" applyFont="1" applyFill="1" applyBorder="1" applyAlignment="1">
      <alignment horizontal="right" vertical="center"/>
    </xf>
    <xf numFmtId="0" fontId="24" fillId="3" borderId="135" xfId="0" applyFont="1" applyFill="1" applyBorder="1" applyAlignment="1">
      <alignment horizontal="center" vertical="center"/>
    </xf>
    <xf numFmtId="178" fontId="44" fillId="10" borderId="105" xfId="2" applyNumberFormat="1" applyFont="1" applyFill="1" applyBorder="1" applyAlignment="1" applyProtection="1">
      <alignment horizontal="right" vertical="center"/>
    </xf>
    <xf numFmtId="178" fontId="44" fillId="10" borderId="105" xfId="2" applyNumberFormat="1" applyFont="1" applyFill="1" applyBorder="1" applyAlignment="1" applyProtection="1">
      <alignment vertical="center"/>
    </xf>
    <xf numFmtId="165" fontId="44" fillId="10" borderId="105" xfId="2" applyNumberFormat="1" applyFont="1" applyFill="1" applyBorder="1" applyAlignment="1" applyProtection="1">
      <alignment vertical="center"/>
    </xf>
    <xf numFmtId="0" fontId="24" fillId="8" borderId="134" xfId="0" applyFont="1" applyFill="1" applyBorder="1" applyAlignment="1">
      <alignment horizontal="right" vertical="center"/>
    </xf>
    <xf numFmtId="2" fontId="24" fillId="8" borderId="135" xfId="0" applyNumberFormat="1" applyFont="1" applyFill="1" applyBorder="1" applyAlignment="1">
      <alignment horizontal="right" vertical="center"/>
    </xf>
    <xf numFmtId="0" fontId="24" fillId="3" borderId="135" xfId="0" applyFont="1" applyFill="1" applyBorder="1" applyAlignment="1">
      <alignment vertical="center"/>
    </xf>
    <xf numFmtId="166" fontId="44" fillId="10" borderId="105" xfId="2" applyNumberFormat="1" applyFont="1" applyFill="1" applyBorder="1" applyAlignment="1" applyProtection="1">
      <alignment vertical="center"/>
    </xf>
    <xf numFmtId="168" fontId="45" fillId="10" borderId="105" xfId="2" applyNumberFormat="1" applyFont="1" applyFill="1" applyBorder="1" applyAlignment="1" applyProtection="1">
      <alignment vertical="center"/>
    </xf>
    <xf numFmtId="10" fontId="45" fillId="10" borderId="105" xfId="0" applyNumberFormat="1" applyFont="1" applyFill="1" applyBorder="1" applyAlignment="1">
      <alignment vertical="center"/>
    </xf>
    <xf numFmtId="0" fontId="33" fillId="10" borderId="131" xfId="0" applyFont="1" applyFill="1" applyBorder="1" applyAlignment="1">
      <alignment horizontal="center" vertical="center"/>
    </xf>
    <xf numFmtId="0" fontId="33" fillId="39" borderId="132" xfId="0" applyFont="1" applyFill="1" applyBorder="1" applyAlignment="1">
      <alignment horizontal="center" vertical="center" wrapText="1"/>
    </xf>
    <xf numFmtId="0" fontId="33" fillId="39" borderId="133" xfId="0" applyFont="1" applyFill="1" applyBorder="1" applyAlignment="1">
      <alignment horizontal="center" vertical="center" wrapText="1"/>
    </xf>
    <xf numFmtId="10" fontId="44" fillId="10" borderId="105" xfId="2" applyNumberFormat="1" applyFont="1" applyFill="1" applyBorder="1" applyAlignment="1" applyProtection="1">
      <alignment vertical="center" wrapText="1"/>
    </xf>
    <xf numFmtId="165" fontId="13" fillId="0" borderId="132" xfId="1" applyFont="1" applyBorder="1" applyAlignment="1">
      <alignment horizontal="center" vertical="center"/>
    </xf>
    <xf numFmtId="165" fontId="13" fillId="0" borderId="141" xfId="1" applyFont="1" applyBorder="1" applyAlignment="1">
      <alignment horizontal="center" vertical="center"/>
    </xf>
    <xf numFmtId="165" fontId="55" fillId="0" borderId="105" xfId="1" applyFont="1" applyBorder="1" applyAlignment="1">
      <alignment horizontal="center" vertical="center"/>
    </xf>
    <xf numFmtId="165" fontId="13" fillId="0" borderId="142" xfId="1" applyFont="1" applyBorder="1" applyAlignment="1">
      <alignment horizontal="center" vertical="center"/>
    </xf>
    <xf numFmtId="2" fontId="21" fillId="31" borderId="15" xfId="1" applyNumberFormat="1" applyFont="1" applyFill="1" applyBorder="1" applyAlignment="1">
      <alignment horizontal="right" vertical="center"/>
    </xf>
    <xf numFmtId="2" fontId="21" fillId="31" borderId="61" xfId="1" applyNumberFormat="1" applyFont="1" applyFill="1" applyBorder="1" applyAlignment="1">
      <alignment horizontal="right" vertical="center"/>
    </xf>
    <xf numFmtId="2" fontId="21" fillId="11" borderId="43" xfId="1" applyNumberFormat="1" applyFont="1" applyFill="1" applyBorder="1" applyAlignment="1">
      <alignment horizontal="right" vertical="center"/>
    </xf>
    <xf numFmtId="168" fontId="56" fillId="0" borderId="140" xfId="1" applyNumberFormat="1" applyFont="1" applyBorder="1" applyAlignment="1">
      <alignment horizontal="center" vertical="center"/>
    </xf>
    <xf numFmtId="168" fontId="56" fillId="0" borderId="135" xfId="1" applyNumberFormat="1" applyFont="1" applyBorder="1" applyAlignment="1">
      <alignment horizontal="center" vertical="center"/>
    </xf>
    <xf numFmtId="172" fontId="21" fillId="29" borderId="6" xfId="1" applyNumberFormat="1" applyFont="1" applyFill="1" applyBorder="1" applyAlignment="1">
      <alignment horizontal="center" vertical="center"/>
    </xf>
    <xf numFmtId="165" fontId="35" fillId="21" borderId="76" xfId="1" applyFont="1" applyFill="1" applyBorder="1" applyAlignment="1">
      <alignment horizontal="center" vertical="center"/>
    </xf>
    <xf numFmtId="172" fontId="21" fillId="11" borderId="93" xfId="1" applyNumberFormat="1" applyFont="1" applyFill="1" applyBorder="1" applyAlignment="1">
      <alignment horizontal="center" vertical="center"/>
    </xf>
    <xf numFmtId="172" fontId="35" fillId="21" borderId="76" xfId="1" applyNumberFormat="1" applyFont="1" applyFill="1" applyBorder="1" applyAlignment="1">
      <alignment horizontal="center" vertical="center"/>
    </xf>
    <xf numFmtId="172" fontId="21" fillId="31" borderId="128" xfId="1" applyNumberFormat="1" applyFont="1" applyFill="1" applyBorder="1" applyAlignment="1">
      <alignment horizontal="center" vertical="center"/>
    </xf>
    <xf numFmtId="172" fontId="21" fillId="31" borderId="122" xfId="1" applyNumberFormat="1" applyFont="1" applyFill="1" applyBorder="1" applyAlignment="1">
      <alignment horizontal="center" vertical="center"/>
    </xf>
    <xf numFmtId="172" fontId="21" fillId="31" borderId="129" xfId="1" applyNumberFormat="1" applyFont="1" applyFill="1" applyBorder="1" applyAlignment="1">
      <alignment horizontal="center" vertical="center"/>
    </xf>
    <xf numFmtId="0" fontId="31" fillId="32" borderId="143" xfId="0" applyFont="1" applyFill="1" applyBorder="1" applyAlignment="1" applyProtection="1">
      <alignment horizontal="left" vertical="center" wrapText="1"/>
      <protection locked="0"/>
    </xf>
    <xf numFmtId="0" fontId="31" fillId="32" borderId="143" xfId="0" applyFont="1" applyFill="1" applyBorder="1" applyAlignment="1" applyProtection="1">
      <alignment horizontal="left" vertical="center"/>
      <protection locked="0"/>
    </xf>
    <xf numFmtId="0" fontId="31" fillId="32" borderId="143" xfId="0" applyFont="1" applyFill="1" applyBorder="1" applyAlignment="1">
      <alignment vertical="center"/>
    </xf>
    <xf numFmtId="10" fontId="31" fillId="32" borderId="143" xfId="0" applyNumberFormat="1" applyFont="1" applyFill="1" applyBorder="1" applyAlignment="1" applyProtection="1">
      <alignment horizontal="center" vertical="center" wrapText="1"/>
      <protection locked="0"/>
    </xf>
    <xf numFmtId="0" fontId="31" fillId="33" borderId="115" xfId="0" applyFont="1" applyFill="1" applyBorder="1" applyAlignment="1" applyProtection="1">
      <alignment horizontal="left" vertical="center"/>
      <protection locked="0"/>
    </xf>
    <xf numFmtId="0" fontId="31" fillId="33" borderId="115" xfId="0" applyFont="1" applyFill="1" applyBorder="1"/>
    <xf numFmtId="10" fontId="31" fillId="33" borderId="115" xfId="0" applyNumberFormat="1" applyFont="1" applyFill="1" applyBorder="1" applyAlignment="1" applyProtection="1">
      <alignment horizontal="center" vertical="center"/>
      <protection locked="0"/>
    </xf>
    <xf numFmtId="0" fontId="31" fillId="32" borderId="143" xfId="0" applyFont="1" applyFill="1" applyBorder="1"/>
    <xf numFmtId="10" fontId="21" fillId="32" borderId="143" xfId="0" applyNumberFormat="1" applyFont="1" applyFill="1" applyBorder="1" applyAlignment="1" applyProtection="1">
      <alignment horizontal="center" vertical="center" wrapText="1"/>
      <protection locked="0"/>
    </xf>
    <xf numFmtId="10" fontId="21" fillId="33" borderId="115" xfId="0" applyNumberFormat="1" applyFont="1" applyFill="1" applyBorder="1" applyAlignment="1" applyProtection="1">
      <alignment horizontal="center" vertical="center"/>
      <protection locked="0"/>
    </xf>
    <xf numFmtId="0" fontId="31" fillId="33" borderId="144" xfId="0" applyFont="1" applyFill="1" applyBorder="1" applyAlignment="1" applyProtection="1">
      <alignment horizontal="left" vertical="center"/>
      <protection locked="0"/>
    </xf>
    <xf numFmtId="0" fontId="31" fillId="33" borderId="144" xfId="0" applyFont="1" applyFill="1" applyBorder="1"/>
    <xf numFmtId="10" fontId="21" fillId="33" borderId="144" xfId="0" applyNumberFormat="1" applyFont="1" applyFill="1" applyBorder="1" applyAlignment="1" applyProtection="1">
      <alignment horizontal="center" vertical="center"/>
      <protection locked="0"/>
    </xf>
    <xf numFmtId="10" fontId="31" fillId="33" borderId="144" xfId="0" applyNumberFormat="1" applyFont="1" applyFill="1" applyBorder="1" applyAlignment="1" applyProtection="1">
      <alignment horizontal="center" vertical="center"/>
      <protection locked="0"/>
    </xf>
    <xf numFmtId="172" fontId="0" fillId="0" borderId="0" xfId="0" applyNumberFormat="1"/>
    <xf numFmtId="183" fontId="0" fillId="0" borderId="0" xfId="0" applyNumberFormat="1"/>
    <xf numFmtId="2" fontId="51" fillId="49" borderId="109" xfId="0" applyNumberFormat="1" applyFont="1" applyFill="1" applyBorder="1"/>
    <xf numFmtId="2" fontId="51" fillId="49" borderId="110" xfId="0" applyNumberFormat="1" applyFont="1" applyFill="1" applyBorder="1"/>
    <xf numFmtId="2" fontId="52" fillId="49" borderId="110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/>
    </xf>
    <xf numFmtId="0" fontId="16" fillId="12" borderId="19" xfId="0" applyFont="1" applyFill="1" applyBorder="1" applyAlignment="1">
      <alignment horizontal="center" vertical="center"/>
    </xf>
    <xf numFmtId="0" fontId="16" fillId="13" borderId="19" xfId="0" applyFont="1" applyFill="1" applyBorder="1" applyAlignment="1">
      <alignment horizontal="center" vertical="center"/>
    </xf>
    <xf numFmtId="0" fontId="16" fillId="15" borderId="19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6" borderId="40" xfId="0" applyFont="1" applyFill="1" applyBorder="1" applyAlignment="1">
      <alignment horizontal="center" vertical="center"/>
    </xf>
    <xf numFmtId="0" fontId="16" fillId="16" borderId="19" xfId="0" applyFont="1" applyFill="1" applyBorder="1" applyAlignment="1">
      <alignment horizontal="center" vertical="center"/>
    </xf>
    <xf numFmtId="0" fontId="16" fillId="16" borderId="41" xfId="0" applyFont="1" applyFill="1" applyBorder="1" applyAlignment="1">
      <alignment horizontal="center" vertical="center"/>
    </xf>
    <xf numFmtId="0" fontId="17" fillId="10" borderId="44" xfId="0" applyFont="1" applyFill="1" applyBorder="1" applyAlignment="1">
      <alignment horizontal="left" vertical="top"/>
    </xf>
    <xf numFmtId="0" fontId="21" fillId="10" borderId="3" xfId="0" applyFont="1" applyFill="1" applyBorder="1" applyAlignment="1">
      <alignment horizontal="left" vertical="center" wrapText="1"/>
    </xf>
    <xf numFmtId="0" fontId="16" fillId="17" borderId="19" xfId="0" applyFont="1" applyFill="1" applyBorder="1" applyAlignment="1">
      <alignment horizontal="center" vertical="center"/>
    </xf>
    <xf numFmtId="170" fontId="15" fillId="0" borderId="58" xfId="0" applyNumberFormat="1" applyFont="1" applyBorder="1" applyAlignment="1">
      <alignment horizontal="center" vertical="center"/>
    </xf>
    <xf numFmtId="0" fontId="24" fillId="19" borderId="21" xfId="0" applyFont="1" applyFill="1" applyBorder="1" applyAlignment="1">
      <alignment horizontal="center" vertical="center"/>
    </xf>
    <xf numFmtId="0" fontId="24" fillId="20" borderId="21" xfId="0" applyFont="1" applyFill="1" applyBorder="1" applyAlignment="1">
      <alignment horizontal="center" vertical="center"/>
    </xf>
    <xf numFmtId="0" fontId="24" fillId="21" borderId="21" xfId="0" applyFont="1" applyFill="1" applyBorder="1" applyAlignment="1">
      <alignment horizontal="center" vertical="center"/>
    </xf>
    <xf numFmtId="0" fontId="24" fillId="22" borderId="21" xfId="0" applyFont="1" applyFill="1" applyBorder="1" applyAlignment="1" applyProtection="1">
      <alignment horizontal="center" vertical="center"/>
      <protection locked="0"/>
    </xf>
    <xf numFmtId="0" fontId="24" fillId="22" borderId="22" xfId="0" applyFont="1" applyFill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13" fillId="23" borderId="19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27" fillId="25" borderId="19" xfId="0" applyFont="1" applyFill="1" applyBorder="1" applyAlignment="1">
      <alignment horizontal="center" vertical="center" wrapText="1"/>
    </xf>
    <xf numFmtId="0" fontId="27" fillId="26" borderId="29" xfId="0" applyFont="1" applyFill="1" applyBorder="1" applyAlignment="1">
      <alignment horizontal="center" vertical="center" wrapText="1"/>
    </xf>
    <xf numFmtId="0" fontId="27" fillId="16" borderId="19" xfId="0" applyFont="1" applyFill="1" applyBorder="1" applyAlignment="1">
      <alignment horizontal="center" vertical="center" wrapText="1"/>
    </xf>
    <xf numFmtId="0" fontId="27" fillId="9" borderId="19" xfId="0" applyFont="1" applyFill="1" applyBorder="1" applyAlignment="1">
      <alignment horizontal="center" vertical="center" wrapText="1"/>
    </xf>
    <xf numFmtId="0" fontId="27" fillId="27" borderId="19" xfId="0" applyFont="1" applyFill="1" applyBorder="1" applyAlignment="1">
      <alignment horizontal="center" vertical="center" wrapText="1"/>
    </xf>
    <xf numFmtId="0" fontId="37" fillId="2" borderId="69" xfId="0" applyFont="1" applyFill="1" applyBorder="1" applyAlignment="1">
      <alignment horizontal="center" vertical="center"/>
    </xf>
    <xf numFmtId="4" fontId="35" fillId="2" borderId="72" xfId="0" applyNumberFormat="1" applyFont="1" applyFill="1" applyBorder="1" applyAlignment="1">
      <alignment horizontal="center" vertical="center"/>
    </xf>
    <xf numFmtId="0" fontId="34" fillId="21" borderId="41" xfId="0" applyFont="1" applyFill="1" applyBorder="1" applyAlignment="1">
      <alignment horizontal="center" vertical="center"/>
    </xf>
    <xf numFmtId="0" fontId="34" fillId="21" borderId="19" xfId="0" applyFont="1" applyFill="1" applyBorder="1" applyAlignment="1">
      <alignment horizontal="center" vertical="center"/>
    </xf>
    <xf numFmtId="0" fontId="24" fillId="19" borderId="74" xfId="0" applyFont="1" applyFill="1" applyBorder="1" applyAlignment="1">
      <alignment horizontal="center" vertical="center"/>
    </xf>
    <xf numFmtId="0" fontId="24" fillId="20" borderId="75" xfId="0" applyFont="1" applyFill="1" applyBorder="1" applyAlignment="1">
      <alignment horizontal="center" vertical="center"/>
    </xf>
    <xf numFmtId="0" fontId="24" fillId="21" borderId="7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4" borderId="20" xfId="0" applyFont="1" applyFill="1" applyBorder="1" applyAlignment="1" applyProtection="1">
      <alignment horizontal="center" vertical="center"/>
      <protection locked="0"/>
    </xf>
    <xf numFmtId="0" fontId="7" fillId="35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23" borderId="20" xfId="0" applyFont="1" applyFill="1" applyBorder="1" applyAlignment="1">
      <alignment horizontal="center" vertical="center" wrapText="1"/>
    </xf>
    <xf numFmtId="0" fontId="7" fillId="23" borderId="21" xfId="0" applyFont="1" applyFill="1" applyBorder="1" applyAlignment="1">
      <alignment horizontal="center" vertical="center" wrapText="1"/>
    </xf>
    <xf numFmtId="0" fontId="24" fillId="24" borderId="20" xfId="0" applyFont="1" applyFill="1" applyBorder="1" applyAlignment="1">
      <alignment horizontal="center" vertical="center" wrapText="1"/>
    </xf>
    <xf numFmtId="0" fontId="7" fillId="24" borderId="21" xfId="0" applyFont="1" applyFill="1" applyBorder="1" applyAlignment="1">
      <alignment horizontal="center" vertical="center" wrapText="1"/>
    </xf>
    <xf numFmtId="0" fontId="29" fillId="28" borderId="20" xfId="0" applyFont="1" applyFill="1" applyBorder="1" applyAlignment="1">
      <alignment horizontal="center" vertical="center" wrapText="1"/>
    </xf>
    <xf numFmtId="0" fontId="29" fillId="28" borderId="19" xfId="0" applyFont="1" applyFill="1" applyBorder="1" applyAlignment="1">
      <alignment horizontal="center" vertical="center" wrapText="1"/>
    </xf>
    <xf numFmtId="0" fontId="29" fillId="26" borderId="28" xfId="0" applyFont="1" applyFill="1" applyBorder="1" applyAlignment="1">
      <alignment horizontal="center" vertical="center" wrapText="1"/>
    </xf>
    <xf numFmtId="0" fontId="33" fillId="10" borderId="44" xfId="0" applyFont="1" applyFill="1" applyBorder="1" applyAlignment="1">
      <alignment horizontal="left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33" fillId="10" borderId="46" xfId="0" applyFont="1" applyFill="1" applyBorder="1" applyAlignment="1">
      <alignment horizontal="left" vertical="center" wrapText="1"/>
    </xf>
    <xf numFmtId="0" fontId="43" fillId="0" borderId="40" xfId="0" applyFont="1" applyBorder="1" applyAlignment="1">
      <alignment horizontal="center" vertical="center"/>
    </xf>
    <xf numFmtId="0" fontId="43" fillId="10" borderId="38" xfId="0" applyFont="1" applyFill="1" applyBorder="1" applyAlignment="1">
      <alignment horizontal="center" vertical="center"/>
    </xf>
    <xf numFmtId="164" fontId="4" fillId="38" borderId="64" xfId="0" applyNumberFormat="1" applyFont="1" applyFill="1" applyBorder="1" applyAlignment="1">
      <alignment horizontal="center" vertical="center"/>
    </xf>
    <xf numFmtId="164" fontId="4" fillId="38" borderId="66" xfId="0" applyNumberFormat="1" applyFont="1" applyFill="1" applyBorder="1" applyAlignment="1">
      <alignment horizontal="center" vertical="center"/>
    </xf>
    <xf numFmtId="177" fontId="1" fillId="38" borderId="44" xfId="1" applyNumberFormat="1" applyFont="1" applyFill="1" applyBorder="1" applyAlignment="1">
      <alignment horizontal="center" vertical="center"/>
    </xf>
    <xf numFmtId="164" fontId="1" fillId="38" borderId="44" xfId="0" applyNumberFormat="1" applyFont="1" applyFill="1" applyBorder="1" applyAlignment="1">
      <alignment horizontal="center" vertical="center"/>
    </xf>
    <xf numFmtId="164" fontId="1" fillId="38" borderId="53" xfId="0" applyNumberFormat="1" applyFont="1" applyFill="1" applyBorder="1" applyAlignment="1">
      <alignment horizontal="center" vertical="center"/>
    </xf>
    <xf numFmtId="164" fontId="1" fillId="38" borderId="82" xfId="0" applyNumberFormat="1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33" fillId="40" borderId="45" xfId="0" applyFont="1" applyFill="1" applyBorder="1" applyAlignment="1">
      <alignment horizontal="left" vertical="center" wrapText="1"/>
    </xf>
    <xf numFmtId="0" fontId="8" fillId="10" borderId="44" xfId="0" applyFont="1" applyFill="1" applyBorder="1" applyAlignment="1">
      <alignment horizontal="center" vertical="center"/>
    </xf>
    <xf numFmtId="0" fontId="8" fillId="10" borderId="45" xfId="0" applyFont="1" applyFill="1" applyBorder="1" applyAlignment="1">
      <alignment horizontal="center" vertical="center"/>
    </xf>
    <xf numFmtId="0" fontId="24" fillId="8" borderId="19" xfId="0" applyFont="1" applyFill="1" applyBorder="1" applyAlignment="1">
      <alignment horizontal="center" vertical="center"/>
    </xf>
    <xf numFmtId="0" fontId="8" fillId="10" borderId="40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33" fillId="47" borderId="64" xfId="0" applyFont="1" applyFill="1" applyBorder="1" applyAlignment="1">
      <alignment horizontal="center" vertical="center" wrapText="1"/>
    </xf>
    <xf numFmtId="0" fontId="33" fillId="17" borderId="53" xfId="0" applyFont="1" applyFill="1" applyBorder="1" applyAlignment="1">
      <alignment horizontal="left" vertical="center" wrapText="1"/>
    </xf>
    <xf numFmtId="0" fontId="33" fillId="10" borderId="64" xfId="0" applyFont="1" applyFill="1" applyBorder="1" applyAlignment="1">
      <alignment horizontal="left" vertical="center" wrapText="1"/>
    </xf>
    <xf numFmtId="0" fontId="33" fillId="10" borderId="44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24" fillId="23" borderId="3" xfId="0" applyFont="1" applyFill="1" applyBorder="1" applyAlignment="1">
      <alignment horizontal="center" vertical="center" wrapText="1"/>
    </xf>
    <xf numFmtId="0" fontId="24" fillId="24" borderId="3" xfId="0" applyFont="1" applyFill="1" applyBorder="1" applyAlignment="1">
      <alignment horizontal="center" vertical="center" wrapText="1"/>
    </xf>
    <xf numFmtId="0" fontId="33" fillId="40" borderId="134" xfId="0" applyFont="1" applyFill="1" applyBorder="1" applyAlignment="1">
      <alignment horizontal="left" vertical="center" wrapText="1"/>
    </xf>
    <xf numFmtId="0" fontId="33" fillId="40" borderId="105" xfId="0" applyFont="1" applyFill="1" applyBorder="1" applyAlignment="1">
      <alignment horizontal="left" vertical="center" wrapText="1"/>
    </xf>
    <xf numFmtId="0" fontId="33" fillId="40" borderId="135" xfId="0" applyFont="1" applyFill="1" applyBorder="1" applyAlignment="1">
      <alignment horizontal="left" vertical="center" wrapText="1"/>
    </xf>
    <xf numFmtId="0" fontId="8" fillId="10" borderId="37" xfId="0" applyFont="1" applyFill="1" applyBorder="1" applyAlignment="1">
      <alignment horizontal="center" vertical="center"/>
    </xf>
    <xf numFmtId="0" fontId="33" fillId="40" borderId="131" xfId="0" applyFont="1" applyFill="1" applyBorder="1" applyAlignment="1">
      <alignment horizontal="left" vertical="center" wrapText="1"/>
    </xf>
    <xf numFmtId="0" fontId="33" fillId="40" borderId="132" xfId="0" applyFont="1" applyFill="1" applyBorder="1" applyAlignment="1">
      <alignment horizontal="left" vertical="center" wrapText="1"/>
    </xf>
    <xf numFmtId="0" fontId="33" fillId="40" borderId="133" xfId="0" applyFont="1" applyFill="1" applyBorder="1" applyAlignment="1">
      <alignment horizontal="left" vertical="center" wrapText="1"/>
    </xf>
    <xf numFmtId="0" fontId="24" fillId="8" borderId="139" xfId="0" applyFont="1" applyFill="1" applyBorder="1" applyAlignment="1">
      <alignment horizontal="center" vertical="center"/>
    </xf>
    <xf numFmtId="0" fontId="24" fillId="8" borderId="134" xfId="0" applyFont="1" applyFill="1" applyBorder="1" applyAlignment="1">
      <alignment horizontal="center" vertical="center"/>
    </xf>
    <xf numFmtId="0" fontId="24" fillId="8" borderId="136" xfId="0" applyFont="1" applyFill="1" applyBorder="1" applyAlignment="1">
      <alignment horizontal="center" vertical="center"/>
    </xf>
    <xf numFmtId="0" fontId="29" fillId="28" borderId="27" xfId="0" applyFont="1" applyFill="1" applyBorder="1" applyAlignment="1">
      <alignment horizontal="center" vertical="center" wrapText="1"/>
    </xf>
    <xf numFmtId="164" fontId="1" fillId="38" borderId="67" xfId="0" applyNumberFormat="1" applyFont="1" applyFill="1" applyBorder="1" applyAlignment="1">
      <alignment horizontal="center" vertical="center"/>
    </xf>
  </cellXfs>
  <cellStyles count="5">
    <cellStyle name="Excel Built-in TableStyleLight1" xfId="4"/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4B183"/>
      <rgbColor rgb="FFA9D18E"/>
      <rgbColor rgb="FFFACFD6"/>
      <rgbColor rgb="FF5EB91E"/>
      <rgbColor rgb="FFFCE4D6"/>
      <rgbColor rgb="FF58AA38"/>
      <rgbColor rgb="FFB4C6E7"/>
      <rgbColor rgb="FF8FAADC"/>
      <rgbColor rgb="FFC0C0C0"/>
      <rgbColor rgb="FF808080"/>
      <rgbColor rgb="FF8EA9DB"/>
      <rgbColor rgb="FFA1467E"/>
      <rgbColor rgb="FFFFFFCC"/>
      <rgbColor rgb="FFDEEBF7"/>
      <rgbColor rgb="FFD9D9D9"/>
      <rgbColor rgb="FFFA7070"/>
      <rgbColor rgb="FF105095"/>
      <rgbColor rgb="FFCCCCFF"/>
      <rgbColor rgb="FFFFF2CC"/>
      <rgbColor rgb="FFC1C1C1"/>
      <rgbColor rgb="FFFFE699"/>
      <rgbColor rgb="FFA9D08E"/>
      <rgbColor rgb="FFCCCCCC"/>
      <rgbColor rgb="FFDBDBDB"/>
      <rgbColor rgb="FFA6A6A6"/>
      <rgbColor rgb="FFDDDDDD"/>
      <rgbColor rgb="FF00CCFF"/>
      <rgbColor rgb="FFD9E1F2"/>
      <rgbColor rgb="FFC6E0B4"/>
      <rgbColor rgb="FFFFFF99"/>
      <rgbColor rgb="FF9BC2E6"/>
      <rgbColor rgb="FFFF9999"/>
      <rgbColor rgb="FFCC95F9"/>
      <rgbColor rgb="FFFFCCCC"/>
      <rgbColor rgb="FF729FCF"/>
      <rgbColor rgb="FF5B9BD5"/>
      <rgbColor rgb="FFBBE33D"/>
      <rgbColor rgb="FFFFCC00"/>
      <rgbColor rgb="FFFD7258"/>
      <rgbColor rgb="FFF64C0C"/>
      <rgbColor rgb="FF5983B0"/>
      <rgbColor rgb="FF8497B0"/>
      <rgbColor rgb="FFB4C7DC"/>
      <rgbColor rgb="FF369457"/>
      <rgbColor rgb="FFD6DCE4"/>
      <rgbColor rgb="FF3D4C2F"/>
      <rgbColor rgb="FF824802"/>
      <rgbColor rgb="FFBF819E"/>
      <rgbColor rgb="FFADB9C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br/compras/pt-br/agente-publico/cadernos-tecnicos-e-valores-limites/cadernos-tecnicos-e-valores-limites-2019" TargetMode="External"/><Relationship Id="rId1" Type="http://schemas.openxmlformats.org/officeDocument/2006/relationships/hyperlink" Target="https://www.gov.br/compras/pt-br/agente-publico/cadernos-tecnicos-e-valores-limites/cadernos-tecnicos-e-valores-limites-201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LZ1048506"/>
  <sheetViews>
    <sheetView zoomScaleNormal="100" workbookViewId="0">
      <selection activeCell="F99" sqref="F99"/>
    </sheetView>
  </sheetViews>
  <sheetFormatPr defaultColWidth="10.5" defaultRowHeight="14.25" x14ac:dyDescent="0.2"/>
  <cols>
    <col min="1" max="1" width="4.375" style="6" customWidth="1"/>
    <col min="2" max="2" width="41.875" style="6" customWidth="1"/>
    <col min="3" max="4" width="11.875" style="6" customWidth="1"/>
    <col min="5" max="13" width="11.875" style="7" customWidth="1"/>
    <col min="14" max="14" width="27.125" style="7" customWidth="1"/>
    <col min="15" max="15" width="10.75" style="7" customWidth="1"/>
    <col min="16" max="16" width="8.875" style="6" customWidth="1"/>
    <col min="17" max="17" width="10.375" style="6" customWidth="1"/>
    <col min="18" max="18" width="6.625" style="6" customWidth="1"/>
    <col min="19" max="19" width="6.25" style="6" customWidth="1"/>
    <col min="20" max="21" width="11.125" style="6" customWidth="1"/>
    <col min="22" max="22" width="12.5" style="6" customWidth="1"/>
    <col min="23" max="23" width="3.75" style="6" customWidth="1"/>
    <col min="24" max="24" width="8.125" style="6" customWidth="1"/>
    <col min="25" max="25" width="8" style="6" customWidth="1"/>
    <col min="26" max="1014" width="10.5" style="6"/>
  </cols>
  <sheetData>
    <row r="1" spans="1:15" ht="23.25" x14ac:dyDescent="0.2">
      <c r="A1" s="4"/>
      <c r="B1" s="797" t="s">
        <v>0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/>
      <c r="O1"/>
    </row>
    <row r="2" spans="1:15" x14ac:dyDescent="0.2">
      <c r="A2"/>
      <c r="B2" s="8"/>
      <c r="C2" s="8"/>
      <c r="D2" s="8"/>
      <c r="E2" s="8"/>
      <c r="F2"/>
      <c r="G2"/>
      <c r="H2"/>
      <c r="I2"/>
      <c r="J2"/>
      <c r="K2"/>
      <c r="L2"/>
      <c r="M2"/>
      <c r="N2"/>
      <c r="O2"/>
    </row>
    <row r="3" spans="1:15" ht="26.1" customHeight="1" x14ac:dyDescent="0.2">
      <c r="A3"/>
      <c r="B3" s="9" t="s">
        <v>1</v>
      </c>
      <c r="C3" s="798" t="s">
        <v>2</v>
      </c>
      <c r="D3" s="798"/>
      <c r="E3" s="5">
        <v>22</v>
      </c>
      <c r="F3"/>
      <c r="G3"/>
      <c r="H3"/>
      <c r="I3"/>
      <c r="J3"/>
      <c r="K3"/>
      <c r="L3"/>
      <c r="M3"/>
      <c r="N3"/>
      <c r="O3"/>
    </row>
    <row r="4" spans="1:15" x14ac:dyDescent="0.2">
      <c r="A4"/>
      <c r="B4"/>
      <c r="C4" s="799" t="s">
        <v>3</v>
      </c>
      <c r="D4" s="799"/>
      <c r="E4" s="10">
        <v>30</v>
      </c>
      <c r="F4"/>
      <c r="G4"/>
      <c r="H4"/>
      <c r="I4"/>
      <c r="J4"/>
      <c r="K4"/>
      <c r="L4"/>
      <c r="M4"/>
      <c r="N4"/>
      <c r="O4"/>
    </row>
    <row r="5" spans="1:1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ht="17.100000000000001" customHeight="1" x14ac:dyDescent="0.2">
      <c r="A6" s="4"/>
      <c r="B6" s="800" t="s">
        <v>4</v>
      </c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/>
      <c r="O6"/>
    </row>
    <row r="7" spans="1:15" x14ac:dyDescent="0.2">
      <c r="A7"/>
      <c r="B7" s="11" t="s">
        <v>5</v>
      </c>
      <c r="C7" s="801" t="s">
        <v>6</v>
      </c>
      <c r="D7" s="801"/>
      <c r="E7" s="12" t="s">
        <v>7</v>
      </c>
      <c r="F7" s="3" t="s">
        <v>8</v>
      </c>
      <c r="G7"/>
      <c r="H7" s="801" t="s">
        <v>6</v>
      </c>
      <c r="I7" s="801"/>
      <c r="J7" s="12" t="s">
        <v>7</v>
      </c>
      <c r="K7" s="3" t="s">
        <v>8</v>
      </c>
      <c r="L7"/>
      <c r="M7"/>
      <c r="N7"/>
      <c r="O7"/>
    </row>
    <row r="8" spans="1:15" ht="13.9" customHeight="1" x14ac:dyDescent="0.2">
      <c r="A8"/>
      <c r="B8"/>
      <c r="C8" s="9" t="s">
        <v>9</v>
      </c>
      <c r="D8" s="9" t="s">
        <v>10</v>
      </c>
      <c r="E8" s="13">
        <v>44562</v>
      </c>
      <c r="F8" s="14" t="s">
        <v>11</v>
      </c>
      <c r="G8"/>
      <c r="H8" s="802" t="s">
        <v>12</v>
      </c>
      <c r="I8" s="802"/>
      <c r="J8" s="13">
        <v>44562</v>
      </c>
      <c r="K8" s="14" t="s">
        <v>11</v>
      </c>
      <c r="L8"/>
      <c r="M8"/>
      <c r="N8"/>
      <c r="O8"/>
    </row>
    <row r="9" spans="1:15" x14ac:dyDescent="0.2">
      <c r="A9"/>
      <c r="B9"/>
      <c r="C9" s="803" t="s">
        <v>13</v>
      </c>
      <c r="D9" s="803"/>
      <c r="E9" s="803"/>
      <c r="F9" s="803"/>
      <c r="G9"/>
      <c r="H9" s="803" t="s">
        <v>13</v>
      </c>
      <c r="I9" s="803"/>
      <c r="J9" s="803"/>
      <c r="K9" s="803"/>
      <c r="L9"/>
      <c r="M9"/>
      <c r="N9"/>
      <c r="O9"/>
    </row>
    <row r="10" spans="1:15" x14ac:dyDescent="0.2">
      <c r="A10"/>
      <c r="B10" s="804" t="s">
        <v>14</v>
      </c>
      <c r="C10" s="5">
        <v>44</v>
      </c>
      <c r="D10" s="5">
        <v>40</v>
      </c>
      <c r="E10" s="5">
        <v>30</v>
      </c>
      <c r="F10" s="5">
        <v>20</v>
      </c>
      <c r="G10"/>
      <c r="H10" s="5">
        <v>44</v>
      </c>
      <c r="I10" s="5">
        <v>40</v>
      </c>
      <c r="J10" s="5">
        <v>30</v>
      </c>
      <c r="K10" s="5">
        <v>20</v>
      </c>
      <c r="L10"/>
      <c r="M10"/>
      <c r="N10"/>
      <c r="O10"/>
    </row>
    <row r="11" spans="1:15" x14ac:dyDescent="0.2">
      <c r="A11"/>
      <c r="B11" s="804"/>
      <c r="C11" s="15">
        <v>1314.09</v>
      </c>
      <c r="D11" s="16">
        <f>C11/C10*D10</f>
        <v>1194.6272727272726</v>
      </c>
      <c r="E11" s="16">
        <f>C11/C10*E10</f>
        <v>895.97045454545446</v>
      </c>
      <c r="F11" s="16">
        <f>C11/C10*F10</f>
        <v>597.31363636363631</v>
      </c>
      <c r="G11"/>
      <c r="H11" s="15">
        <v>1314.09</v>
      </c>
      <c r="I11" s="16">
        <f>H11/H10*I10</f>
        <v>1194.6272727272726</v>
      </c>
      <c r="J11" s="16">
        <f>H11/H10*J10</f>
        <v>895.97045454545446</v>
      </c>
      <c r="K11" s="16">
        <f>H11/H10*K10</f>
        <v>597.31363636363631</v>
      </c>
      <c r="L11"/>
      <c r="M11"/>
      <c r="N11"/>
      <c r="O11"/>
    </row>
    <row r="12" spans="1:15" x14ac:dyDescent="0.2">
      <c r="A12"/>
      <c r="B12" s="11" t="s">
        <v>15</v>
      </c>
      <c r="C12" s="17">
        <f>C11*1.4012</f>
        <v>1841.3029079999999</v>
      </c>
      <c r="D12" s="16">
        <f>C12/C10*D10</f>
        <v>1673.9117345454545</v>
      </c>
      <c r="E12" s="16">
        <f>C12/C10*E10</f>
        <v>1255.4338009090909</v>
      </c>
      <c r="F12" s="16">
        <f>C12/C10*F10</f>
        <v>836.95586727272723</v>
      </c>
      <c r="G12"/>
      <c r="H12" s="17">
        <f>H11*1.4012</f>
        <v>1841.3029079999999</v>
      </c>
      <c r="I12" s="16">
        <f>H12/H10*I10</f>
        <v>1673.9117345454545</v>
      </c>
      <c r="J12" s="16">
        <f>H12/H10*J10</f>
        <v>1255.4338009090909</v>
      </c>
      <c r="K12" s="16">
        <f>H12/H10*K10</f>
        <v>836.95586727272723</v>
      </c>
      <c r="L12"/>
      <c r="M12"/>
      <c r="N12"/>
      <c r="O12"/>
    </row>
    <row r="13" spans="1:15" x14ac:dyDescent="0.2">
      <c r="A13"/>
      <c r="B13" s="11" t="s">
        <v>16</v>
      </c>
      <c r="C13" s="17">
        <v>1669.75</v>
      </c>
      <c r="D13" s="16">
        <f>C13/C10*D10</f>
        <v>1517.9545454545453</v>
      </c>
      <c r="E13" s="16">
        <f>C13/C10*E10</f>
        <v>1138.465909090909</v>
      </c>
      <c r="F13" s="16">
        <f>C13/C10*F10</f>
        <v>758.97727272727263</v>
      </c>
      <c r="G13"/>
      <c r="H13" s="17">
        <v>1669.75</v>
      </c>
      <c r="I13" s="16">
        <f>H13/H10*I10</f>
        <v>1517.9545454545453</v>
      </c>
      <c r="J13" s="16">
        <f>H13/H10*J10</f>
        <v>1138.465909090909</v>
      </c>
      <c r="K13" s="16">
        <f>H13/H10*K10</f>
        <v>758.97727272727263</v>
      </c>
      <c r="L13"/>
      <c r="M13"/>
      <c r="N13"/>
      <c r="O13"/>
    </row>
    <row r="14" spans="1:15" x14ac:dyDescent="0.2">
      <c r="A14"/>
      <c r="B14"/>
      <c r="C14"/>
      <c r="D14"/>
      <c r="E14"/>
      <c r="F14" t="s">
        <v>17</v>
      </c>
      <c r="G14"/>
      <c r="H14" t="s">
        <v>18</v>
      </c>
      <c r="I14"/>
      <c r="J14"/>
      <c r="K14"/>
      <c r="L14"/>
      <c r="M14"/>
      <c r="N14"/>
      <c r="O14"/>
    </row>
    <row r="15" spans="1:15" x14ac:dyDescent="0.2">
      <c r="A15"/>
      <c r="B15" s="18" t="s">
        <v>19</v>
      </c>
      <c r="C15" s="19">
        <v>183.8</v>
      </c>
      <c r="D15" s="20"/>
      <c r="E15"/>
      <c r="F15"/>
      <c r="G15"/>
      <c r="H15"/>
      <c r="I15"/>
      <c r="J15"/>
      <c r="K15"/>
      <c r="L15"/>
      <c r="M15"/>
      <c r="N15"/>
      <c r="O15"/>
    </row>
    <row r="16" spans="1:15" x14ac:dyDescent="0.2">
      <c r="A16"/>
      <c r="B16" s="21" t="s">
        <v>20</v>
      </c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ht="15.75" x14ac:dyDescent="0.2">
      <c r="A17" s="4"/>
      <c r="B17" s="800" t="s">
        <v>21</v>
      </c>
      <c r="C17" s="800"/>
      <c r="D17" s="800"/>
      <c r="E17" s="800"/>
      <c r="F17" s="800"/>
      <c r="G17" s="800"/>
      <c r="H17" s="800"/>
      <c r="I17" s="800"/>
      <c r="J17" s="800"/>
      <c r="K17" s="800"/>
      <c r="L17" s="800"/>
      <c r="M17" s="800"/>
      <c r="N17"/>
      <c r="O17"/>
    </row>
    <row r="18" spans="1:15" x14ac:dyDescent="0.2">
      <c r="A18"/>
      <c r="B18" s="22" t="s">
        <v>22</v>
      </c>
      <c r="C18" s="23" t="s">
        <v>23</v>
      </c>
      <c r="D18" s="24" t="s">
        <v>24</v>
      </c>
      <c r="E18" s="25" t="s">
        <v>25</v>
      </c>
      <c r="F18"/>
      <c r="G18"/>
      <c r="H18" s="23" t="s">
        <v>23</v>
      </c>
      <c r="I18" s="24" t="s">
        <v>24</v>
      </c>
      <c r="J18" s="24"/>
      <c r="K18" s="25" t="s">
        <v>25</v>
      </c>
      <c r="L18"/>
      <c r="M18"/>
      <c r="N18"/>
      <c r="O18"/>
    </row>
    <row r="19" spans="1:15" x14ac:dyDescent="0.2">
      <c r="A19"/>
      <c r="B19" s="26" t="s">
        <v>26</v>
      </c>
      <c r="C19" s="27">
        <f>20.18*$E3</f>
        <v>443.96</v>
      </c>
      <c r="D19" s="28">
        <v>0.19</v>
      </c>
      <c r="E19" s="29">
        <f>ROUND(C19*(1-D19),2)</f>
        <v>359.61</v>
      </c>
      <c r="F19"/>
      <c r="G19"/>
      <c r="H19" s="27">
        <f>20.18*$E3</f>
        <v>443.96</v>
      </c>
      <c r="I19" s="28">
        <v>0.19</v>
      </c>
      <c r="J19" s="28"/>
      <c r="K19" s="29">
        <f>ROUND(H19*(1-I19),2)</f>
        <v>359.61</v>
      </c>
      <c r="L19"/>
      <c r="M19"/>
      <c r="N19"/>
      <c r="O19"/>
    </row>
    <row r="20" spans="1:15" ht="17.100000000000001" customHeight="1" x14ac:dyDescent="0.2">
      <c r="A20"/>
      <c r="B20" s="9" t="s">
        <v>27</v>
      </c>
      <c r="C20" s="2">
        <f>10.09*$E3</f>
        <v>221.98</v>
      </c>
      <c r="D20" s="30">
        <f>D19</f>
        <v>0.19</v>
      </c>
      <c r="E20" s="29">
        <f>ROUND(C20*(1-D20),2)</f>
        <v>179.8</v>
      </c>
      <c r="F20"/>
      <c r="G20"/>
      <c r="H20" s="2">
        <f>10.09*$E3</f>
        <v>221.98</v>
      </c>
      <c r="I20" s="30">
        <f>I19</f>
        <v>0.19</v>
      </c>
      <c r="J20" s="30"/>
      <c r="K20" s="29">
        <f>ROUND(H20*(1-I20),2)</f>
        <v>179.8</v>
      </c>
      <c r="L20"/>
      <c r="M20"/>
      <c r="N20"/>
      <c r="O20"/>
    </row>
    <row r="21" spans="1:15" x14ac:dyDescent="0.2">
      <c r="A21"/>
      <c r="B21" s="9" t="s">
        <v>28</v>
      </c>
      <c r="C21" s="2"/>
      <c r="D21" s="30">
        <v>0.06</v>
      </c>
      <c r="E21" s="2"/>
      <c r="F21"/>
      <c r="G21"/>
      <c r="H21" s="2"/>
      <c r="I21" s="30">
        <v>0.06</v>
      </c>
      <c r="J21" s="30"/>
      <c r="K21" s="2"/>
      <c r="L21"/>
      <c r="M21"/>
      <c r="N21"/>
      <c r="O21"/>
    </row>
    <row r="22" spans="1:15" ht="12.95" customHeight="1" x14ac:dyDescent="0.2">
      <c r="A22"/>
      <c r="B22" s="9" t="s">
        <v>29</v>
      </c>
      <c r="C22" s="2"/>
      <c r="D22" s="30"/>
      <c r="E22" s="2"/>
      <c r="F22"/>
      <c r="G22"/>
      <c r="H22" s="2"/>
      <c r="I22" s="30"/>
      <c r="J22" s="30"/>
      <c r="K22" s="2"/>
      <c r="L22"/>
      <c r="M22"/>
      <c r="N22"/>
      <c r="O22"/>
    </row>
    <row r="23" spans="1:15" x14ac:dyDescent="0.2">
      <c r="A23"/>
      <c r="B23" s="9" t="s">
        <v>30</v>
      </c>
      <c r="C23" s="16"/>
      <c r="D23" s="2"/>
      <c r="E23" s="16"/>
      <c r="F23"/>
      <c r="G23"/>
      <c r="H23" s="16"/>
      <c r="I23" s="2"/>
      <c r="J23" s="2"/>
      <c r="K23" s="16"/>
      <c r="L23"/>
      <c r="M23"/>
      <c r="N23"/>
      <c r="O23"/>
    </row>
    <row r="24" spans="1:15" x14ac:dyDescent="0.2">
      <c r="A24"/>
      <c r="B24" s="31" t="s">
        <v>31</v>
      </c>
      <c r="C24" s="32"/>
      <c r="D24" s="16"/>
      <c r="E24" s="16"/>
      <c r="F24"/>
      <c r="G24"/>
      <c r="H24" s="32"/>
      <c r="I24" s="16"/>
      <c r="J24" s="16"/>
      <c r="K24" s="16"/>
      <c r="L24"/>
      <c r="M24"/>
      <c r="N24"/>
      <c r="O24"/>
    </row>
    <row r="25" spans="1:15" x14ac:dyDescent="0.2">
      <c r="A25"/>
      <c r="B25" s="31"/>
      <c r="C25" s="33"/>
      <c r="D25" s="2"/>
      <c r="E25" s="16"/>
      <c r="F25"/>
      <c r="G25"/>
      <c r="H25" s="33"/>
      <c r="I25" s="2"/>
      <c r="J25" s="2"/>
      <c r="K25" s="16"/>
      <c r="L25"/>
      <c r="M25"/>
      <c r="N25"/>
      <c r="O25"/>
    </row>
    <row r="26" spans="1:15" ht="12.95" customHeight="1" x14ac:dyDescent="0.2">
      <c r="A26"/>
      <c r="B26" s="34" t="s">
        <v>32</v>
      </c>
      <c r="C26" s="35"/>
      <c r="D26" s="30"/>
      <c r="E26" s="35"/>
      <c r="F26"/>
      <c r="G26"/>
      <c r="H26" s="35"/>
      <c r="I26" s="30"/>
      <c r="J26" s="30"/>
      <c r="K26" s="35"/>
      <c r="L26"/>
      <c r="M26"/>
      <c r="N26"/>
      <c r="O26"/>
    </row>
    <row r="27" spans="1:15" ht="12.95" customHeight="1" x14ac:dyDescent="0.2">
      <c r="A27"/>
      <c r="B27" s="9" t="s">
        <v>33</v>
      </c>
      <c r="C27" s="36">
        <v>17.32</v>
      </c>
      <c r="D27" s="30"/>
      <c r="E27" s="35">
        <f>C27</f>
        <v>17.32</v>
      </c>
      <c r="F27"/>
      <c r="G27"/>
      <c r="H27" s="37">
        <v>17.32</v>
      </c>
      <c r="I27" s="30"/>
      <c r="J27" s="30"/>
      <c r="K27" s="35">
        <f>H27</f>
        <v>17.32</v>
      </c>
      <c r="L27"/>
      <c r="M27"/>
      <c r="N27"/>
      <c r="O27"/>
    </row>
    <row r="28" spans="1:1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">
      <c r="A29"/>
      <c r="B29"/>
      <c r="C29"/>
      <c r="D29" s="7"/>
      <c r="E29"/>
      <c r="F29"/>
      <c r="G29"/>
      <c r="H29"/>
      <c r="I29"/>
      <c r="J29"/>
      <c r="K29" s="38"/>
      <c r="L29"/>
      <c r="M29"/>
      <c r="N29"/>
      <c r="O29"/>
    </row>
    <row r="30" spans="1:15" ht="15.75" x14ac:dyDescent="0.2">
      <c r="A30" s="4"/>
      <c r="B30" s="800" t="s">
        <v>34</v>
      </c>
      <c r="C30" s="800"/>
      <c r="D30" s="800"/>
      <c r="E30" s="800"/>
      <c r="F30" s="800"/>
      <c r="G30" s="800"/>
      <c r="H30" s="800"/>
      <c r="I30" s="800"/>
      <c r="J30" s="800"/>
      <c r="K30" s="800"/>
      <c r="L30" s="800"/>
      <c r="M30" s="800"/>
      <c r="N30" s="6"/>
      <c r="O30" s="6"/>
    </row>
    <row r="31" spans="1:15" x14ac:dyDescent="0.2">
      <c r="A31"/>
      <c r="B31" s="805" t="s">
        <v>35</v>
      </c>
      <c r="C31" s="805"/>
      <c r="D31" s="805"/>
      <c r="E31" s="805"/>
      <c r="F31" s="805"/>
      <c r="G31" s="805"/>
      <c r="H31" s="805"/>
      <c r="I31" s="805"/>
      <c r="J31" s="805"/>
      <c r="K31" s="805"/>
      <c r="L31" s="805"/>
      <c r="M31" s="805"/>
      <c r="N31"/>
      <c r="O31"/>
    </row>
    <row r="32" spans="1:15" x14ac:dyDescent="0.2">
      <c r="A32"/>
      <c r="B32" s="806" t="s">
        <v>36</v>
      </c>
      <c r="C32" s="806"/>
      <c r="D32" s="806"/>
      <c r="E32" s="806"/>
      <c r="F32" s="806"/>
      <c r="G32" s="806"/>
      <c r="H32" s="806"/>
      <c r="I32" s="806"/>
      <c r="J32" s="806"/>
      <c r="K32" s="806"/>
      <c r="L32" s="806"/>
      <c r="M32" s="806"/>
      <c r="N32"/>
      <c r="O32"/>
    </row>
    <row r="33" spans="1:15" x14ac:dyDescent="0.2">
      <c r="A33"/>
      <c r="B33" s="805" t="s">
        <v>37</v>
      </c>
      <c r="C33" s="805"/>
      <c r="D33" s="805"/>
      <c r="E33" s="805"/>
      <c r="F33" s="805"/>
      <c r="G33" s="805"/>
      <c r="H33" s="805"/>
      <c r="I33" s="805"/>
      <c r="J33" s="805"/>
      <c r="K33" s="805"/>
      <c r="L33" s="805"/>
      <c r="M33" s="805"/>
      <c r="N33"/>
      <c r="O33"/>
    </row>
    <row r="34" spans="1:15" x14ac:dyDescent="0.2">
      <c r="A34"/>
      <c r="B34" s="807" t="s">
        <v>38</v>
      </c>
      <c r="C34" s="807"/>
      <c r="D34" s="807"/>
      <c r="E34" s="807"/>
      <c r="F34" s="807"/>
      <c r="G34" s="807"/>
      <c r="H34" s="807"/>
      <c r="I34" s="807"/>
      <c r="J34" s="807"/>
      <c r="K34" s="807"/>
      <c r="L34" s="807"/>
      <c r="M34" s="807"/>
      <c r="N34"/>
      <c r="O34"/>
    </row>
    <row r="35" spans="1:15" x14ac:dyDescent="0.2">
      <c r="A35"/>
      <c r="B35" s="805" t="s">
        <v>39</v>
      </c>
      <c r="C35" s="805"/>
      <c r="D35" s="805"/>
      <c r="E35" s="805"/>
      <c r="F35" s="805"/>
      <c r="G35" s="805"/>
      <c r="H35" s="805"/>
      <c r="I35" s="805"/>
      <c r="J35" s="805"/>
      <c r="K35" s="805"/>
      <c r="L35" s="805"/>
      <c r="M35" s="805"/>
      <c r="N35"/>
      <c r="O35"/>
    </row>
    <row r="36" spans="1:15" x14ac:dyDescent="0.2">
      <c r="A36"/>
      <c r="B36" s="808" t="s">
        <v>40</v>
      </c>
      <c r="C36" s="808"/>
      <c r="D36" s="808"/>
      <c r="E36" s="808"/>
      <c r="F36" s="808"/>
      <c r="G36" s="808"/>
      <c r="H36" s="808"/>
      <c r="I36" s="808"/>
      <c r="J36" s="808"/>
      <c r="K36" s="808"/>
      <c r="L36" s="808"/>
      <c r="M36" s="808"/>
      <c r="N36"/>
      <c r="O36"/>
    </row>
    <row r="37" spans="1:15" x14ac:dyDescent="0.2">
      <c r="A37"/>
      <c r="B37" s="807" t="s">
        <v>41</v>
      </c>
      <c r="C37" s="807"/>
      <c r="D37" s="807"/>
      <c r="E37" s="807"/>
      <c r="F37" s="807"/>
      <c r="G37" s="807"/>
      <c r="H37" s="807"/>
      <c r="I37" s="807"/>
      <c r="J37" s="807"/>
      <c r="K37" s="807"/>
      <c r="L37" s="807"/>
      <c r="M37" s="807"/>
      <c r="N37"/>
      <c r="O37"/>
    </row>
    <row r="38" spans="1:15" ht="26.1" customHeight="1" x14ac:dyDescent="0.2">
      <c r="A38"/>
      <c r="B38" s="809" t="s">
        <v>42</v>
      </c>
      <c r="C38" s="809"/>
      <c r="D38" s="809"/>
      <c r="E38" s="809"/>
      <c r="F38" s="809"/>
      <c r="G38" s="809"/>
      <c r="H38" s="809"/>
      <c r="I38" s="809"/>
      <c r="J38" s="809"/>
      <c r="K38" s="809"/>
      <c r="L38" s="809"/>
      <c r="M38" s="809"/>
      <c r="N38"/>
      <c r="O38"/>
    </row>
    <row r="39" spans="1:15" x14ac:dyDescent="0.2">
      <c r="A39"/>
      <c r="B39" s="805" t="s">
        <v>43</v>
      </c>
      <c r="C39" s="805"/>
      <c r="D39" s="805"/>
      <c r="E39" s="805"/>
      <c r="F39" s="805"/>
      <c r="G39" s="805"/>
      <c r="H39" s="805"/>
      <c r="I39" s="805"/>
      <c r="J39" s="805"/>
      <c r="K39" s="805"/>
      <c r="L39" s="805"/>
      <c r="M39" s="805"/>
      <c r="N39"/>
      <c r="O39"/>
    </row>
    <row r="40" spans="1:15" x14ac:dyDescent="0.2">
      <c r="A40"/>
      <c r="B40" s="807" t="s">
        <v>44</v>
      </c>
      <c r="C40" s="807"/>
      <c r="D40" s="807"/>
      <c r="E40" s="807"/>
      <c r="F40" s="807"/>
      <c r="G40" s="807"/>
      <c r="H40" s="807"/>
      <c r="I40" s="807"/>
      <c r="J40" s="807"/>
      <c r="K40" s="807"/>
      <c r="L40" s="807"/>
      <c r="M40" s="807"/>
      <c r="N40"/>
      <c r="O40" s="38"/>
    </row>
    <row r="41" spans="1:15" x14ac:dyDescent="0.2">
      <c r="A41"/>
      <c r="B41"/>
      <c r="C41"/>
      <c r="D41" s="7"/>
      <c r="E41"/>
      <c r="F41"/>
      <c r="G41"/>
      <c r="H41"/>
      <c r="I41"/>
      <c r="J41"/>
      <c r="K41"/>
      <c r="L41"/>
      <c r="M41"/>
      <c r="N41"/>
      <c r="O41" s="38"/>
    </row>
    <row r="42" spans="1:15" ht="15.75" x14ac:dyDescent="0.2">
      <c r="A42" s="4"/>
      <c r="B42" s="800" t="s">
        <v>45</v>
      </c>
      <c r="C42" s="800"/>
      <c r="D42" s="800"/>
      <c r="E42" s="800"/>
      <c r="F42" s="800"/>
      <c r="G42" s="800"/>
      <c r="H42" s="800"/>
      <c r="I42" s="800"/>
      <c r="J42" s="800"/>
      <c r="K42" s="800"/>
      <c r="L42" s="800"/>
      <c r="M42" s="800"/>
      <c r="N42" s="38"/>
      <c r="O42" s="38"/>
    </row>
    <row r="43" spans="1:15" x14ac:dyDescent="0.2">
      <c r="A43"/>
      <c r="B43" s="805" t="s">
        <v>46</v>
      </c>
      <c r="C43" s="805"/>
      <c r="D43" s="805"/>
      <c r="E43" s="805"/>
      <c r="F43" s="805"/>
      <c r="G43" s="805"/>
      <c r="H43" s="805"/>
      <c r="I43" s="805"/>
      <c r="J43" s="805"/>
      <c r="K43" s="805"/>
      <c r="L43" s="805"/>
      <c r="M43" s="805"/>
      <c r="N43" s="38"/>
      <c r="O43" s="38"/>
    </row>
    <row r="44" spans="1:15" ht="26.1" customHeight="1" x14ac:dyDescent="0.2">
      <c r="A44"/>
      <c r="B44" s="1" t="s">
        <v>47</v>
      </c>
      <c r="C44" s="810" t="s">
        <v>48</v>
      </c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38"/>
      <c r="O44" s="38"/>
    </row>
    <row r="45" spans="1:15" ht="26.1" customHeight="1" x14ac:dyDescent="0.2">
      <c r="A45"/>
      <c r="B45" s="39" t="s">
        <v>49</v>
      </c>
      <c r="C45" s="811" t="s">
        <v>50</v>
      </c>
      <c r="D45" s="811"/>
      <c r="E45" s="811"/>
      <c r="F45" s="811"/>
      <c r="G45" s="811"/>
      <c r="H45" s="811"/>
      <c r="I45" s="811"/>
      <c r="J45" s="811"/>
      <c r="K45" s="811"/>
      <c r="L45" s="811"/>
      <c r="M45" s="811"/>
      <c r="N45" s="38"/>
      <c r="O45" s="38"/>
    </row>
    <row r="46" spans="1:15" x14ac:dyDescent="0.2">
      <c r="A46"/>
      <c r="B46" s="40"/>
      <c r="C46" s="812" t="s">
        <v>51</v>
      </c>
      <c r="D46" s="812"/>
      <c r="E46" s="41">
        <v>1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x14ac:dyDescent="0.2">
      <c r="A47"/>
      <c r="B47"/>
      <c r="C47" s="812" t="s">
        <v>52</v>
      </c>
      <c r="D47" s="812"/>
      <c r="E47" s="41">
        <v>3.4931999999999999</v>
      </c>
      <c r="F47" s="38"/>
      <c r="G47" s="38" t="s">
        <v>53</v>
      </c>
      <c r="H47" s="38"/>
      <c r="I47" s="38"/>
      <c r="J47" s="38"/>
      <c r="K47" s="38"/>
      <c r="L47" s="38"/>
      <c r="M47" s="38"/>
      <c r="N47" s="38"/>
      <c r="O47" s="38"/>
    </row>
    <row r="48" spans="1:15" x14ac:dyDescent="0.2">
      <c r="A48"/>
      <c r="B48"/>
      <c r="C48" s="812" t="s">
        <v>54</v>
      </c>
      <c r="D48" s="812"/>
      <c r="E48" s="41">
        <v>0.26879999999999998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</row>
    <row r="49" spans="1:15" x14ac:dyDescent="0.2">
      <c r="A49"/>
      <c r="B49"/>
      <c r="C49" s="812" t="s">
        <v>55</v>
      </c>
      <c r="D49" s="812"/>
      <c r="E49" s="41">
        <v>4.2700000000000002E-2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 x14ac:dyDescent="0.2">
      <c r="A50"/>
      <c r="B50"/>
      <c r="C50" s="812" t="s">
        <v>56</v>
      </c>
      <c r="D50" s="812"/>
      <c r="E50" s="41">
        <v>3.5499999999999997E-2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</row>
    <row r="51" spans="1:15" x14ac:dyDescent="0.2">
      <c r="A51"/>
      <c r="B51"/>
      <c r="C51" s="812" t="s">
        <v>57</v>
      </c>
      <c r="D51" s="812"/>
      <c r="E51" s="42">
        <v>0.02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5" x14ac:dyDescent="0.2">
      <c r="A52"/>
      <c r="B52"/>
      <c r="C52" s="812" t="s">
        <v>58</v>
      </c>
      <c r="D52" s="812"/>
      <c r="E52" s="42">
        <v>4.0000000000000001E-3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</row>
    <row r="53" spans="1:15" x14ac:dyDescent="0.2">
      <c r="A53"/>
      <c r="B53"/>
      <c r="C53" s="812" t="s">
        <v>59</v>
      </c>
      <c r="D53" s="812"/>
      <c r="E53" s="41">
        <v>9.7999999999999997E-3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x14ac:dyDescent="0.2">
      <c r="A54"/>
      <c r="B54"/>
      <c r="C54" s="813" t="s">
        <v>60</v>
      </c>
      <c r="D54" s="813"/>
      <c r="E54" s="43">
        <f>SUM(E46:E53)</f>
        <v>4.8739999999999988</v>
      </c>
      <c r="F54" s="6"/>
      <c r="G54" s="6"/>
      <c r="H54" s="6"/>
      <c r="I54" s="6"/>
      <c r="J54" s="6"/>
      <c r="K54" s="6"/>
      <c r="L54" s="6"/>
      <c r="M54" s="6"/>
      <c r="N54" s="38"/>
      <c r="O54" s="38"/>
    </row>
    <row r="55" spans="1:15" x14ac:dyDescent="0.2">
      <c r="A55"/>
      <c r="B55" s="44" t="s">
        <v>61</v>
      </c>
      <c r="C55" s="814" t="s">
        <v>62</v>
      </c>
      <c r="D55" s="814"/>
      <c r="E55" s="814"/>
      <c r="F55" s="814"/>
      <c r="G55" s="814"/>
      <c r="H55" s="814"/>
      <c r="I55" s="814"/>
      <c r="J55" s="814"/>
      <c r="K55" s="814"/>
      <c r="L55" s="814"/>
      <c r="M55" s="814"/>
      <c r="N55" s="38"/>
      <c r="O55" s="38"/>
    </row>
    <row r="56" spans="1:15" x14ac:dyDescent="0.2">
      <c r="A56"/>
      <c r="B56" s="807" t="s">
        <v>63</v>
      </c>
      <c r="C56" s="807"/>
      <c r="D56" s="807"/>
      <c r="E56" s="807"/>
      <c r="F56" s="45">
        <v>1.4999999999999999E-2</v>
      </c>
      <c r="G56" s="46"/>
      <c r="H56" s="46"/>
      <c r="I56" s="46"/>
      <c r="J56" s="46"/>
      <c r="K56" s="46"/>
      <c r="L56" s="46"/>
      <c r="M56" s="47"/>
      <c r="N56" s="38"/>
      <c r="O56" s="38"/>
    </row>
    <row r="57" spans="1:15" ht="12.75" customHeight="1" x14ac:dyDescent="0.2">
      <c r="A57"/>
      <c r="B57" s="48" t="s">
        <v>64</v>
      </c>
      <c r="C57" s="49">
        <v>0.51670000000000005</v>
      </c>
      <c r="D57" s="46"/>
      <c r="E57" s="46"/>
      <c r="F57" s="46"/>
      <c r="G57" s="46"/>
      <c r="H57" s="46"/>
      <c r="I57" s="46"/>
      <c r="J57" s="46"/>
      <c r="K57" s="46"/>
      <c r="L57" s="46"/>
      <c r="M57" s="47"/>
      <c r="N57" s="38"/>
      <c r="O57" s="38"/>
    </row>
    <row r="58" spans="1:15" ht="26.1" customHeight="1" x14ac:dyDescent="0.2">
      <c r="A58"/>
      <c r="B58" s="50" t="s">
        <v>65</v>
      </c>
      <c r="C58" s="815" t="s">
        <v>66</v>
      </c>
      <c r="D58" s="815"/>
      <c r="E58" s="815"/>
      <c r="F58" s="815"/>
      <c r="G58" s="815"/>
      <c r="H58" s="815"/>
      <c r="I58" s="815"/>
      <c r="J58" s="815"/>
      <c r="K58" s="815"/>
      <c r="L58" s="815"/>
      <c r="M58" s="815"/>
      <c r="N58" s="38"/>
      <c r="O58" s="38"/>
    </row>
    <row r="59" spans="1:15" ht="12.75" customHeight="1" x14ac:dyDescent="0.2">
      <c r="A59"/>
      <c r="B59" s="51" t="s">
        <v>67</v>
      </c>
      <c r="C59" s="52">
        <v>0.96589999999999998</v>
      </c>
      <c r="D59" s="53"/>
      <c r="E59" s="53"/>
      <c r="F59" s="53"/>
      <c r="G59" s="53"/>
      <c r="H59" s="53"/>
      <c r="I59" s="53"/>
      <c r="J59" s="53"/>
      <c r="K59" s="53"/>
      <c r="L59" s="53"/>
      <c r="M59" s="54"/>
      <c r="N59" s="38"/>
      <c r="O59" s="38"/>
    </row>
    <row r="60" spans="1:15" x14ac:dyDescent="0.2">
      <c r="A60"/>
      <c r="B60" s="816" t="s">
        <v>68</v>
      </c>
      <c r="C60" s="816"/>
      <c r="D60" s="816"/>
      <c r="E60" s="816"/>
      <c r="F60" s="816"/>
      <c r="G60" s="816"/>
      <c r="H60" s="816"/>
      <c r="I60" s="816"/>
      <c r="J60" s="816"/>
      <c r="K60" s="816"/>
      <c r="L60" s="816"/>
      <c r="M60" s="816"/>
      <c r="N60" s="38"/>
      <c r="O60" s="38"/>
    </row>
    <row r="61" spans="1:15" ht="33" customHeight="1" x14ac:dyDescent="0.2">
      <c r="A61"/>
      <c r="B61" s="55" t="s">
        <v>69</v>
      </c>
      <c r="C61" s="817" t="s">
        <v>70</v>
      </c>
      <c r="D61" s="817"/>
      <c r="E61" s="817"/>
      <c r="F61" s="817"/>
      <c r="G61" s="817"/>
      <c r="H61" s="817"/>
      <c r="I61" s="817"/>
      <c r="J61" s="817"/>
      <c r="K61" s="817"/>
      <c r="L61" s="817"/>
      <c r="M61" s="817"/>
      <c r="N61" s="38"/>
      <c r="O61" s="38"/>
    </row>
    <row r="62" spans="1:15" ht="12.75" customHeight="1" x14ac:dyDescent="0.2">
      <c r="A62"/>
      <c r="B62" s="56" t="s">
        <v>71</v>
      </c>
      <c r="C62" s="57">
        <v>0.48330000000000001</v>
      </c>
      <c r="D62" s="58"/>
      <c r="E62" s="58"/>
      <c r="F62" s="58"/>
      <c r="G62" s="58"/>
      <c r="H62" s="58"/>
      <c r="I62" s="58"/>
      <c r="J62" s="58"/>
      <c r="K62" s="58"/>
      <c r="L62" s="58"/>
      <c r="M62" s="59"/>
      <c r="N62" s="38"/>
      <c r="O62" s="38"/>
    </row>
    <row r="63" spans="1:15" ht="12.75" customHeight="1" x14ac:dyDescent="0.2">
      <c r="A63"/>
      <c r="B63" s="51" t="s">
        <v>72</v>
      </c>
      <c r="C63" s="52">
        <v>3.2000000000000002E-3</v>
      </c>
      <c r="D63" s="60"/>
      <c r="E63" s="53"/>
      <c r="F63" s="53"/>
      <c r="G63" s="53"/>
      <c r="H63" s="53"/>
      <c r="I63" s="53"/>
      <c r="J63" s="53"/>
      <c r="K63" s="53"/>
      <c r="L63" s="53"/>
      <c r="M63" s="54"/>
      <c r="N63" s="38"/>
      <c r="O63" s="38"/>
    </row>
    <row r="64" spans="1:15" ht="12.75" customHeight="1" x14ac:dyDescent="0.2">
      <c r="A64"/>
      <c r="B64" s="61"/>
      <c r="C64" s="62"/>
      <c r="D64" s="62"/>
      <c r="E64" s="61"/>
      <c r="F64" s="61"/>
      <c r="G64" s="61"/>
      <c r="H64" s="61"/>
      <c r="I64" s="61"/>
      <c r="J64" s="61"/>
      <c r="K64" s="61"/>
      <c r="L64" s="61"/>
      <c r="M64" s="61"/>
      <c r="N64" s="38"/>
      <c r="O64" s="38"/>
    </row>
    <row r="65" spans="1:15" ht="12.75" customHeight="1" x14ac:dyDescent="0.2">
      <c r="A65" s="4"/>
      <c r="B65" s="818" t="s">
        <v>73</v>
      </c>
      <c r="C65" s="818"/>
      <c r="D65" s="818"/>
      <c r="E65" s="818"/>
      <c r="F65" s="818"/>
      <c r="G65" s="818"/>
      <c r="H65" s="818"/>
      <c r="I65" s="818"/>
      <c r="J65" s="818"/>
      <c r="K65" s="818"/>
      <c r="L65" s="818"/>
      <c r="M65" s="818"/>
      <c r="N65" s="38"/>
      <c r="O65" s="38"/>
    </row>
    <row r="66" spans="1:15" ht="12.75" customHeight="1" x14ac:dyDescent="0.2">
      <c r="A66"/>
      <c r="B66" s="63" t="s">
        <v>74</v>
      </c>
      <c r="C66" s="64">
        <v>0.03</v>
      </c>
      <c r="D66" s="62"/>
      <c r="E66" s="61"/>
      <c r="F66" s="61"/>
      <c r="G66" s="61"/>
      <c r="H66" s="61"/>
      <c r="I66" s="61"/>
      <c r="J66" s="61"/>
      <c r="K66" s="61"/>
      <c r="L66" s="61"/>
      <c r="M66" s="61"/>
      <c r="N66" s="38"/>
      <c r="O66" s="38"/>
    </row>
    <row r="67" spans="1:15" ht="12.75" customHeight="1" x14ac:dyDescent="0.2">
      <c r="A67"/>
      <c r="B67" s="39" t="s">
        <v>75</v>
      </c>
      <c r="C67" s="64">
        <v>6.7900000000000002E-2</v>
      </c>
      <c r="D67" s="62"/>
      <c r="E67" s="61"/>
      <c r="F67" s="61"/>
      <c r="G67" s="61"/>
      <c r="H67" s="61"/>
      <c r="I67" s="61"/>
      <c r="J67" s="61"/>
      <c r="K67" s="61"/>
      <c r="L67" s="61"/>
      <c r="M67" s="61"/>
      <c r="N67" s="38"/>
      <c r="O67" s="38"/>
    </row>
    <row r="68" spans="1:1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 s="38"/>
      <c r="O68" s="38"/>
    </row>
    <row r="69" spans="1:15" ht="15.75" x14ac:dyDescent="0.2">
      <c r="A69" s="4"/>
      <c r="B69" s="800" t="s">
        <v>76</v>
      </c>
      <c r="C69" s="800"/>
      <c r="D69" s="800"/>
      <c r="E69" s="800"/>
      <c r="F69" s="800"/>
      <c r="G69" s="800"/>
      <c r="H69" s="800"/>
      <c r="I69" s="800"/>
      <c r="J69" s="800"/>
      <c r="K69" s="800"/>
      <c r="L69" s="800"/>
      <c r="M69" s="800"/>
    </row>
    <row r="70" spans="1:15" x14ac:dyDescent="0.2">
      <c r="B70" s="65" t="s">
        <v>77</v>
      </c>
      <c r="C70" s="66" t="s">
        <v>78</v>
      </c>
      <c r="D70" s="66" t="s">
        <v>79</v>
      </c>
      <c r="E70" s="67" t="s">
        <v>80</v>
      </c>
      <c r="F70" s="68" t="s">
        <v>81</v>
      </c>
      <c r="H70" s="819" t="s">
        <v>82</v>
      </c>
      <c r="I70" s="819"/>
      <c r="J70" s="66" t="s">
        <v>78</v>
      </c>
      <c r="K70" s="66" t="s">
        <v>79</v>
      </c>
      <c r="L70" s="67" t="s">
        <v>80</v>
      </c>
      <c r="M70" s="68" t="s">
        <v>81</v>
      </c>
    </row>
    <row r="71" spans="1:15" x14ac:dyDescent="0.2">
      <c r="B71" s="69" t="s">
        <v>83</v>
      </c>
      <c r="C71" s="70">
        <v>3.5000000000000003E-2</v>
      </c>
      <c r="D71" s="70">
        <v>5</v>
      </c>
      <c r="E71" s="71">
        <f>SUM('Prod. GEXPEL'!P4:U4)+'Prod. GEXPEL'!Y4</f>
        <v>6</v>
      </c>
      <c r="F71" s="72">
        <f>E71*D71</f>
        <v>30</v>
      </c>
      <c r="H71" s="820" t="s">
        <v>84</v>
      </c>
      <c r="I71" s="820"/>
      <c r="J71" s="70">
        <v>0.02</v>
      </c>
      <c r="K71" s="769">
        <v>4.2</v>
      </c>
      <c r="L71" s="71">
        <f>SUM('Prod. GEXSTM'!P4:V4)+'Prod. GEXSTM'!Z4</f>
        <v>2</v>
      </c>
      <c r="M71" s="72">
        <f>L71*K71</f>
        <v>8.4</v>
      </c>
    </row>
    <row r="72" spans="1:15" x14ac:dyDescent="0.2">
      <c r="B72" s="73" t="s">
        <v>85</v>
      </c>
      <c r="C72" s="70">
        <v>0.05</v>
      </c>
      <c r="D72" s="70" t="s">
        <v>86</v>
      </c>
      <c r="E72" s="71">
        <f>SUM('Prod. GEXPEL'!P5:U5)</f>
        <v>3</v>
      </c>
      <c r="F72" s="72">
        <f t="shared" ref="F72:F83" si="0">E72*D72</f>
        <v>12.450000000000001</v>
      </c>
      <c r="H72" s="820" t="s">
        <v>87</v>
      </c>
      <c r="I72" s="820"/>
      <c r="J72" s="70">
        <v>0.02</v>
      </c>
      <c r="K72" s="770">
        <v>3.45</v>
      </c>
      <c r="L72" s="71">
        <f>SUM('Prod. GEXSTM'!P5:V5)+Z5</f>
        <v>1</v>
      </c>
      <c r="M72" s="72">
        <f t="shared" ref="M72:M84" si="1">L72*K72</f>
        <v>3.45</v>
      </c>
    </row>
    <row r="73" spans="1:15" x14ac:dyDescent="0.2">
      <c r="B73" s="73" t="s">
        <v>88</v>
      </c>
      <c r="C73" s="70">
        <v>2.5000000000000001E-2</v>
      </c>
      <c r="D73" s="70" t="s">
        <v>89</v>
      </c>
      <c r="E73" s="71">
        <f>SUM('Prod. GEXPEL'!P6:U6)</f>
        <v>2</v>
      </c>
      <c r="F73" s="72">
        <f t="shared" si="0"/>
        <v>6</v>
      </c>
      <c r="H73" s="820" t="s">
        <v>90</v>
      </c>
      <c r="I73" s="820"/>
      <c r="J73" s="70">
        <v>2.5000000000000001E-2</v>
      </c>
      <c r="K73" s="770">
        <v>3.7</v>
      </c>
      <c r="L73" s="71">
        <f>SUM('Prod. GEXSTM'!P6:V6)+Z6</f>
        <v>3</v>
      </c>
      <c r="M73" s="72">
        <f t="shared" si="1"/>
        <v>11.100000000000001</v>
      </c>
    </row>
    <row r="74" spans="1:15" x14ac:dyDescent="0.2">
      <c r="B74" s="73" t="s">
        <v>91</v>
      </c>
      <c r="C74" s="70">
        <v>0.05</v>
      </c>
      <c r="D74" s="70">
        <v>3.5</v>
      </c>
      <c r="E74" s="71">
        <f>SUM('Prod. GEXPEL'!P7:U7)</f>
        <v>2</v>
      </c>
      <c r="F74" s="72">
        <f t="shared" si="0"/>
        <v>7</v>
      </c>
      <c r="H74" s="820" t="s">
        <v>92</v>
      </c>
      <c r="I74" s="820"/>
      <c r="J74" s="70">
        <v>0.03</v>
      </c>
      <c r="K74" s="770">
        <v>3.2</v>
      </c>
      <c r="L74" s="71">
        <f>SUM('Prod. GEXSTM'!P7:V7)+Z7</f>
        <v>1</v>
      </c>
      <c r="M74" s="72">
        <f t="shared" si="1"/>
        <v>3.2</v>
      </c>
    </row>
    <row r="75" spans="1:15" x14ac:dyDescent="0.2">
      <c r="B75" s="73" t="s">
        <v>93</v>
      </c>
      <c r="C75" s="70">
        <v>3.5000000000000003E-2</v>
      </c>
      <c r="D75" s="70">
        <v>5</v>
      </c>
      <c r="E75" s="71">
        <f>SUM('Prod. GEXPEL'!P8:U8)</f>
        <v>6</v>
      </c>
      <c r="F75" s="72">
        <f t="shared" si="0"/>
        <v>30</v>
      </c>
      <c r="H75" s="820" t="s">
        <v>94</v>
      </c>
      <c r="I75" s="820"/>
      <c r="J75" s="70">
        <v>0.03</v>
      </c>
      <c r="K75" s="770">
        <v>2.75</v>
      </c>
      <c r="L75" s="71">
        <f>SUM('Prod. GEXSTM'!P8:V8)+Z8</f>
        <v>3</v>
      </c>
      <c r="M75" s="72">
        <f t="shared" si="1"/>
        <v>8.25</v>
      </c>
    </row>
    <row r="76" spans="1:15" x14ac:dyDescent="0.2">
      <c r="B76" s="73" t="s">
        <v>95</v>
      </c>
      <c r="C76" s="70">
        <v>0.04</v>
      </c>
      <c r="D76" s="70" t="s">
        <v>96</v>
      </c>
      <c r="E76" s="71">
        <f>SUM('Prod. GEXPEL'!P9:U9)</f>
        <v>4</v>
      </c>
      <c r="F76" s="72">
        <f t="shared" si="0"/>
        <v>17.399999999999999</v>
      </c>
      <c r="H76" s="820" t="s">
        <v>97</v>
      </c>
      <c r="I76" s="820"/>
      <c r="J76" s="70">
        <v>0.02</v>
      </c>
      <c r="K76" s="770">
        <v>4.45</v>
      </c>
      <c r="L76" s="71">
        <f>SUM('Prod. GEXSTM'!P9:V9)+Z9</f>
        <v>5</v>
      </c>
      <c r="M76" s="72">
        <f t="shared" si="1"/>
        <v>22.25</v>
      </c>
    </row>
    <row r="77" spans="1:15" x14ac:dyDescent="0.2">
      <c r="B77" s="73" t="s">
        <v>98</v>
      </c>
      <c r="C77" s="70">
        <v>0.02</v>
      </c>
      <c r="D77" s="70" t="s">
        <v>89</v>
      </c>
      <c r="E77" s="71">
        <f>SUM('Prod. GEXPEL'!P10:U10)</f>
        <v>2</v>
      </c>
      <c r="F77" s="72">
        <f t="shared" si="0"/>
        <v>6</v>
      </c>
      <c r="H77" s="820" t="s">
        <v>99</v>
      </c>
      <c r="I77" s="820"/>
      <c r="J77" s="70">
        <v>0.02</v>
      </c>
      <c r="K77" s="770">
        <v>4.2</v>
      </c>
      <c r="L77" s="71">
        <f>SUM('Prod. GEXSTM'!P10:V10)+Z10</f>
        <v>7</v>
      </c>
      <c r="M77" s="72">
        <f t="shared" si="1"/>
        <v>29.400000000000002</v>
      </c>
    </row>
    <row r="78" spans="1:15" x14ac:dyDescent="0.2">
      <c r="B78" s="73" t="s">
        <v>100</v>
      </c>
      <c r="C78" s="70">
        <v>0.02</v>
      </c>
      <c r="D78" s="70">
        <v>0</v>
      </c>
      <c r="E78" s="71">
        <f>SUM('Prod. GEXPEL'!P11:U11)</f>
        <v>2</v>
      </c>
      <c r="F78" s="72">
        <f t="shared" si="0"/>
        <v>0</v>
      </c>
      <c r="H78" s="820" t="s">
        <v>101</v>
      </c>
      <c r="I78" s="820"/>
      <c r="J78" s="70">
        <v>0.02</v>
      </c>
      <c r="K78" s="770">
        <v>3.45</v>
      </c>
      <c r="L78" s="71">
        <f>SUM('Prod. GEXSTM'!P11:V11)+Z11</f>
        <v>3</v>
      </c>
      <c r="M78" s="72">
        <f t="shared" si="1"/>
        <v>10.350000000000001</v>
      </c>
    </row>
    <row r="79" spans="1:15" x14ac:dyDescent="0.2">
      <c r="B79" s="73" t="s">
        <v>102</v>
      </c>
      <c r="C79" s="70">
        <v>0.03</v>
      </c>
      <c r="D79" s="70">
        <v>0</v>
      </c>
      <c r="E79" s="71">
        <f>SUM('Prod. GEXPEL'!P12:U12)</f>
        <v>2</v>
      </c>
      <c r="F79" s="72">
        <f t="shared" si="0"/>
        <v>0</v>
      </c>
      <c r="H79" s="820" t="s">
        <v>103</v>
      </c>
      <c r="I79" s="820"/>
      <c r="J79" s="70">
        <v>0.02</v>
      </c>
      <c r="K79" s="770">
        <v>4.4000000000000004</v>
      </c>
      <c r="L79" s="71">
        <f>SUM('Prod. GEXSTM'!P12:V12)+Z12</f>
        <v>2</v>
      </c>
      <c r="M79" s="72">
        <f t="shared" si="1"/>
        <v>8.8000000000000007</v>
      </c>
    </row>
    <row r="80" spans="1:15" x14ac:dyDescent="0.2">
      <c r="B80" s="73" t="s">
        <v>104</v>
      </c>
      <c r="C80" s="70">
        <v>0.02</v>
      </c>
      <c r="D80" s="70">
        <v>0</v>
      </c>
      <c r="E80" s="71">
        <f>SUM('Prod. GEXPEL'!P13:U13)</f>
        <v>1</v>
      </c>
      <c r="F80" s="72">
        <f t="shared" si="0"/>
        <v>0</v>
      </c>
      <c r="H80" s="820" t="s">
        <v>105</v>
      </c>
      <c r="I80" s="820"/>
      <c r="J80" s="70">
        <v>2.5000000000000001E-2</v>
      </c>
      <c r="K80" s="770">
        <v>4</v>
      </c>
      <c r="L80" s="71">
        <f>SUM('Prod. GEXSTM'!P13:V13)+Z13</f>
        <v>1</v>
      </c>
      <c r="M80" s="72">
        <f t="shared" si="1"/>
        <v>4</v>
      </c>
    </row>
    <row r="81" spans="2:13" x14ac:dyDescent="0.2">
      <c r="B81" s="73" t="s">
        <v>106</v>
      </c>
      <c r="C81" s="70">
        <v>0.02</v>
      </c>
      <c r="D81" s="70" t="s">
        <v>107</v>
      </c>
      <c r="E81" s="71">
        <f>SUM('Prod. GEXPEL'!P14:U14)</f>
        <v>1</v>
      </c>
      <c r="F81" s="72">
        <f t="shared" si="0"/>
        <v>3.65</v>
      </c>
      <c r="H81" s="820" t="s">
        <v>108</v>
      </c>
      <c r="I81" s="820"/>
      <c r="J81" s="70">
        <v>2.5000000000000001E-2</v>
      </c>
      <c r="K81" s="770">
        <v>3.2</v>
      </c>
      <c r="L81" s="71">
        <f>SUM('Prod. GEXSTM'!P14:V14)+Z14</f>
        <v>1</v>
      </c>
      <c r="M81" s="72">
        <f t="shared" si="1"/>
        <v>3.2</v>
      </c>
    </row>
    <row r="82" spans="2:13" x14ac:dyDescent="0.2">
      <c r="B82" s="73" t="s">
        <v>109</v>
      </c>
      <c r="C82" s="70">
        <v>0.04</v>
      </c>
      <c r="D82" s="70" t="s">
        <v>110</v>
      </c>
      <c r="E82" s="71">
        <f>SUM('Prod. GEXPEL'!P15:U15)</f>
        <v>1</v>
      </c>
      <c r="F82" s="72">
        <f t="shared" si="0"/>
        <v>3.5</v>
      </c>
      <c r="H82" s="820" t="s">
        <v>111</v>
      </c>
      <c r="I82" s="820"/>
      <c r="J82" s="70">
        <v>0.03</v>
      </c>
      <c r="K82" s="770">
        <v>3.4</v>
      </c>
      <c r="L82" s="71">
        <f>SUM('Prod. GEXSTM'!P15:V15)+Z15</f>
        <v>2</v>
      </c>
      <c r="M82" s="72">
        <f t="shared" si="1"/>
        <v>6.8</v>
      </c>
    </row>
    <row r="83" spans="2:13" x14ac:dyDescent="0.2">
      <c r="B83" s="73" t="s">
        <v>112</v>
      </c>
      <c r="C83" s="70">
        <v>0.05</v>
      </c>
      <c r="D83" s="70">
        <v>2.2999999999999998</v>
      </c>
      <c r="E83" s="71">
        <f>SUM('Prod. GEXPEL'!P16:U16)</f>
        <v>1</v>
      </c>
      <c r="F83" s="72">
        <f t="shared" si="0"/>
        <v>2.2999999999999998</v>
      </c>
      <c r="H83" s="820" t="s">
        <v>113</v>
      </c>
      <c r="I83" s="820"/>
      <c r="J83" s="70">
        <v>2.5000000000000001E-2</v>
      </c>
      <c r="K83" s="770">
        <v>3.9</v>
      </c>
      <c r="L83" s="71">
        <f>SUM('Prod. GEXSTM'!P16:V16)+Z16</f>
        <v>1</v>
      </c>
      <c r="M83" s="72">
        <f t="shared" si="1"/>
        <v>3.9</v>
      </c>
    </row>
    <row r="84" spans="2:13" x14ac:dyDescent="0.2">
      <c r="B84" s="74" t="s">
        <v>114</v>
      </c>
      <c r="C84"/>
      <c r="D84" s="75">
        <f>AVERAGE(D71:D83)</f>
        <v>2.2571428571428571</v>
      </c>
      <c r="E84" s="71">
        <f>SUM(E71:E83)</f>
        <v>33</v>
      </c>
      <c r="F84" s="72">
        <f>SUM(F71:F83)</f>
        <v>118.3</v>
      </c>
      <c r="H84" s="820" t="s">
        <v>115</v>
      </c>
      <c r="I84" s="820"/>
      <c r="J84" s="70">
        <v>3.5000000000000003E-2</v>
      </c>
      <c r="K84" s="770">
        <v>2.95</v>
      </c>
      <c r="L84" s="71">
        <f>SUM('Prod. GEXSTM'!P17:V17)+Z17</f>
        <v>1</v>
      </c>
      <c r="M84" s="72">
        <f t="shared" si="1"/>
        <v>2.95</v>
      </c>
    </row>
    <row r="85" spans="2:13" x14ac:dyDescent="0.2">
      <c r="B85" s="76" t="s">
        <v>116</v>
      </c>
      <c r="C85" s="77"/>
      <c r="D85" s="78">
        <f>F84/E84</f>
        <v>3.584848484848485</v>
      </c>
      <c r="E85" s="79"/>
      <c r="F85" s="79"/>
      <c r="H85" s="821" t="s">
        <v>114</v>
      </c>
      <c r="I85" s="821"/>
      <c r="J85"/>
      <c r="K85" s="75">
        <f>AVERAGE(K71:K84)</f>
        <v>3.6607142857142856</v>
      </c>
      <c r="L85" s="71">
        <f>SUM(L71:L84)</f>
        <v>33</v>
      </c>
      <c r="M85" s="72">
        <f>SUM(M71:M84)</f>
        <v>126.05000000000001</v>
      </c>
    </row>
    <row r="86" spans="2:13" x14ac:dyDescent="0.2">
      <c r="B86"/>
      <c r="C86"/>
      <c r="D86"/>
      <c r="E86" s="80"/>
      <c r="F86" s="81"/>
      <c r="H86" s="822" t="s">
        <v>116</v>
      </c>
      <c r="I86" s="822"/>
      <c r="J86" s="77"/>
      <c r="K86" s="78">
        <f>M85/L85</f>
        <v>3.8196969696969703</v>
      </c>
      <c r="L86" s="82"/>
      <c r="M86" s="83"/>
    </row>
    <row r="87" spans="2:13" x14ac:dyDescent="0.2">
      <c r="B87"/>
      <c r="C87"/>
      <c r="D87"/>
      <c r="E87" s="80"/>
      <c r="F87" s="81"/>
      <c r="L87" s="84"/>
      <c r="M87" s="84"/>
    </row>
    <row r="88" spans="2:13" x14ac:dyDescent="0.2">
      <c r="B88" s="65" t="s">
        <v>117</v>
      </c>
      <c r="C88" s="66" t="s">
        <v>78</v>
      </c>
      <c r="D88" s="66" t="s">
        <v>79</v>
      </c>
      <c r="E88" s="67" t="s">
        <v>80</v>
      </c>
      <c r="F88" s="68" t="s">
        <v>81</v>
      </c>
    </row>
    <row r="89" spans="2:13" x14ac:dyDescent="0.2">
      <c r="B89" s="69" t="s">
        <v>118</v>
      </c>
      <c r="C89" s="70">
        <v>0.05</v>
      </c>
      <c r="D89" s="70">
        <v>3.5</v>
      </c>
      <c r="E89" s="71">
        <f>SUM('Prod. GEXURG'!P4:U4)+'Prod. GEXURG'!Y4</f>
        <v>3</v>
      </c>
      <c r="F89" s="72">
        <f>E89*D89</f>
        <v>10.5</v>
      </c>
    </row>
    <row r="90" spans="2:13" x14ac:dyDescent="0.2">
      <c r="B90" s="73" t="s">
        <v>119</v>
      </c>
      <c r="C90" s="70">
        <v>0.05</v>
      </c>
      <c r="D90" s="70">
        <v>3.5</v>
      </c>
      <c r="E90" s="71">
        <f>SUM('Prod. GEXURG'!P5:U5)</f>
        <v>3</v>
      </c>
      <c r="F90" s="72">
        <f t="shared" ref="F90:F98" si="2">E90*D90</f>
        <v>10.5</v>
      </c>
    </row>
    <row r="91" spans="2:13" x14ac:dyDescent="0.2">
      <c r="B91" s="73" t="s">
        <v>120</v>
      </c>
      <c r="C91" s="70">
        <v>0.03</v>
      </c>
      <c r="D91" s="70">
        <v>3</v>
      </c>
      <c r="E91" s="71">
        <f>SUM('Prod. GEXURG'!P6:U6)</f>
        <v>2</v>
      </c>
      <c r="F91" s="72">
        <f t="shared" si="2"/>
        <v>6</v>
      </c>
    </row>
    <row r="92" spans="2:13" x14ac:dyDescent="0.2">
      <c r="B92" s="73" t="s">
        <v>121</v>
      </c>
      <c r="C92" s="70">
        <v>0.03</v>
      </c>
      <c r="D92" s="70">
        <v>3</v>
      </c>
      <c r="E92" s="71">
        <f>SUM('Prod. GEXURG'!P7:U7)</f>
        <v>3</v>
      </c>
      <c r="F92" s="72">
        <f t="shared" si="2"/>
        <v>9</v>
      </c>
    </row>
    <row r="93" spans="2:13" x14ac:dyDescent="0.2">
      <c r="B93" s="73" t="s">
        <v>122</v>
      </c>
      <c r="C93" s="70">
        <v>0.03</v>
      </c>
      <c r="D93" s="70">
        <v>3.55</v>
      </c>
      <c r="E93" s="71">
        <f>SUM('Prod. GEXURG'!P8:U8)</f>
        <v>1</v>
      </c>
      <c r="F93" s="72">
        <f t="shared" si="2"/>
        <v>3.55</v>
      </c>
    </row>
    <row r="94" spans="2:13" x14ac:dyDescent="0.2">
      <c r="B94" s="73" t="s">
        <v>123</v>
      </c>
      <c r="C94" s="70">
        <v>0.03</v>
      </c>
      <c r="D94" s="70">
        <v>3.1</v>
      </c>
      <c r="E94" s="71">
        <f>SUM('Prod. GEXURG'!P9:U9)</f>
        <v>3</v>
      </c>
      <c r="F94" s="72">
        <f t="shared" si="2"/>
        <v>9.3000000000000007</v>
      </c>
    </row>
    <row r="95" spans="2:13" x14ac:dyDescent="0.2">
      <c r="B95" s="73" t="s">
        <v>124</v>
      </c>
      <c r="C95" s="70">
        <v>2.5000000000000001E-2</v>
      </c>
      <c r="D95" s="70">
        <v>2.75</v>
      </c>
      <c r="E95" s="71">
        <f>SUM('Prod. GEXURG'!P10:U10)</f>
        <v>2</v>
      </c>
      <c r="F95" s="72">
        <f t="shared" si="2"/>
        <v>5.5</v>
      </c>
    </row>
    <row r="96" spans="2:13" x14ac:dyDescent="0.2">
      <c r="B96" s="73" t="s">
        <v>125</v>
      </c>
      <c r="C96" s="70">
        <v>0.03</v>
      </c>
      <c r="D96" s="70">
        <v>2.74</v>
      </c>
      <c r="E96" s="71">
        <f>SUM('Prod. GEXURG'!P11:U11)</f>
        <v>2</v>
      </c>
      <c r="F96" s="72">
        <f t="shared" si="2"/>
        <v>5.48</v>
      </c>
    </row>
    <row r="97" spans="2:6" x14ac:dyDescent="0.2">
      <c r="B97" s="73" t="s">
        <v>126</v>
      </c>
      <c r="C97" s="70">
        <v>0.03</v>
      </c>
      <c r="D97" s="70">
        <v>3.4</v>
      </c>
      <c r="E97" s="71">
        <f>SUM('Prod. GEXURG'!P12:U12)</f>
        <v>2</v>
      </c>
      <c r="F97" s="72">
        <f t="shared" si="2"/>
        <v>6.8</v>
      </c>
    </row>
    <row r="98" spans="2:6" x14ac:dyDescent="0.2">
      <c r="B98" s="73" t="s">
        <v>127</v>
      </c>
      <c r="C98" s="70">
        <v>0.02</v>
      </c>
      <c r="D98" s="70">
        <v>2.52</v>
      </c>
      <c r="E98" s="71">
        <f>SUM('Prod. GEXURG'!P13:U13)</f>
        <v>2</v>
      </c>
      <c r="F98" s="72">
        <f t="shared" si="2"/>
        <v>5.04</v>
      </c>
    </row>
    <row r="99" spans="2:6" x14ac:dyDescent="0.2">
      <c r="B99" s="74" t="s">
        <v>114</v>
      </c>
      <c r="C99"/>
      <c r="D99" s="75">
        <f>AVERAGE(D89:D98)</f>
        <v>3.1059999999999999</v>
      </c>
      <c r="E99" s="71">
        <f>SUM(E89:E98)</f>
        <v>23</v>
      </c>
      <c r="F99" s="72">
        <f>SUM(F89:F98)</f>
        <v>71.67</v>
      </c>
    </row>
    <row r="100" spans="2:6" x14ac:dyDescent="0.2">
      <c r="B100" s="76" t="s">
        <v>116</v>
      </c>
      <c r="C100" s="77"/>
      <c r="D100" s="78">
        <f>F99/E99</f>
        <v>3.1160869565217393</v>
      </c>
      <c r="E100" s="82"/>
      <c r="F100" s="83"/>
    </row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</sheetData>
  <mergeCells count="59">
    <mergeCell ref="H84:I84"/>
    <mergeCell ref="H85:I85"/>
    <mergeCell ref="H86:I86"/>
    <mergeCell ref="H78:I78"/>
    <mergeCell ref="H79:I79"/>
    <mergeCell ref="H80:I80"/>
    <mergeCell ref="H81:I81"/>
    <mergeCell ref="H82:I82"/>
    <mergeCell ref="H74:I74"/>
    <mergeCell ref="H75:I75"/>
    <mergeCell ref="H76:I76"/>
    <mergeCell ref="H77:I77"/>
    <mergeCell ref="H83:I83"/>
    <mergeCell ref="B69:M69"/>
    <mergeCell ref="H70:I70"/>
    <mergeCell ref="H71:I71"/>
    <mergeCell ref="H72:I72"/>
    <mergeCell ref="H73:I73"/>
    <mergeCell ref="B56:E56"/>
    <mergeCell ref="C58:M58"/>
    <mergeCell ref="B60:M60"/>
    <mergeCell ref="C61:M61"/>
    <mergeCell ref="B65:M65"/>
    <mergeCell ref="C51:D51"/>
    <mergeCell ref="C52:D52"/>
    <mergeCell ref="C53:D53"/>
    <mergeCell ref="C54:D54"/>
    <mergeCell ref="C55:M55"/>
    <mergeCell ref="C46:D46"/>
    <mergeCell ref="C47:D47"/>
    <mergeCell ref="C48:D48"/>
    <mergeCell ref="C49:D49"/>
    <mergeCell ref="C50:D50"/>
    <mergeCell ref="B40:M40"/>
    <mergeCell ref="B42:M42"/>
    <mergeCell ref="B43:M43"/>
    <mergeCell ref="C44:M44"/>
    <mergeCell ref="C45:M45"/>
    <mergeCell ref="B35:M35"/>
    <mergeCell ref="B36:M36"/>
    <mergeCell ref="B37:M37"/>
    <mergeCell ref="B38:M38"/>
    <mergeCell ref="B39:M39"/>
    <mergeCell ref="B30:M30"/>
    <mergeCell ref="B31:M31"/>
    <mergeCell ref="B32:M32"/>
    <mergeCell ref="B33:M33"/>
    <mergeCell ref="B34:M34"/>
    <mergeCell ref="H8:I8"/>
    <mergeCell ref="C9:F9"/>
    <mergeCell ref="H9:K9"/>
    <mergeCell ref="B10:B11"/>
    <mergeCell ref="B17:M17"/>
    <mergeCell ref="B1:M1"/>
    <mergeCell ref="C3:D3"/>
    <mergeCell ref="C4:D4"/>
    <mergeCell ref="B6:M6"/>
    <mergeCell ref="C7:D7"/>
    <mergeCell ref="H7:I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</sheetPr>
  <dimension ref="A1:ALW174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H31" sqref="H31"/>
    </sheetView>
  </sheetViews>
  <sheetFormatPr defaultColWidth="10.625"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5" max="25" width="11.625" customWidth="1"/>
  </cols>
  <sheetData>
    <row r="1" spans="1:1011" ht="15" customHeight="1" x14ac:dyDescent="0.2">
      <c r="A1" s="270"/>
      <c r="B1" s="270"/>
      <c r="C1" s="860" t="s">
        <v>335</v>
      </c>
      <c r="D1" s="860"/>
      <c r="E1" s="860"/>
      <c r="F1" s="860"/>
      <c r="G1" s="860"/>
      <c r="H1" s="860"/>
      <c r="I1" s="861" t="s">
        <v>336</v>
      </c>
      <c r="J1" s="861"/>
      <c r="K1" s="861"/>
      <c r="L1" s="862" t="s">
        <v>337</v>
      </c>
      <c r="M1" s="862"/>
      <c r="N1" s="862"/>
      <c r="O1" s="270"/>
      <c r="P1" s="270"/>
      <c r="Q1" s="270"/>
      <c r="R1" s="270"/>
      <c r="S1" s="270"/>
      <c r="T1" s="270"/>
      <c r="U1" s="270"/>
      <c r="V1" s="863"/>
      <c r="W1" s="863"/>
      <c r="X1" s="863"/>
      <c r="Y1" s="270"/>
    </row>
    <row r="2" spans="1:1011" ht="45.95" customHeight="1" x14ac:dyDescent="0.2">
      <c r="A2" s="864" t="s">
        <v>343</v>
      </c>
      <c r="B2" s="864" t="s">
        <v>344</v>
      </c>
      <c r="C2" s="865" t="s">
        <v>413</v>
      </c>
      <c r="D2" s="845" t="s">
        <v>345</v>
      </c>
      <c r="E2" s="845" t="s">
        <v>346</v>
      </c>
      <c r="F2" s="846" t="s">
        <v>347</v>
      </c>
      <c r="G2" s="844" t="s">
        <v>348</v>
      </c>
      <c r="H2" s="866" t="s">
        <v>414</v>
      </c>
      <c r="I2" s="867" t="s">
        <v>350</v>
      </c>
      <c r="J2" s="847" t="s">
        <v>415</v>
      </c>
      <c r="K2" s="868" t="s">
        <v>352</v>
      </c>
      <c r="L2" s="869" t="s">
        <v>353</v>
      </c>
      <c r="M2" s="849" t="s">
        <v>354</v>
      </c>
      <c r="N2" s="870" t="s">
        <v>355</v>
      </c>
      <c r="O2" s="871" t="s">
        <v>416</v>
      </c>
      <c r="P2" s="872" t="s">
        <v>361</v>
      </c>
      <c r="Q2" s="872"/>
      <c r="R2" s="872"/>
      <c r="S2" s="872"/>
      <c r="T2" s="873" t="s">
        <v>362</v>
      </c>
      <c r="U2" s="873"/>
      <c r="V2" s="287" t="s">
        <v>417</v>
      </c>
      <c r="W2" s="288" t="s">
        <v>418</v>
      </c>
      <c r="X2" s="289" t="s">
        <v>419</v>
      </c>
      <c r="Y2" s="290" t="s">
        <v>420</v>
      </c>
    </row>
    <row r="3" spans="1:1011" x14ac:dyDescent="0.2">
      <c r="A3" s="864"/>
      <c r="B3" s="864"/>
      <c r="C3" s="864"/>
      <c r="D3" s="845"/>
      <c r="E3" s="845"/>
      <c r="F3" s="846"/>
      <c r="G3" s="844"/>
      <c r="H3" s="866"/>
      <c r="I3" s="867"/>
      <c r="J3" s="847"/>
      <c r="K3" s="868"/>
      <c r="L3" s="869"/>
      <c r="M3" s="849"/>
      <c r="N3" s="870"/>
      <c r="O3" s="871"/>
      <c r="P3" s="223" t="s">
        <v>366</v>
      </c>
      <c r="Q3" s="223" t="s">
        <v>367</v>
      </c>
      <c r="R3" s="223" t="s">
        <v>368</v>
      </c>
      <c r="S3" s="224" t="s">
        <v>369</v>
      </c>
      <c r="T3" s="225" t="s">
        <v>370</v>
      </c>
      <c r="U3" s="225" t="s">
        <v>371</v>
      </c>
      <c r="V3" s="292" t="s">
        <v>421</v>
      </c>
      <c r="W3" s="293" t="s">
        <v>421</v>
      </c>
      <c r="X3" s="294" t="s">
        <v>422</v>
      </c>
      <c r="Y3" s="290" t="s">
        <v>370</v>
      </c>
    </row>
    <row r="4" spans="1:1011" ht="15" thickBot="1" x14ac:dyDescent="0.25">
      <c r="A4" s="595" t="s">
        <v>118</v>
      </c>
      <c r="B4" s="596">
        <f>MC!C89</f>
        <v>0.05</v>
      </c>
      <c r="C4" s="597">
        <v>1050.8399999999999</v>
      </c>
      <c r="D4" s="297">
        <f t="shared" ref="D4:D6" si="0">C4-E4-F4-G4-H4</f>
        <v>243.4733333333333</v>
      </c>
      <c r="E4" s="298">
        <f t="shared" ref="E4:E9" si="1">$E$15*(1-H4/$H$15)</f>
        <v>631.78666666666663</v>
      </c>
      <c r="F4" s="598">
        <v>128.27000000000001</v>
      </c>
      <c r="G4" s="599">
        <v>0</v>
      </c>
      <c r="H4" s="598">
        <v>47.31</v>
      </c>
      <c r="I4" s="598">
        <v>33.119999999999997</v>
      </c>
      <c r="J4" s="599">
        <v>0</v>
      </c>
      <c r="K4" s="598">
        <v>0</v>
      </c>
      <c r="L4" s="599">
        <v>0</v>
      </c>
      <c r="M4" s="599">
        <v>0</v>
      </c>
      <c r="N4" s="600">
        <v>238.02</v>
      </c>
      <c r="O4" s="232">
        <f t="shared" ref="O4:O13" si="2">D4/$D$15+E4/$E$15+F4/$F$15+G4/$G$15+H4/$H$15+I4/$I$15+J4/$J$15+K4/$K$15+M4/$M$15*16*1/188.76+N4/$N$15*16*1/188.76</f>
        <v>1.4613483181650884</v>
      </c>
      <c r="P4" s="232">
        <v>1</v>
      </c>
      <c r="Q4" s="232"/>
      <c r="R4" s="232"/>
      <c r="S4" s="632">
        <v>1</v>
      </c>
      <c r="T4" s="233"/>
      <c r="U4" s="233"/>
      <c r="V4" s="301">
        <v>6</v>
      </c>
      <c r="W4" s="302">
        <v>6</v>
      </c>
      <c r="X4" s="303">
        <v>22</v>
      </c>
      <c r="Y4" s="304">
        <v>1</v>
      </c>
    </row>
    <row r="5" spans="1:1011" x14ac:dyDescent="0.2">
      <c r="A5" s="305" t="s">
        <v>119</v>
      </c>
      <c r="B5" s="601">
        <f>MC!C90</f>
        <v>0.05</v>
      </c>
      <c r="C5" s="597">
        <v>1050.8399999999999</v>
      </c>
      <c r="D5" s="297">
        <f t="shared" si="0"/>
        <v>243.4733333333333</v>
      </c>
      <c r="E5" s="603">
        <f t="shared" si="1"/>
        <v>631.78666666666663</v>
      </c>
      <c r="F5" s="604">
        <v>128.27000000000001</v>
      </c>
      <c r="G5" s="605"/>
      <c r="H5" s="604">
        <v>47.31</v>
      </c>
      <c r="I5" s="604">
        <v>33.119999999999997</v>
      </c>
      <c r="J5" s="605"/>
      <c r="K5" s="598">
        <v>0</v>
      </c>
      <c r="L5" s="605"/>
      <c r="M5" s="605"/>
      <c r="N5" s="606">
        <v>238.02</v>
      </c>
      <c r="O5" s="232">
        <f t="shared" si="2"/>
        <v>1.4613483181650884</v>
      </c>
      <c r="P5" s="262">
        <v>1</v>
      </c>
      <c r="Q5" s="308"/>
      <c r="R5" s="308"/>
      <c r="S5" s="635">
        <v>1</v>
      </c>
      <c r="T5" s="309">
        <v>1</v>
      </c>
      <c r="U5" s="309"/>
      <c r="V5" s="310">
        <v>6</v>
      </c>
      <c r="W5" s="311">
        <v>6</v>
      </c>
      <c r="X5" s="312"/>
      <c r="Y5" s="313"/>
    </row>
    <row r="6" spans="1:1011" x14ac:dyDescent="0.2">
      <c r="A6" s="305" t="s">
        <v>120</v>
      </c>
      <c r="B6" s="601">
        <f>MC!C91</f>
        <v>0.03</v>
      </c>
      <c r="C6" s="602">
        <v>945.48</v>
      </c>
      <c r="D6" s="297">
        <f t="shared" si="0"/>
        <v>15.372222222222257</v>
      </c>
      <c r="E6" s="603">
        <f t="shared" si="1"/>
        <v>748.97777777777776</v>
      </c>
      <c r="F6" s="604">
        <v>166.78</v>
      </c>
      <c r="G6" s="605">
        <v>0</v>
      </c>
      <c r="H6" s="604">
        <v>14.35</v>
      </c>
      <c r="I6" s="604">
        <v>675.84</v>
      </c>
      <c r="J6" s="604">
        <v>825.44</v>
      </c>
      <c r="K6" s="604">
        <v>0</v>
      </c>
      <c r="L6" s="605">
        <v>0</v>
      </c>
      <c r="M6" s="605">
        <v>0</v>
      </c>
      <c r="N6" s="606">
        <v>128.71</v>
      </c>
      <c r="O6" s="232">
        <f t="shared" si="2"/>
        <v>1.542833375706643</v>
      </c>
      <c r="P6" s="262">
        <v>1</v>
      </c>
      <c r="Q6" s="308"/>
      <c r="R6" s="308"/>
      <c r="S6" s="635">
        <v>1</v>
      </c>
      <c r="T6" s="309" t="s">
        <v>606</v>
      </c>
      <c r="U6" s="309"/>
      <c r="V6" s="310">
        <v>6</v>
      </c>
      <c r="W6" s="311">
        <v>36</v>
      </c>
      <c r="X6" s="314"/>
      <c r="Y6" s="313"/>
    </row>
    <row r="7" spans="1:1011" x14ac:dyDescent="0.2">
      <c r="A7" s="305" t="s">
        <v>121</v>
      </c>
      <c r="B7" s="601">
        <f>MC!C92</f>
        <v>0.03</v>
      </c>
      <c r="C7" s="602">
        <v>1360.35</v>
      </c>
      <c r="D7" s="297">
        <f>C7-E7-F7-G7-H7</f>
        <v>640.69555555555542</v>
      </c>
      <c r="E7" s="603">
        <f t="shared" si="1"/>
        <v>537.88444444444451</v>
      </c>
      <c r="F7" s="604">
        <v>108.05</v>
      </c>
      <c r="G7" s="605">
        <v>0</v>
      </c>
      <c r="H7" s="604">
        <v>73.72</v>
      </c>
      <c r="I7" s="604">
        <v>92.82</v>
      </c>
      <c r="J7" s="605">
        <v>0</v>
      </c>
      <c r="K7" s="604">
        <v>0</v>
      </c>
      <c r="L7" s="605">
        <v>0</v>
      </c>
      <c r="M7" s="605">
        <v>0</v>
      </c>
      <c r="N7" s="606">
        <v>346.08</v>
      </c>
      <c r="O7" s="232">
        <f t="shared" si="2"/>
        <v>2.0016668881490651</v>
      </c>
      <c r="P7" s="232">
        <v>1</v>
      </c>
      <c r="Q7" s="232"/>
      <c r="R7" s="232"/>
      <c r="S7" s="635">
        <v>1</v>
      </c>
      <c r="T7" s="233"/>
      <c r="U7" s="233">
        <v>1</v>
      </c>
      <c r="V7" s="310">
        <v>6</v>
      </c>
      <c r="W7" s="311">
        <v>6</v>
      </c>
      <c r="X7" s="314"/>
      <c r="Y7" s="313"/>
    </row>
    <row r="8" spans="1:1011" x14ac:dyDescent="0.2">
      <c r="A8" s="305" t="s">
        <v>122</v>
      </c>
      <c r="B8" s="601">
        <f>MC!C93</f>
        <v>0.03</v>
      </c>
      <c r="C8" s="602">
        <v>611</v>
      </c>
      <c r="D8" s="297"/>
      <c r="E8" s="603">
        <f t="shared" si="1"/>
        <v>800</v>
      </c>
      <c r="F8" s="604"/>
      <c r="G8" s="605">
        <v>0</v>
      </c>
      <c r="H8" s="604"/>
      <c r="I8" s="605"/>
      <c r="J8" s="605"/>
      <c r="K8" s="604"/>
      <c r="L8" s="605"/>
      <c r="M8" s="605"/>
      <c r="N8" s="606"/>
      <c r="O8" s="232">
        <f t="shared" si="2"/>
        <v>1</v>
      </c>
      <c r="P8" s="262">
        <v>1</v>
      </c>
      <c r="Q8" s="308"/>
      <c r="R8" s="308"/>
      <c r="S8" s="635"/>
      <c r="T8" s="309" t="s">
        <v>606</v>
      </c>
      <c r="U8" s="309"/>
      <c r="V8" s="310">
        <v>6</v>
      </c>
      <c r="W8" s="311">
        <v>36</v>
      </c>
      <c r="X8" s="314"/>
      <c r="Y8" s="313"/>
    </row>
    <row r="9" spans="1:1011" x14ac:dyDescent="0.2">
      <c r="A9" s="305" t="s">
        <v>123</v>
      </c>
      <c r="B9" s="601">
        <f>MC!C94</f>
        <v>0.03</v>
      </c>
      <c r="C9" s="602">
        <v>991.76</v>
      </c>
      <c r="D9" s="297">
        <f t="shared" ref="D9:D12" si="3">C9-E9-F9-G9-H9</f>
        <v>178.98999999999995</v>
      </c>
      <c r="E9" s="603">
        <f t="shared" si="1"/>
        <v>598.08000000000004</v>
      </c>
      <c r="F9" s="604">
        <v>157.9</v>
      </c>
      <c r="G9" s="605">
        <v>0</v>
      </c>
      <c r="H9" s="604">
        <v>56.79</v>
      </c>
      <c r="I9" s="604">
        <v>784.73</v>
      </c>
      <c r="J9" s="604">
        <v>68.680000000000007</v>
      </c>
      <c r="K9" s="604">
        <v>0</v>
      </c>
      <c r="L9" s="605">
        <v>0</v>
      </c>
      <c r="M9" s="605">
        <v>0</v>
      </c>
      <c r="N9" s="606">
        <v>263.36</v>
      </c>
      <c r="O9" s="232">
        <f t="shared" si="2"/>
        <v>1.824397797767517</v>
      </c>
      <c r="P9" s="262">
        <v>1</v>
      </c>
      <c r="Q9" s="308"/>
      <c r="R9" s="308"/>
      <c r="S9" s="635">
        <v>1</v>
      </c>
      <c r="T9" s="309"/>
      <c r="U9" s="309">
        <v>1</v>
      </c>
      <c r="V9" s="310">
        <v>6</v>
      </c>
      <c r="W9" s="311">
        <v>6</v>
      </c>
      <c r="X9" s="314"/>
      <c r="Y9" s="313"/>
    </row>
    <row r="10" spans="1:1011" x14ac:dyDescent="0.2">
      <c r="A10" s="305" t="s">
        <v>124</v>
      </c>
      <c r="B10" s="601">
        <f>MC!C95</f>
        <v>2.5000000000000001E-2</v>
      </c>
      <c r="C10" s="602">
        <v>904.82999999999993</v>
      </c>
      <c r="D10" s="297"/>
      <c r="E10" s="603">
        <f>($E$15*30/40)*(1-H10/$H$15)</f>
        <v>600</v>
      </c>
      <c r="F10" s="604"/>
      <c r="G10" s="605">
        <v>0</v>
      </c>
      <c r="H10" s="604"/>
      <c r="I10" s="604"/>
      <c r="J10" s="604"/>
      <c r="K10" s="604">
        <v>0</v>
      </c>
      <c r="L10" s="605">
        <v>0</v>
      </c>
      <c r="M10" s="605">
        <v>0</v>
      </c>
      <c r="N10" s="606"/>
      <c r="O10" s="232">
        <f t="shared" si="2"/>
        <v>0.75</v>
      </c>
      <c r="P10" s="232"/>
      <c r="Q10" s="232"/>
      <c r="R10" s="232">
        <v>1</v>
      </c>
      <c r="S10" s="635"/>
      <c r="T10" s="233"/>
      <c r="U10" s="233">
        <v>1</v>
      </c>
      <c r="V10" s="310">
        <v>6</v>
      </c>
      <c r="W10" s="311">
        <v>6</v>
      </c>
      <c r="X10" s="314"/>
      <c r="Y10" s="313"/>
    </row>
    <row r="11" spans="1:1011" x14ac:dyDescent="0.2">
      <c r="A11" s="305" t="s">
        <v>125</v>
      </c>
      <c r="B11" s="601">
        <f>MC!C96</f>
        <v>0.03</v>
      </c>
      <c r="C11" s="602">
        <v>400.37</v>
      </c>
      <c r="D11" s="297"/>
      <c r="E11" s="603">
        <f>($E$15*30/40)*(1-H11/$H$15)</f>
        <v>600</v>
      </c>
      <c r="F11" s="604"/>
      <c r="G11" s="605">
        <v>0</v>
      </c>
      <c r="H11" s="604"/>
      <c r="I11" s="604"/>
      <c r="J11" s="604"/>
      <c r="K11" s="604"/>
      <c r="L11" s="605"/>
      <c r="M11" s="605"/>
      <c r="N11" s="606"/>
      <c r="O11" s="232">
        <f t="shared" si="2"/>
        <v>0.75</v>
      </c>
      <c r="P11" s="262"/>
      <c r="Q11" s="308"/>
      <c r="R11" s="308">
        <v>1</v>
      </c>
      <c r="S11" s="635"/>
      <c r="T11" s="309">
        <v>1</v>
      </c>
      <c r="U11" s="309"/>
      <c r="V11" s="310">
        <v>6</v>
      </c>
      <c r="W11" s="311">
        <v>6</v>
      </c>
      <c r="X11" s="314"/>
      <c r="Y11" s="313"/>
    </row>
    <row r="12" spans="1:1011" x14ac:dyDescent="0.2">
      <c r="A12" s="305" t="s">
        <v>126</v>
      </c>
      <c r="B12" s="601">
        <f>MC!C97</f>
        <v>0.03</v>
      </c>
      <c r="C12" s="602">
        <v>1050.68</v>
      </c>
      <c r="D12" s="297">
        <f t="shared" si="3"/>
        <v>203.64666666666673</v>
      </c>
      <c r="E12" s="603">
        <f>$E$15*(1-H12/$H$15)</f>
        <v>679.25333333333333</v>
      </c>
      <c r="F12" s="604">
        <v>133.82</v>
      </c>
      <c r="G12" s="605">
        <v>0</v>
      </c>
      <c r="H12" s="604">
        <v>33.96</v>
      </c>
      <c r="I12" s="604">
        <v>215.19</v>
      </c>
      <c r="J12" s="604">
        <v>674.18</v>
      </c>
      <c r="K12" s="604">
        <v>0</v>
      </c>
      <c r="L12" s="605">
        <v>0</v>
      </c>
      <c r="M12" s="605">
        <v>0</v>
      </c>
      <c r="N12" s="606">
        <v>221.25</v>
      </c>
      <c r="O12" s="232">
        <f t="shared" si="2"/>
        <v>1.5194160279809505</v>
      </c>
      <c r="P12" s="262"/>
      <c r="Q12" s="308"/>
      <c r="R12" s="308">
        <v>1</v>
      </c>
      <c r="S12" s="635"/>
      <c r="T12" s="309"/>
      <c r="U12" s="309">
        <v>1</v>
      </c>
      <c r="V12" s="310">
        <v>6</v>
      </c>
      <c r="W12" s="311">
        <v>6</v>
      </c>
      <c r="X12" s="314"/>
      <c r="Y12" s="313"/>
    </row>
    <row r="13" spans="1:1011" x14ac:dyDescent="0.2">
      <c r="A13" s="315" t="s">
        <v>127</v>
      </c>
      <c r="B13" s="607">
        <f>MC!C98</f>
        <v>0.02</v>
      </c>
      <c r="C13" s="608">
        <v>319.43</v>
      </c>
      <c r="D13" s="297"/>
      <c r="E13" s="609">
        <f>($E$15*30/40)*(1-H13/$H$15)</f>
        <v>600</v>
      </c>
      <c r="F13" s="610">
        <v>0</v>
      </c>
      <c r="G13" s="610">
        <v>0</v>
      </c>
      <c r="H13" s="611"/>
      <c r="I13" s="611"/>
      <c r="J13" s="611"/>
      <c r="K13" s="611"/>
      <c r="L13" s="610"/>
      <c r="M13" s="610"/>
      <c r="N13" s="612"/>
      <c r="O13" s="232">
        <f t="shared" si="2"/>
        <v>0.75</v>
      </c>
      <c r="P13" s="262"/>
      <c r="Q13" s="308"/>
      <c r="R13" s="308">
        <v>1</v>
      </c>
      <c r="S13" s="635"/>
      <c r="T13" s="309"/>
      <c r="U13" s="309">
        <v>1</v>
      </c>
      <c r="V13" s="310">
        <v>6</v>
      </c>
      <c r="W13" s="311">
        <v>6</v>
      </c>
      <c r="X13" s="314"/>
      <c r="Y13" s="313"/>
    </row>
    <row r="14" spans="1:1011" x14ac:dyDescent="0.2">
      <c r="A14" s="320" t="s">
        <v>423</v>
      </c>
      <c r="B14" s="320"/>
      <c r="C14" s="320"/>
      <c r="D14" s="321">
        <f t="shared" ref="D14:Y14" si="4">SUM(D4:D13)</f>
        <v>1525.651111111111</v>
      </c>
      <c r="E14" s="321">
        <f t="shared" si="4"/>
        <v>6427.7688888888888</v>
      </c>
      <c r="F14" s="322">
        <f t="shared" si="4"/>
        <v>823.08999999999992</v>
      </c>
      <c r="G14" s="322">
        <f t="shared" si="4"/>
        <v>0</v>
      </c>
      <c r="H14" s="322">
        <f t="shared" si="4"/>
        <v>273.44</v>
      </c>
      <c r="I14" s="322">
        <f t="shared" si="4"/>
        <v>1834.8200000000002</v>
      </c>
      <c r="J14" s="322">
        <f t="shared" si="4"/>
        <v>1568.3000000000002</v>
      </c>
      <c r="K14" s="322">
        <f t="shared" si="4"/>
        <v>0</v>
      </c>
      <c r="L14" s="322">
        <f t="shared" si="4"/>
        <v>0</v>
      </c>
      <c r="M14" s="322">
        <f t="shared" si="4"/>
        <v>0</v>
      </c>
      <c r="N14" s="323">
        <f t="shared" si="4"/>
        <v>1435.44</v>
      </c>
      <c r="O14" s="324">
        <f t="shared" si="4"/>
        <v>13.061010725934352</v>
      </c>
      <c r="P14" s="326">
        <f t="shared" si="4"/>
        <v>6</v>
      </c>
      <c r="Q14" s="326">
        <f t="shared" si="4"/>
        <v>0</v>
      </c>
      <c r="R14" s="326">
        <f t="shared" si="4"/>
        <v>4</v>
      </c>
      <c r="S14" s="326">
        <f t="shared" si="4"/>
        <v>5</v>
      </c>
      <c r="T14" s="327">
        <f t="shared" si="4"/>
        <v>2</v>
      </c>
      <c r="U14" s="328">
        <f t="shared" si="4"/>
        <v>5</v>
      </c>
      <c r="V14" s="329">
        <f t="shared" si="4"/>
        <v>60</v>
      </c>
      <c r="W14" s="330">
        <f t="shared" si="4"/>
        <v>120</v>
      </c>
      <c r="X14" s="331">
        <f t="shared" si="4"/>
        <v>22</v>
      </c>
      <c r="Y14" s="332">
        <f t="shared" si="4"/>
        <v>1</v>
      </c>
      <c r="ALT14" s="242"/>
      <c r="ALU14" s="242"/>
      <c r="ALV14" s="242"/>
      <c r="ALW14" s="242"/>
    </row>
    <row r="15" spans="1:1011" ht="15" x14ac:dyDescent="0.25">
      <c r="A15" s="333" t="s">
        <v>424</v>
      </c>
      <c r="B15" s="333"/>
      <c r="C15" s="333"/>
      <c r="D15" s="334">
        <v>800</v>
      </c>
      <c r="E15" s="334">
        <v>800</v>
      </c>
      <c r="F15" s="335">
        <v>1500</v>
      </c>
      <c r="G15" s="335">
        <v>1000</v>
      </c>
      <c r="H15" s="335">
        <v>225</v>
      </c>
      <c r="I15" s="335">
        <v>1800</v>
      </c>
      <c r="J15" s="335">
        <v>100000</v>
      </c>
      <c r="K15" s="335">
        <v>9000</v>
      </c>
      <c r="L15" s="335">
        <v>160</v>
      </c>
      <c r="M15" s="335">
        <v>380</v>
      </c>
      <c r="N15" s="336">
        <v>380</v>
      </c>
      <c r="O15" s="337"/>
      <c r="P15" s="338" t="s">
        <v>425</v>
      </c>
      <c r="Q15" s="339">
        <f>P14+Q14+R14+S14</f>
        <v>15</v>
      </c>
      <c r="R15" s="340"/>
      <c r="S15" s="340"/>
      <c r="T15" s="338" t="s">
        <v>425</v>
      </c>
      <c r="U15" s="341">
        <f>T14+U14</f>
        <v>7</v>
      </c>
      <c r="V15" s="342"/>
      <c r="W15" s="342"/>
      <c r="X15" s="342"/>
      <c r="Y15" s="272"/>
      <c r="ALW15" s="273"/>
    </row>
    <row r="16" spans="1:1011" ht="15" x14ac:dyDescent="0.25">
      <c r="A16" s="343" t="s">
        <v>426</v>
      </c>
      <c r="B16" s="343"/>
      <c r="C16" s="343"/>
      <c r="D16" s="344">
        <f t="shared" ref="D16:K16" si="5">D14/D15</f>
        <v>1.9070638888888889</v>
      </c>
      <c r="E16" s="344">
        <f t="shared" si="5"/>
        <v>8.0347111111111111</v>
      </c>
      <c r="F16" s="345">
        <f t="shared" si="5"/>
        <v>0.54872666666666658</v>
      </c>
      <c r="G16" s="345">
        <f t="shared" si="5"/>
        <v>0</v>
      </c>
      <c r="H16" s="345">
        <f t="shared" si="5"/>
        <v>1.2152888888888889</v>
      </c>
      <c r="I16" s="345">
        <f t="shared" si="5"/>
        <v>1.0193444444444446</v>
      </c>
      <c r="J16" s="345">
        <f t="shared" si="5"/>
        <v>1.5683000000000002E-2</v>
      </c>
      <c r="K16" s="345">
        <f t="shared" si="5"/>
        <v>0</v>
      </c>
      <c r="L16" s="345">
        <f>1/L15*8*1/1132.6*L14</f>
        <v>0</v>
      </c>
      <c r="M16" s="345">
        <f>1/M15*16*1/188.76*M14</f>
        <v>0</v>
      </c>
      <c r="N16" s="346">
        <f>1/N15*16*1/188.76*N14</f>
        <v>0.32019272593435277</v>
      </c>
      <c r="O16" s="347">
        <f>SUM(D16:N16)-L16</f>
        <v>13.061010725934352</v>
      </c>
      <c r="P16" s="338" t="s">
        <v>427</v>
      </c>
      <c r="Q16" s="341">
        <f>P14+Q14+((R14+S14)*0.75)</f>
        <v>12.75</v>
      </c>
      <c r="R16" s="272"/>
      <c r="S16" s="272"/>
      <c r="T16" s="348"/>
      <c r="U16" s="272"/>
      <c r="V16" s="272"/>
      <c r="W16" s="272"/>
      <c r="X16" s="272"/>
      <c r="Y16" s="272"/>
      <c r="ALW16" s="273"/>
    </row>
    <row r="17" spans="1:1011" ht="15.75" thickBot="1" x14ac:dyDescent="0.3">
      <c r="A17" s="349" t="s">
        <v>428</v>
      </c>
      <c r="B17" s="349"/>
      <c r="C17" s="349"/>
      <c r="D17" s="350">
        <f t="shared" ref="D17:K17" si="6">D14/($O16*D15)</f>
        <v>0.14601196866810337</v>
      </c>
      <c r="E17" s="350">
        <f t="shared" si="6"/>
        <v>0.61516763745987413</v>
      </c>
      <c r="F17" s="351">
        <f t="shared" si="6"/>
        <v>4.2012573006857561E-2</v>
      </c>
      <c r="G17" s="351">
        <f t="shared" si="6"/>
        <v>0</v>
      </c>
      <c r="H17" s="351">
        <f t="shared" si="6"/>
        <v>9.3047078391549978E-2</v>
      </c>
      <c r="I17" s="351">
        <f t="shared" si="6"/>
        <v>7.8044836332643253E-2</v>
      </c>
      <c r="J17" s="351">
        <f t="shared" si="6"/>
        <v>1.2007493393186904E-3</v>
      </c>
      <c r="K17" s="351">
        <f t="shared" si="6"/>
        <v>0</v>
      </c>
      <c r="L17" s="351">
        <f>1/$O16*1/L15*16*1/188.76*L14</f>
        <v>0</v>
      </c>
      <c r="M17" s="351">
        <f>1/$O16*1/M15*16*1/188.76*M14</f>
        <v>0</v>
      </c>
      <c r="N17" s="351">
        <f>1/$O16*1/N15*16*1/188.76*N14</f>
        <v>2.4515156801653032E-2</v>
      </c>
      <c r="O17" s="352">
        <f>SUM(D17:N17)</f>
        <v>1</v>
      </c>
      <c r="P17" s="272"/>
      <c r="Q17" s="272"/>
      <c r="R17" s="272"/>
      <c r="S17" s="272"/>
      <c r="T17" s="272"/>
      <c r="U17" s="272"/>
      <c r="V17" s="272"/>
      <c r="W17" s="272"/>
      <c r="X17" s="272"/>
      <c r="Y17" s="273"/>
      <c r="ALW17" s="273"/>
    </row>
    <row r="18" spans="1:1011" ht="15" hidden="1" x14ac:dyDescent="0.25">
      <c r="A18" s="353" t="s">
        <v>429</v>
      </c>
      <c r="B18" s="353"/>
      <c r="C18" s="353"/>
      <c r="D18" s="354">
        <f>ROUND(1/D15,9)</f>
        <v>1.25E-3</v>
      </c>
      <c r="E18" s="354"/>
      <c r="F18" s="355">
        <f t="shared" ref="F18:K18" si="7">ROUND(1/F15,9)</f>
        <v>6.6666700000000002E-4</v>
      </c>
      <c r="G18" s="355">
        <f t="shared" si="7"/>
        <v>1E-3</v>
      </c>
      <c r="H18" s="355">
        <f t="shared" si="7"/>
        <v>4.4444439999999997E-3</v>
      </c>
      <c r="I18" s="355">
        <f t="shared" si="7"/>
        <v>5.5555600000000002E-4</v>
      </c>
      <c r="J18" s="355">
        <f t="shared" si="7"/>
        <v>1.0000000000000001E-5</v>
      </c>
      <c r="K18" s="355">
        <f t="shared" si="7"/>
        <v>1.11111E-4</v>
      </c>
      <c r="L18" s="356">
        <f>(1/L15)*(1/N23)*8</f>
        <v>4.8611111111111115E-5</v>
      </c>
      <c r="M18" s="356">
        <f>(1/M15)*(1/N22)*16</f>
        <v>2.4561403508771931E-4</v>
      </c>
      <c r="N18" s="357">
        <f>(1/N15)*(1/N22)*16</f>
        <v>2.4561403508771931E-4</v>
      </c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ALW18" s="273"/>
    </row>
    <row r="19" spans="1:1011" ht="15" hidden="1" x14ac:dyDescent="0.25">
      <c r="A19" s="358" t="s">
        <v>430</v>
      </c>
      <c r="B19" s="358"/>
      <c r="C19" s="358"/>
      <c r="D19" s="359">
        <f>D18/$Y$14</f>
        <v>1.25E-3</v>
      </c>
      <c r="E19" s="359"/>
      <c r="F19" s="360">
        <f t="shared" ref="F19:N19" si="8">F18/$Y$14</f>
        <v>6.6666700000000002E-4</v>
      </c>
      <c r="G19" s="360">
        <f t="shared" si="8"/>
        <v>1E-3</v>
      </c>
      <c r="H19" s="360">
        <f t="shared" si="8"/>
        <v>4.4444439999999997E-3</v>
      </c>
      <c r="I19" s="360">
        <f t="shared" si="8"/>
        <v>5.5555600000000002E-4</v>
      </c>
      <c r="J19" s="360">
        <f t="shared" si="8"/>
        <v>1.0000000000000001E-5</v>
      </c>
      <c r="K19" s="360">
        <f t="shared" si="8"/>
        <v>1.11111E-4</v>
      </c>
      <c r="L19" s="361">
        <f t="shared" si="8"/>
        <v>4.8611111111111115E-5</v>
      </c>
      <c r="M19" s="361">
        <f t="shared" si="8"/>
        <v>2.4561403508771931E-4</v>
      </c>
      <c r="N19" s="362">
        <f t="shared" si="8"/>
        <v>2.4561403508771931E-4</v>
      </c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ALW19" s="273"/>
    </row>
    <row r="20" spans="1:1011" ht="15.75" thickBot="1" x14ac:dyDescent="0.3">
      <c r="A20" s="363" t="s">
        <v>431</v>
      </c>
      <c r="B20" s="363"/>
      <c r="C20" s="363"/>
      <c r="D20" s="364" t="s">
        <v>432</v>
      </c>
      <c r="E20" s="364" t="s">
        <v>432</v>
      </c>
      <c r="F20" s="365" t="s">
        <v>433</v>
      </c>
      <c r="G20" s="365" t="s">
        <v>434</v>
      </c>
      <c r="H20" s="365" t="s">
        <v>435</v>
      </c>
      <c r="I20" s="366" t="s">
        <v>436</v>
      </c>
      <c r="J20" s="366">
        <v>100000</v>
      </c>
      <c r="K20" s="366" t="s">
        <v>437</v>
      </c>
      <c r="L20" s="367" t="s">
        <v>438</v>
      </c>
      <c r="M20" s="367" t="s">
        <v>439</v>
      </c>
      <c r="N20" s="368" t="s">
        <v>439</v>
      </c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ALW20" s="273"/>
    </row>
    <row r="21" spans="1:1011" ht="15" hidden="1" x14ac:dyDescent="0.25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ALT21" s="242"/>
      <c r="ALU21" s="242"/>
      <c r="ALV21" s="242"/>
      <c r="ALW21" s="242"/>
    </row>
    <row r="22" spans="1:1011" ht="15" hidden="1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369">
        <f>30/7</f>
        <v>4.2857142857142856</v>
      </c>
      <c r="M22" s="369">
        <v>40</v>
      </c>
      <c r="N22" s="369">
        <f>L22*M22</f>
        <v>171.42857142857142</v>
      </c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ALT22" s="242"/>
      <c r="ALU22" s="242"/>
      <c r="ALV22" s="242"/>
      <c r="ALW22" s="242"/>
    </row>
    <row r="23" spans="1:1011" ht="15" hidden="1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369"/>
      <c r="M23" s="369"/>
      <c r="N23" s="369">
        <f>N22*6</f>
        <v>1028.5714285714284</v>
      </c>
      <c r="O23" s="369" t="s">
        <v>440</v>
      </c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ALT23" s="242"/>
      <c r="ALU23" s="242"/>
      <c r="ALV23" s="242"/>
      <c r="ALW23" s="242"/>
    </row>
    <row r="174" spans="4:4" x14ac:dyDescent="0.2">
      <c r="D174" t="e">
        <f>(1/'Prod. GEXPEL'!L18)*(1/('Prod. GEXPEL'!L19))*8</f>
        <v>#DIV/0!</v>
      </c>
    </row>
  </sheetData>
  <mergeCells count="21">
    <mergeCell ref="M2:M3"/>
    <mergeCell ref="N2:N3"/>
    <mergeCell ref="O2:O3"/>
    <mergeCell ref="P2:S2"/>
    <mergeCell ref="T2:U2"/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D7EE"/>
  </sheetPr>
  <dimension ref="A1:AMJ205"/>
  <sheetViews>
    <sheetView zoomScaleNormal="100" workbookViewId="0">
      <pane xSplit="2" ySplit="12" topLeftCell="L163" activePane="bottomRight" state="frozen"/>
      <selection pane="topRight"/>
      <selection pane="bottomLeft"/>
      <selection pane="bottomRight" activeCell="K146" sqref="K146"/>
    </sheetView>
  </sheetViews>
  <sheetFormatPr defaultColWidth="10.5" defaultRowHeight="14.25" x14ac:dyDescent="0.2"/>
  <cols>
    <col min="1" max="1" width="58.125" style="369" customWidth="1"/>
    <col min="2" max="2" width="16.25" style="369" customWidth="1"/>
    <col min="3" max="12" width="14" style="369" customWidth="1"/>
    <col min="13" max="13" width="15.125" style="369" customWidth="1"/>
    <col min="14" max="14" width="10.5" style="369"/>
    <col min="15" max="15" width="14.25" style="369" customWidth="1"/>
    <col min="16" max="1024" width="10.5" style="369"/>
  </cols>
  <sheetData>
    <row r="1" spans="1:1024" ht="15.75" x14ac:dyDescent="0.2">
      <c r="A1" s="878" t="s">
        <v>441</v>
      </c>
      <c r="B1" s="878"/>
      <c r="C1" s="878"/>
      <c r="D1" s="878"/>
      <c r="E1" s="878"/>
      <c r="F1" s="878"/>
      <c r="G1" s="878"/>
      <c r="H1" s="878"/>
      <c r="I1" s="878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">
      <c r="A2" s="879" t="s">
        <v>442</v>
      </c>
      <c r="B2" s="879"/>
      <c r="C2" s="879"/>
      <c r="D2" s="879"/>
      <c r="E2" s="879"/>
      <c r="F2" s="879"/>
      <c r="G2" s="879"/>
      <c r="H2" s="879"/>
      <c r="I2" s="879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879" t="s">
        <v>443</v>
      </c>
      <c r="B3" s="879"/>
      <c r="C3" s="879"/>
      <c r="D3" s="879"/>
      <c r="E3" s="879"/>
      <c r="F3" s="879"/>
      <c r="G3" s="879"/>
      <c r="H3" s="879"/>
      <c r="I3" s="879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" x14ac:dyDescent="0.2">
      <c r="A4" s="370"/>
      <c r="B4" s="371"/>
      <c r="C4" s="880" t="s">
        <v>444</v>
      </c>
      <c r="D4" s="880"/>
      <c r="E4" s="881" t="s">
        <v>445</v>
      </c>
      <c r="F4" s="881"/>
      <c r="G4" s="373" t="s">
        <v>446</v>
      </c>
      <c r="H4" s="374" t="s">
        <v>447</v>
      </c>
      <c r="I4" s="375" t="s">
        <v>448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376"/>
      <c r="B5" s="377" t="s">
        <v>449</v>
      </c>
      <c r="C5" s="882">
        <f>MC!D11</f>
        <v>1194.6272727272726</v>
      </c>
      <c r="D5" s="882"/>
      <c r="E5" s="882">
        <f>MC!E11</f>
        <v>895.97045454545446</v>
      </c>
      <c r="F5" s="882"/>
      <c r="G5" s="379">
        <f>MC!F11</f>
        <v>597.31363636363631</v>
      </c>
      <c r="H5" s="380">
        <f>MC!C13</f>
        <v>1669.75</v>
      </c>
      <c r="I5" s="380">
        <f>MC!D12</f>
        <v>1673.9117345454545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376"/>
      <c r="B6" s="377" t="s">
        <v>450</v>
      </c>
      <c r="C6" s="883">
        <f>MC!$J8</f>
        <v>44562</v>
      </c>
      <c r="D6" s="883"/>
      <c r="E6" s="911">
        <f>MC!$J8</f>
        <v>44562</v>
      </c>
      <c r="F6" s="911"/>
      <c r="G6" s="382">
        <f>MC!$J8</f>
        <v>44562</v>
      </c>
      <c r="H6" s="383">
        <f>MC!$J8</f>
        <v>44562</v>
      </c>
      <c r="I6" s="383">
        <f>MC!$J8</f>
        <v>44562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376"/>
      <c r="B7" s="377" t="s">
        <v>451</v>
      </c>
      <c r="C7" s="883" t="str">
        <f>MC!D8</f>
        <v>RS005021/2022</v>
      </c>
      <c r="D7" s="883"/>
      <c r="E7" s="911" t="str">
        <f>MC!$H8</f>
        <v>RS000052/2022</v>
      </c>
      <c r="F7" s="911"/>
      <c r="G7" s="382" t="str">
        <f>MC!$H8</f>
        <v>RS000052/2022</v>
      </c>
      <c r="H7" s="383" t="str">
        <f>MC!$H8</f>
        <v>RS000052/2022</v>
      </c>
      <c r="I7" s="383" t="str">
        <f>MC!$H8</f>
        <v>RS000052/2022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376"/>
      <c r="B8" s="377" t="s">
        <v>452</v>
      </c>
      <c r="C8" s="884" t="str">
        <f>MC!$K8</f>
        <v>5143-20</v>
      </c>
      <c r="D8" s="884"/>
      <c r="E8" s="885" t="str">
        <f>MC!$K8</f>
        <v>5143-20</v>
      </c>
      <c r="F8" s="885"/>
      <c r="G8" s="385" t="str">
        <f>MC!$K8</f>
        <v>5143-20</v>
      </c>
      <c r="H8" s="386" t="str">
        <f>MC!$K8</f>
        <v>5143-20</v>
      </c>
      <c r="I8" s="386" t="str">
        <f>MC!$K8</f>
        <v>5143-20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886"/>
      <c r="B9" s="886"/>
      <c r="C9" s="886"/>
      <c r="D9" s="886"/>
      <c r="E9" s="886"/>
      <c r="F9" s="886"/>
      <c r="G9" s="886"/>
      <c r="H9" s="886"/>
      <c r="I9" s="886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56.1" customHeight="1" x14ac:dyDescent="0.2">
      <c r="A10" s="387" t="s">
        <v>453</v>
      </c>
      <c r="B10" s="388" t="s">
        <v>454</v>
      </c>
      <c r="C10" s="389" t="s">
        <v>455</v>
      </c>
      <c r="D10" s="389" t="s">
        <v>456</v>
      </c>
      <c r="E10" s="389" t="s">
        <v>457</v>
      </c>
      <c r="F10" s="389" t="s">
        <v>458</v>
      </c>
      <c r="G10" s="389" t="s">
        <v>459</v>
      </c>
      <c r="H10" s="389" t="s">
        <v>460</v>
      </c>
      <c r="I10" s="390" t="s">
        <v>461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4.25" customHeight="1" x14ac:dyDescent="0.2">
      <c r="A11" s="887" t="s">
        <v>462</v>
      </c>
      <c r="B11" s="887"/>
      <c r="C11" s="887"/>
      <c r="D11" s="887"/>
      <c r="E11" s="887"/>
      <c r="F11" s="887"/>
      <c r="G11" s="887"/>
      <c r="H11" s="887"/>
      <c r="I11" s="88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75" customHeight="1" x14ac:dyDescent="0.2">
      <c r="A12" s="391" t="s">
        <v>463</v>
      </c>
      <c r="B12" s="392" t="s">
        <v>464</v>
      </c>
      <c r="C12" s="392" t="s">
        <v>465</v>
      </c>
      <c r="D12" s="392" t="s">
        <v>465</v>
      </c>
      <c r="E12" s="392" t="s">
        <v>465</v>
      </c>
      <c r="F12" s="392" t="s">
        <v>465</v>
      </c>
      <c r="G12" s="392" t="s">
        <v>465</v>
      </c>
      <c r="H12" s="392" t="s">
        <v>465</v>
      </c>
      <c r="I12" s="393" t="s">
        <v>465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5.75" customHeight="1" x14ac:dyDescent="0.2">
      <c r="A13" s="394" t="s">
        <v>466</v>
      </c>
      <c r="B13" s="395"/>
      <c r="C13" s="396">
        <f>C5</f>
        <v>1194.6272727272726</v>
      </c>
      <c r="D13" s="396">
        <f>C5</f>
        <v>1194.6272727272726</v>
      </c>
      <c r="E13" s="397">
        <f>E5</f>
        <v>895.97045454545446</v>
      </c>
      <c r="F13" s="397">
        <f>E5</f>
        <v>895.97045454545446</v>
      </c>
      <c r="G13" s="397">
        <f>G5</f>
        <v>597.31363636363631</v>
      </c>
      <c r="H13" s="397">
        <f>H5</f>
        <v>1669.75</v>
      </c>
      <c r="I13" s="398">
        <f>I5</f>
        <v>1673.9117345454545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394" t="s">
        <v>467</v>
      </c>
      <c r="B14" s="399" t="s">
        <v>468</v>
      </c>
      <c r="C14" s="396">
        <f>C13*0.4</f>
        <v>477.85090909090906</v>
      </c>
      <c r="D14" s="396">
        <f>C13*0.2</f>
        <v>238.92545454545453</v>
      </c>
      <c r="E14" s="396">
        <f>E13*0.4</f>
        <v>358.38818181818181</v>
      </c>
      <c r="F14" s="396">
        <f>E13*0.2</f>
        <v>179.1940909090909</v>
      </c>
      <c r="G14" s="396">
        <f>G13*0.2</f>
        <v>119.46272727272726</v>
      </c>
      <c r="H14" s="400" t="s">
        <v>469</v>
      </c>
      <c r="I14" s="401" t="s">
        <v>469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75" customHeight="1" x14ac:dyDescent="0.2">
      <c r="A15" s="394" t="s">
        <v>470</v>
      </c>
      <c r="B15" s="402"/>
      <c r="C15" s="400" t="s">
        <v>469</v>
      </c>
      <c r="D15" s="400" t="s">
        <v>469</v>
      </c>
      <c r="E15" s="403" t="s">
        <v>469</v>
      </c>
      <c r="F15" s="403" t="s">
        <v>469</v>
      </c>
      <c r="G15" s="403" t="s">
        <v>469</v>
      </c>
      <c r="H15" s="403" t="s">
        <v>469</v>
      </c>
      <c r="I15" s="401" t="s">
        <v>469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 x14ac:dyDescent="0.2">
      <c r="A16" s="394" t="s">
        <v>471</v>
      </c>
      <c r="B16" s="402"/>
      <c r="C16" s="400" t="s">
        <v>469</v>
      </c>
      <c r="D16" s="400" t="s">
        <v>469</v>
      </c>
      <c r="E16" s="403" t="s">
        <v>469</v>
      </c>
      <c r="F16" s="403" t="s">
        <v>469</v>
      </c>
      <c r="G16" s="403" t="s">
        <v>469</v>
      </c>
      <c r="H16" s="403" t="s">
        <v>469</v>
      </c>
      <c r="I16" s="401" t="s">
        <v>469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 x14ac:dyDescent="0.2">
      <c r="A17" s="394" t="s">
        <v>472</v>
      </c>
      <c r="B17" s="402"/>
      <c r="C17" s="400" t="s">
        <v>469</v>
      </c>
      <c r="D17" s="400" t="s">
        <v>469</v>
      </c>
      <c r="E17" s="403" t="s">
        <v>469</v>
      </c>
      <c r="F17" s="403" t="s">
        <v>469</v>
      </c>
      <c r="G17" s="403" t="s">
        <v>469</v>
      </c>
      <c r="H17" s="403" t="s">
        <v>469</v>
      </c>
      <c r="I17" s="401" t="s">
        <v>469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customHeight="1" x14ac:dyDescent="0.2">
      <c r="A18" s="394" t="s">
        <v>473</v>
      </c>
      <c r="B18" s="404"/>
      <c r="C18" s="400" t="s">
        <v>469</v>
      </c>
      <c r="D18" s="400" t="s">
        <v>469</v>
      </c>
      <c r="E18" s="400" t="s">
        <v>469</v>
      </c>
      <c r="F18" s="400" t="s">
        <v>469</v>
      </c>
      <c r="G18" s="400" t="s">
        <v>469</v>
      </c>
      <c r="H18" s="403" t="s">
        <v>469</v>
      </c>
      <c r="I18" s="401" t="s">
        <v>469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customHeight="1" x14ac:dyDescent="0.2">
      <c r="A19" s="405" t="s">
        <v>474</v>
      </c>
      <c r="B19" s="406"/>
      <c r="C19" s="407">
        <f t="shared" ref="C19:I19" si="0">SUM(C13:C18)</f>
        <v>1672.4781818181816</v>
      </c>
      <c r="D19" s="408">
        <f t="shared" si="0"/>
        <v>1433.5527272727272</v>
      </c>
      <c r="E19" s="408">
        <f t="shared" si="0"/>
        <v>1254.3586363636364</v>
      </c>
      <c r="F19" s="408">
        <f t="shared" si="0"/>
        <v>1075.1645454545453</v>
      </c>
      <c r="G19" s="408">
        <f t="shared" si="0"/>
        <v>716.77636363636361</v>
      </c>
      <c r="H19" s="408">
        <f t="shared" si="0"/>
        <v>1669.75</v>
      </c>
      <c r="I19" s="409">
        <f t="shared" si="0"/>
        <v>1673.9117345454545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2">
      <c r="A20" s="888"/>
      <c r="B20" s="888"/>
      <c r="C20" s="411"/>
      <c r="D20" s="411"/>
      <c r="E20" s="412"/>
      <c r="F20" s="412"/>
      <c r="G20" s="412"/>
      <c r="H20" s="412"/>
      <c r="I20" s="41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 x14ac:dyDescent="0.2">
      <c r="A21" s="887" t="s">
        <v>475</v>
      </c>
      <c r="B21" s="887"/>
      <c r="C21" s="887"/>
      <c r="D21" s="887"/>
      <c r="E21" s="887"/>
      <c r="F21" s="887"/>
      <c r="G21" s="887"/>
      <c r="H21" s="887"/>
      <c r="I21" s="88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8.35" customHeight="1" x14ac:dyDescent="0.2">
      <c r="A22" s="414" t="s">
        <v>476</v>
      </c>
      <c r="B22" s="415" t="s">
        <v>464</v>
      </c>
      <c r="C22" s="415" t="s">
        <v>465</v>
      </c>
      <c r="D22" s="415" t="s">
        <v>465</v>
      </c>
      <c r="E22" s="415" t="s">
        <v>465</v>
      </c>
      <c r="F22" s="415" t="s">
        <v>465</v>
      </c>
      <c r="G22" s="415" t="s">
        <v>465</v>
      </c>
      <c r="H22" s="415" t="s">
        <v>465</v>
      </c>
      <c r="I22" s="416" t="s">
        <v>465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75" customHeight="1" x14ac:dyDescent="0.2">
      <c r="A23" s="417" t="s">
        <v>477</v>
      </c>
      <c r="B23" s="418">
        <f>1/12</f>
        <v>8.3333333333333329E-2</v>
      </c>
      <c r="C23" s="396">
        <f t="shared" ref="C23:I23" si="1">ROUND($B23*C$19,2)</f>
        <v>139.37</v>
      </c>
      <c r="D23" s="396">
        <f t="shared" si="1"/>
        <v>119.46</v>
      </c>
      <c r="E23" s="396">
        <f t="shared" si="1"/>
        <v>104.53</v>
      </c>
      <c r="F23" s="396">
        <f t="shared" si="1"/>
        <v>89.6</v>
      </c>
      <c r="G23" s="396">
        <f t="shared" si="1"/>
        <v>59.73</v>
      </c>
      <c r="H23" s="396">
        <f t="shared" si="1"/>
        <v>139.15</v>
      </c>
      <c r="I23" s="398">
        <f t="shared" si="1"/>
        <v>139.49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417" t="s">
        <v>478</v>
      </c>
      <c r="B24" s="418">
        <f>1/3*1/12</f>
        <v>2.7777777777777776E-2</v>
      </c>
      <c r="C24" s="396">
        <f t="shared" ref="C24:I24" si="2">C$19*$B$24</f>
        <v>46.457727272727261</v>
      </c>
      <c r="D24" s="396">
        <f t="shared" si="2"/>
        <v>39.82090909090909</v>
      </c>
      <c r="E24" s="396">
        <f t="shared" si="2"/>
        <v>34.843295454545455</v>
      </c>
      <c r="F24" s="396">
        <f t="shared" si="2"/>
        <v>29.865681818181812</v>
      </c>
      <c r="G24" s="396">
        <f t="shared" si="2"/>
        <v>19.910454545454545</v>
      </c>
      <c r="H24" s="396">
        <f t="shared" si="2"/>
        <v>46.381944444444443</v>
      </c>
      <c r="I24" s="398">
        <f t="shared" si="2"/>
        <v>46.497548181818175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4.25" customHeight="1" x14ac:dyDescent="0.2">
      <c r="A25" s="405" t="s">
        <v>474</v>
      </c>
      <c r="B25" s="419">
        <f t="shared" ref="B25:I25" si="3">SUM(B23:B24)</f>
        <v>0.1111111111111111</v>
      </c>
      <c r="C25" s="420">
        <f t="shared" si="3"/>
        <v>185.82772727272726</v>
      </c>
      <c r="D25" s="420">
        <f t="shared" si="3"/>
        <v>159.28090909090909</v>
      </c>
      <c r="E25" s="420">
        <f t="shared" si="3"/>
        <v>139.37329545454546</v>
      </c>
      <c r="F25" s="420">
        <f t="shared" si="3"/>
        <v>119.46568181818181</v>
      </c>
      <c r="G25" s="420">
        <f t="shared" si="3"/>
        <v>79.640454545454546</v>
      </c>
      <c r="H25" s="420">
        <f t="shared" si="3"/>
        <v>185.53194444444443</v>
      </c>
      <c r="I25" s="421">
        <f t="shared" si="3"/>
        <v>185.98754818181817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4" t="s">
        <v>479</v>
      </c>
      <c r="B26" s="415" t="s">
        <v>464</v>
      </c>
      <c r="C26" s="415" t="s">
        <v>465</v>
      </c>
      <c r="D26" s="415" t="s">
        <v>465</v>
      </c>
      <c r="E26" s="415" t="s">
        <v>465</v>
      </c>
      <c r="F26" s="415" t="s">
        <v>465</v>
      </c>
      <c r="G26" s="415" t="s">
        <v>465</v>
      </c>
      <c r="H26" s="415" t="s">
        <v>465</v>
      </c>
      <c r="I26" s="416" t="s">
        <v>465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75" customHeight="1" x14ac:dyDescent="0.2">
      <c r="A27" s="414" t="s">
        <v>480</v>
      </c>
      <c r="B27" s="422"/>
      <c r="C27" s="422"/>
      <c r="D27" s="422"/>
      <c r="E27" s="422"/>
      <c r="F27" s="422"/>
      <c r="G27" s="422"/>
      <c r="H27" s="423"/>
      <c r="I27" s="424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4.25" customHeight="1" x14ac:dyDescent="0.2">
      <c r="A28" s="417" t="s">
        <v>481</v>
      </c>
      <c r="B28" s="418">
        <v>0.2</v>
      </c>
      <c r="C28" s="425">
        <f>ROUND(($C$19+$C$25)*B28,2)</f>
        <v>371.66</v>
      </c>
      <c r="D28" s="425">
        <f t="shared" ref="D28:I35" si="4">ROUND((D$19+D$25)*$B28,2)</f>
        <v>318.57</v>
      </c>
      <c r="E28" s="425">
        <f t="shared" si="4"/>
        <v>278.75</v>
      </c>
      <c r="F28" s="425">
        <f t="shared" si="4"/>
        <v>238.93</v>
      </c>
      <c r="G28" s="425">
        <f t="shared" si="4"/>
        <v>159.28</v>
      </c>
      <c r="H28" s="425">
        <f t="shared" si="4"/>
        <v>371.06</v>
      </c>
      <c r="I28" s="426">
        <f t="shared" si="4"/>
        <v>371.98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.75" customHeight="1" x14ac:dyDescent="0.2">
      <c r="A29" s="417" t="s">
        <v>482</v>
      </c>
      <c r="B29" s="418">
        <v>2.5000000000000001E-2</v>
      </c>
      <c r="C29" s="425">
        <f t="shared" ref="C29:C35" si="5">ROUND((C$19+C$25)*$B29,2)</f>
        <v>46.46</v>
      </c>
      <c r="D29" s="425">
        <f t="shared" si="4"/>
        <v>39.82</v>
      </c>
      <c r="E29" s="425">
        <f t="shared" si="4"/>
        <v>34.840000000000003</v>
      </c>
      <c r="F29" s="425">
        <f t="shared" si="4"/>
        <v>29.87</v>
      </c>
      <c r="G29" s="425">
        <f t="shared" si="4"/>
        <v>19.91</v>
      </c>
      <c r="H29" s="425">
        <f t="shared" si="4"/>
        <v>46.38</v>
      </c>
      <c r="I29" s="426">
        <f t="shared" si="4"/>
        <v>46.5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.75" customHeight="1" x14ac:dyDescent="0.2">
      <c r="A30" s="417" t="s">
        <v>483</v>
      </c>
      <c r="B30" s="418">
        <v>0.03</v>
      </c>
      <c r="C30" s="425">
        <f t="shared" si="5"/>
        <v>55.75</v>
      </c>
      <c r="D30" s="425">
        <f t="shared" si="4"/>
        <v>47.79</v>
      </c>
      <c r="E30" s="425">
        <f t="shared" si="4"/>
        <v>41.81</v>
      </c>
      <c r="F30" s="425">
        <f t="shared" si="4"/>
        <v>35.840000000000003</v>
      </c>
      <c r="G30" s="425">
        <f t="shared" si="4"/>
        <v>23.89</v>
      </c>
      <c r="H30" s="425">
        <f t="shared" si="4"/>
        <v>55.66</v>
      </c>
      <c r="I30" s="426">
        <f t="shared" si="4"/>
        <v>55.8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5.75" customHeight="1" x14ac:dyDescent="0.2">
      <c r="A31" s="417" t="s">
        <v>484</v>
      </c>
      <c r="B31" s="418">
        <v>1.4999999999999999E-2</v>
      </c>
      <c r="C31" s="425">
        <f t="shared" si="5"/>
        <v>27.87</v>
      </c>
      <c r="D31" s="425">
        <f t="shared" si="4"/>
        <v>23.89</v>
      </c>
      <c r="E31" s="425">
        <f t="shared" si="4"/>
        <v>20.91</v>
      </c>
      <c r="F31" s="425">
        <f t="shared" si="4"/>
        <v>17.920000000000002</v>
      </c>
      <c r="G31" s="425">
        <f t="shared" si="4"/>
        <v>11.95</v>
      </c>
      <c r="H31" s="425">
        <f t="shared" si="4"/>
        <v>27.83</v>
      </c>
      <c r="I31" s="426">
        <f t="shared" si="4"/>
        <v>27.9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5.75" customHeight="1" x14ac:dyDescent="0.2">
      <c r="A32" s="417" t="s">
        <v>485</v>
      </c>
      <c r="B32" s="418">
        <v>0.01</v>
      </c>
      <c r="C32" s="425">
        <f t="shared" si="5"/>
        <v>18.579999999999998</v>
      </c>
      <c r="D32" s="425">
        <f t="shared" si="4"/>
        <v>15.93</v>
      </c>
      <c r="E32" s="425">
        <f t="shared" si="4"/>
        <v>13.94</v>
      </c>
      <c r="F32" s="425">
        <f t="shared" si="4"/>
        <v>11.95</v>
      </c>
      <c r="G32" s="425">
        <f t="shared" si="4"/>
        <v>7.96</v>
      </c>
      <c r="H32" s="425">
        <f t="shared" si="4"/>
        <v>18.55</v>
      </c>
      <c r="I32" s="426">
        <f t="shared" si="4"/>
        <v>18.600000000000001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5.75" customHeight="1" x14ac:dyDescent="0.2">
      <c r="A33" s="417" t="s">
        <v>486</v>
      </c>
      <c r="B33" s="418">
        <v>6.0000000000000001E-3</v>
      </c>
      <c r="C33" s="425">
        <f t="shared" si="5"/>
        <v>11.15</v>
      </c>
      <c r="D33" s="425">
        <f t="shared" si="4"/>
        <v>9.56</v>
      </c>
      <c r="E33" s="425">
        <f t="shared" si="4"/>
        <v>8.36</v>
      </c>
      <c r="F33" s="425">
        <f t="shared" si="4"/>
        <v>7.17</v>
      </c>
      <c r="G33" s="425">
        <f t="shared" si="4"/>
        <v>4.78</v>
      </c>
      <c r="H33" s="425">
        <f t="shared" si="4"/>
        <v>11.13</v>
      </c>
      <c r="I33" s="426">
        <f t="shared" si="4"/>
        <v>11.16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5.75" customHeight="1" x14ac:dyDescent="0.2">
      <c r="A34" s="417" t="s">
        <v>487</v>
      </c>
      <c r="B34" s="418">
        <v>2E-3</v>
      </c>
      <c r="C34" s="425">
        <f t="shared" si="5"/>
        <v>3.72</v>
      </c>
      <c r="D34" s="425">
        <f t="shared" si="4"/>
        <v>3.19</v>
      </c>
      <c r="E34" s="425">
        <f t="shared" si="4"/>
        <v>2.79</v>
      </c>
      <c r="F34" s="425">
        <f t="shared" si="4"/>
        <v>2.39</v>
      </c>
      <c r="G34" s="425">
        <f t="shared" si="4"/>
        <v>1.59</v>
      </c>
      <c r="H34" s="425">
        <f t="shared" si="4"/>
        <v>3.71</v>
      </c>
      <c r="I34" s="426">
        <f t="shared" si="4"/>
        <v>3.72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5.75" customHeight="1" x14ac:dyDescent="0.2">
      <c r="A35" s="417" t="s">
        <v>488</v>
      </c>
      <c r="B35" s="418">
        <v>0.08</v>
      </c>
      <c r="C35" s="425">
        <f t="shared" si="5"/>
        <v>148.66</v>
      </c>
      <c r="D35" s="425">
        <f t="shared" si="4"/>
        <v>127.43</v>
      </c>
      <c r="E35" s="425">
        <f t="shared" si="4"/>
        <v>111.5</v>
      </c>
      <c r="F35" s="425">
        <f t="shared" si="4"/>
        <v>95.57</v>
      </c>
      <c r="G35" s="425">
        <f t="shared" si="4"/>
        <v>63.71</v>
      </c>
      <c r="H35" s="425">
        <f t="shared" si="4"/>
        <v>148.41999999999999</v>
      </c>
      <c r="I35" s="426">
        <f t="shared" si="4"/>
        <v>148.79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.75" customHeight="1" x14ac:dyDescent="0.2">
      <c r="A36" s="405" t="s">
        <v>474</v>
      </c>
      <c r="B36" s="419">
        <f t="shared" ref="B36:I36" si="6">SUM(B28:B35)</f>
        <v>0.36800000000000005</v>
      </c>
      <c r="C36" s="420">
        <f t="shared" si="6"/>
        <v>683.85</v>
      </c>
      <c r="D36" s="420">
        <f t="shared" si="6"/>
        <v>586.18000000000006</v>
      </c>
      <c r="E36" s="420">
        <f t="shared" si="6"/>
        <v>512.90000000000009</v>
      </c>
      <c r="F36" s="420">
        <f t="shared" si="6"/>
        <v>439.64</v>
      </c>
      <c r="G36" s="420">
        <f t="shared" si="6"/>
        <v>293.07</v>
      </c>
      <c r="H36" s="420">
        <f t="shared" si="6"/>
        <v>682.74</v>
      </c>
      <c r="I36" s="421">
        <f t="shared" si="6"/>
        <v>684.44999999999993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.75" customHeight="1" x14ac:dyDescent="0.2">
      <c r="A37" s="414" t="s">
        <v>489</v>
      </c>
      <c r="B37" s="415" t="s">
        <v>490</v>
      </c>
      <c r="C37" s="415" t="s">
        <v>465</v>
      </c>
      <c r="D37" s="415" t="s">
        <v>465</v>
      </c>
      <c r="E37" s="415" t="s">
        <v>465</v>
      </c>
      <c r="F37" s="415" t="s">
        <v>465</v>
      </c>
      <c r="G37" s="415" t="s">
        <v>465</v>
      </c>
      <c r="H37" s="415" t="s">
        <v>465</v>
      </c>
      <c r="I37" s="416" t="s">
        <v>465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.75" customHeight="1" x14ac:dyDescent="0.2">
      <c r="A38" s="417" t="s">
        <v>491</v>
      </c>
      <c r="B38" s="427">
        <f>MC!D100</f>
        <v>3.1160869565217393</v>
      </c>
      <c r="C38" s="396">
        <f t="shared" ref="C38:I38" si="7">ROUND(((2*22*$B$38)-0.06*C$13),2)</f>
        <v>65.430000000000007</v>
      </c>
      <c r="D38" s="396">
        <f t="shared" si="7"/>
        <v>65.430000000000007</v>
      </c>
      <c r="E38" s="396">
        <f t="shared" si="7"/>
        <v>83.35</v>
      </c>
      <c r="F38" s="396">
        <f t="shared" si="7"/>
        <v>83.35</v>
      </c>
      <c r="G38" s="396">
        <f t="shared" si="7"/>
        <v>101.27</v>
      </c>
      <c r="H38" s="396">
        <f t="shared" si="7"/>
        <v>36.92</v>
      </c>
      <c r="I38" s="398">
        <f t="shared" si="7"/>
        <v>36.67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customHeight="1" x14ac:dyDescent="0.2">
      <c r="A39" s="417" t="s">
        <v>492</v>
      </c>
      <c r="B39" s="428"/>
      <c r="C39" s="425">
        <f>MC!$K$19</f>
        <v>359.61</v>
      </c>
      <c r="D39" s="425">
        <f>MC!$K$19</f>
        <v>359.61</v>
      </c>
      <c r="E39" s="425">
        <f>MC!$K$20</f>
        <v>179.8</v>
      </c>
      <c r="F39" s="425">
        <f>MC!$K$20</f>
        <v>179.8</v>
      </c>
      <c r="G39" s="425">
        <f>MC!$K$20</f>
        <v>179.8</v>
      </c>
      <c r="H39" s="425">
        <f>MC!$K$19</f>
        <v>359.61</v>
      </c>
      <c r="I39" s="426">
        <f>MC!$K$19</f>
        <v>359.61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customHeight="1" x14ac:dyDescent="0.2">
      <c r="A40" s="417" t="s">
        <v>493</v>
      </c>
      <c r="B40" s="418"/>
      <c r="C40" s="429" t="s">
        <v>469</v>
      </c>
      <c r="D40" s="429" t="s">
        <v>469</v>
      </c>
      <c r="E40" s="429" t="s">
        <v>469</v>
      </c>
      <c r="F40" s="429" t="s">
        <v>469</v>
      </c>
      <c r="G40" s="429" t="s">
        <v>469</v>
      </c>
      <c r="H40" s="429" t="s">
        <v>469</v>
      </c>
      <c r="I40" s="430" t="s">
        <v>469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customHeight="1" x14ac:dyDescent="0.2">
      <c r="A41" s="417" t="s">
        <v>494</v>
      </c>
      <c r="B41" s="431"/>
      <c r="C41" s="429" t="s">
        <v>469</v>
      </c>
      <c r="D41" s="429" t="s">
        <v>469</v>
      </c>
      <c r="E41" s="429" t="s">
        <v>469</v>
      </c>
      <c r="F41" s="429" t="s">
        <v>469</v>
      </c>
      <c r="G41" s="429" t="s">
        <v>469</v>
      </c>
      <c r="H41" s="432" t="s">
        <v>469</v>
      </c>
      <c r="I41" s="430" t="s">
        <v>469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customHeight="1" x14ac:dyDescent="0.2">
      <c r="A42" s="417" t="s">
        <v>495</v>
      </c>
      <c r="B42" s="433">
        <f>MC!E27</f>
        <v>17.32</v>
      </c>
      <c r="C42" s="425">
        <f t="shared" ref="C42:I42" si="8">$B42</f>
        <v>17.32</v>
      </c>
      <c r="D42" s="425">
        <f t="shared" si="8"/>
        <v>17.32</v>
      </c>
      <c r="E42" s="425">
        <f t="shared" si="8"/>
        <v>17.32</v>
      </c>
      <c r="F42" s="425">
        <f t="shared" si="8"/>
        <v>17.32</v>
      </c>
      <c r="G42" s="425">
        <f t="shared" si="8"/>
        <v>17.32</v>
      </c>
      <c r="H42" s="425">
        <f t="shared" si="8"/>
        <v>17.32</v>
      </c>
      <c r="I42" s="426">
        <f t="shared" si="8"/>
        <v>17.32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.75" customHeight="1" x14ac:dyDescent="0.2">
      <c r="A43" s="417" t="s">
        <v>496</v>
      </c>
      <c r="B43" s="418"/>
      <c r="C43" s="429" t="s">
        <v>469</v>
      </c>
      <c r="D43" s="429" t="s">
        <v>469</v>
      </c>
      <c r="E43" s="429" t="s">
        <v>469</v>
      </c>
      <c r="F43" s="429" t="s">
        <v>469</v>
      </c>
      <c r="G43" s="429" t="s">
        <v>469</v>
      </c>
      <c r="H43" s="432" t="s">
        <v>469</v>
      </c>
      <c r="I43" s="430" t="s">
        <v>469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customHeight="1" x14ac:dyDescent="0.2">
      <c r="A44" s="405" t="s">
        <v>474</v>
      </c>
      <c r="B44" s="406"/>
      <c r="C44" s="420">
        <f t="shared" ref="C44:I44" si="9">SUM(C38:C43)</f>
        <v>442.36</v>
      </c>
      <c r="D44" s="420">
        <f t="shared" si="9"/>
        <v>442.36</v>
      </c>
      <c r="E44" s="420">
        <f t="shared" si="9"/>
        <v>280.46999999999997</v>
      </c>
      <c r="F44" s="420">
        <f t="shared" si="9"/>
        <v>280.46999999999997</v>
      </c>
      <c r="G44" s="420">
        <f t="shared" si="9"/>
        <v>298.39</v>
      </c>
      <c r="H44" s="420">
        <f t="shared" si="9"/>
        <v>413.85</v>
      </c>
      <c r="I44" s="421">
        <f t="shared" si="9"/>
        <v>413.6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391" t="s">
        <v>497</v>
      </c>
      <c r="B45" s="392" t="s">
        <v>464</v>
      </c>
      <c r="C45" s="392" t="s">
        <v>465</v>
      </c>
      <c r="D45" s="392" t="s">
        <v>465</v>
      </c>
      <c r="E45" s="392" t="s">
        <v>465</v>
      </c>
      <c r="F45" s="392" t="s">
        <v>465</v>
      </c>
      <c r="G45" s="392" t="s">
        <v>465</v>
      </c>
      <c r="H45" s="392" t="s">
        <v>465</v>
      </c>
      <c r="I45" s="393" t="s">
        <v>465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.75" customHeight="1" x14ac:dyDescent="0.2">
      <c r="A46" s="417" t="s">
        <v>476</v>
      </c>
      <c r="B46" s="434">
        <f t="shared" ref="B46:I46" si="10">B25</f>
        <v>0.1111111111111111</v>
      </c>
      <c r="C46" s="435">
        <f t="shared" si="10"/>
        <v>185.82772727272726</v>
      </c>
      <c r="D46" s="435">
        <f t="shared" si="10"/>
        <v>159.28090909090909</v>
      </c>
      <c r="E46" s="435">
        <f t="shared" si="10"/>
        <v>139.37329545454546</v>
      </c>
      <c r="F46" s="435">
        <f t="shared" si="10"/>
        <v>119.46568181818181</v>
      </c>
      <c r="G46" s="435">
        <f t="shared" si="10"/>
        <v>79.640454545454546</v>
      </c>
      <c r="H46" s="435">
        <f t="shared" si="10"/>
        <v>185.53194444444443</v>
      </c>
      <c r="I46" s="436">
        <f t="shared" si="10"/>
        <v>185.98754818181817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.75" customHeight="1" x14ac:dyDescent="0.2">
      <c r="A47" s="417" t="s">
        <v>498</v>
      </c>
      <c r="B47" s="434">
        <f t="shared" ref="B47:I47" si="11">B36</f>
        <v>0.36800000000000005</v>
      </c>
      <c r="C47" s="435">
        <f t="shared" si="11"/>
        <v>683.85</v>
      </c>
      <c r="D47" s="435">
        <f t="shared" si="11"/>
        <v>586.18000000000006</v>
      </c>
      <c r="E47" s="435">
        <f t="shared" si="11"/>
        <v>512.90000000000009</v>
      </c>
      <c r="F47" s="435">
        <f t="shared" si="11"/>
        <v>439.64</v>
      </c>
      <c r="G47" s="435">
        <f t="shared" si="11"/>
        <v>293.07</v>
      </c>
      <c r="H47" s="435">
        <f t="shared" si="11"/>
        <v>682.74</v>
      </c>
      <c r="I47" s="436">
        <f t="shared" si="11"/>
        <v>684.44999999999993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.75" customHeight="1" x14ac:dyDescent="0.2">
      <c r="A48" s="417" t="s">
        <v>489</v>
      </c>
      <c r="B48" s="434"/>
      <c r="C48" s="435">
        <f t="shared" ref="C48:I48" si="12">C44</f>
        <v>442.36</v>
      </c>
      <c r="D48" s="435">
        <f t="shared" si="12"/>
        <v>442.36</v>
      </c>
      <c r="E48" s="435">
        <f t="shared" si="12"/>
        <v>280.46999999999997</v>
      </c>
      <c r="F48" s="435">
        <f t="shared" si="12"/>
        <v>280.46999999999997</v>
      </c>
      <c r="G48" s="435">
        <f t="shared" si="12"/>
        <v>298.39</v>
      </c>
      <c r="H48" s="435">
        <f t="shared" si="12"/>
        <v>413.85</v>
      </c>
      <c r="I48" s="436">
        <f t="shared" si="12"/>
        <v>413.6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.75" customHeight="1" x14ac:dyDescent="0.2">
      <c r="A49" s="405" t="s">
        <v>474</v>
      </c>
      <c r="B49" s="406"/>
      <c r="C49" s="420">
        <f t="shared" ref="C49:I49" si="13">SUM(C46:C48)</f>
        <v>1312.0377272727274</v>
      </c>
      <c r="D49" s="407">
        <f t="shared" si="13"/>
        <v>1187.820909090909</v>
      </c>
      <c r="E49" s="407">
        <f t="shared" si="13"/>
        <v>932.74329545454543</v>
      </c>
      <c r="F49" s="420">
        <f t="shared" si="13"/>
        <v>839.57568181818169</v>
      </c>
      <c r="G49" s="420">
        <f t="shared" si="13"/>
        <v>671.10045454545457</v>
      </c>
      <c r="H49" s="420">
        <f t="shared" si="13"/>
        <v>1282.1219444444446</v>
      </c>
      <c r="I49" s="421">
        <f t="shared" si="13"/>
        <v>1284.0375481818182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4.25" customHeight="1" x14ac:dyDescent="0.2">
      <c r="A50" s="888"/>
      <c r="B50" s="888"/>
      <c r="C50" s="888"/>
      <c r="D50" s="888"/>
      <c r="E50" s="888"/>
      <c r="F50" s="888"/>
      <c r="G50" s="888"/>
      <c r="H50" s="888"/>
      <c r="I50" s="888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437" customFormat="1" ht="12.75" customHeight="1" x14ac:dyDescent="0.2">
      <c r="A51" s="887" t="s">
        <v>499</v>
      </c>
      <c r="B51" s="887"/>
      <c r="C51" s="887"/>
      <c r="D51" s="887"/>
      <c r="E51" s="887"/>
      <c r="F51" s="887"/>
      <c r="G51" s="887"/>
      <c r="H51" s="887"/>
      <c r="I51" s="887"/>
    </row>
    <row r="52" spans="1:1024" ht="15.75" customHeight="1" x14ac:dyDescent="0.2">
      <c r="A52" s="391" t="s">
        <v>500</v>
      </c>
      <c r="B52" s="392" t="s">
        <v>464</v>
      </c>
      <c r="C52" s="392" t="s">
        <v>465</v>
      </c>
      <c r="D52" s="392" t="s">
        <v>465</v>
      </c>
      <c r="E52" s="392" t="s">
        <v>465</v>
      </c>
      <c r="F52" s="392" t="s">
        <v>465</v>
      </c>
      <c r="G52" s="392" t="s">
        <v>465</v>
      </c>
      <c r="H52" s="392" t="s">
        <v>465</v>
      </c>
      <c r="I52" s="393" t="s">
        <v>465</v>
      </c>
      <c r="J52"/>
      <c r="K52"/>
      <c r="L52"/>
      <c r="M52"/>
      <c r="N52"/>
      <c r="O52"/>
    </row>
    <row r="53" spans="1:1024" ht="15.75" customHeight="1" x14ac:dyDescent="0.2">
      <c r="A53" s="414" t="s">
        <v>501</v>
      </c>
      <c r="B53" s="438"/>
      <c r="C53" s="438"/>
      <c r="D53" s="438"/>
      <c r="E53" s="438"/>
      <c r="F53" s="438"/>
      <c r="G53" s="438"/>
      <c r="H53" s="439"/>
      <c r="I53" s="440"/>
      <c r="J53"/>
      <c r="K53"/>
      <c r="L53"/>
      <c r="M53"/>
      <c r="N53"/>
      <c r="O53"/>
    </row>
    <row r="54" spans="1:1024" ht="15.75" customHeight="1" x14ac:dyDescent="0.2">
      <c r="A54" s="417" t="s">
        <v>502</v>
      </c>
      <c r="B54" s="434">
        <f>1/12*0.05</f>
        <v>4.1666666666666666E-3</v>
      </c>
      <c r="C54" s="441">
        <f t="shared" ref="C54:I54" si="14">C19*$B54</f>
        <v>6.9686590909090897</v>
      </c>
      <c r="D54" s="441">
        <f t="shared" si="14"/>
        <v>5.973136363636363</v>
      </c>
      <c r="E54" s="441">
        <f t="shared" si="14"/>
        <v>5.2264943181818184</v>
      </c>
      <c r="F54" s="441">
        <f t="shared" si="14"/>
        <v>4.479852272727272</v>
      </c>
      <c r="G54" s="441">
        <f t="shared" si="14"/>
        <v>2.9865681818181815</v>
      </c>
      <c r="H54" s="441">
        <f t="shared" si="14"/>
        <v>6.9572916666666664</v>
      </c>
      <c r="I54" s="442">
        <f t="shared" si="14"/>
        <v>6.9746322272727266</v>
      </c>
      <c r="J54"/>
      <c r="K54"/>
      <c r="L54"/>
      <c r="M54"/>
      <c r="N54"/>
      <c r="O54"/>
    </row>
    <row r="55" spans="1:1024" x14ac:dyDescent="0.2">
      <c r="A55" s="417" t="s">
        <v>503</v>
      </c>
      <c r="B55" s="434">
        <f>B35*B54</f>
        <v>3.3333333333333332E-4</v>
      </c>
      <c r="C55" s="441">
        <f t="shared" ref="C55:I55" si="15">$B$55*C19</f>
        <v>0.55749272727272714</v>
      </c>
      <c r="D55" s="441">
        <f t="shared" si="15"/>
        <v>0.47785090909090905</v>
      </c>
      <c r="E55" s="441">
        <f t="shared" si="15"/>
        <v>0.41811954545454544</v>
      </c>
      <c r="F55" s="441">
        <f t="shared" si="15"/>
        <v>0.35838818181818177</v>
      </c>
      <c r="G55" s="441">
        <f t="shared" si="15"/>
        <v>0.23892545454545452</v>
      </c>
      <c r="H55" s="441">
        <f t="shared" si="15"/>
        <v>0.55658333333333332</v>
      </c>
      <c r="I55" s="442">
        <f t="shared" si="15"/>
        <v>0.55797057818181817</v>
      </c>
      <c r="J55"/>
      <c r="K55"/>
      <c r="L55"/>
      <c r="M55"/>
      <c r="N55"/>
      <c r="O55"/>
    </row>
    <row r="56" spans="1:1024" x14ac:dyDescent="0.2">
      <c r="A56" s="417" t="s">
        <v>504</v>
      </c>
      <c r="B56" s="434">
        <v>0</v>
      </c>
      <c r="C56" s="441">
        <f t="shared" ref="C56:I56" si="16">C35*$B56</f>
        <v>0</v>
      </c>
      <c r="D56" s="441">
        <f t="shared" si="16"/>
        <v>0</v>
      </c>
      <c r="E56" s="441">
        <f t="shared" si="16"/>
        <v>0</v>
      </c>
      <c r="F56" s="441">
        <f t="shared" si="16"/>
        <v>0</v>
      </c>
      <c r="G56" s="441">
        <f t="shared" si="16"/>
        <v>0</v>
      </c>
      <c r="H56" s="441">
        <f t="shared" si="16"/>
        <v>0</v>
      </c>
      <c r="I56" s="442">
        <f t="shared" si="16"/>
        <v>0</v>
      </c>
      <c r="J56"/>
      <c r="K56"/>
      <c r="L56"/>
      <c r="M56"/>
      <c r="N56"/>
      <c r="O56"/>
    </row>
    <row r="57" spans="1:1024" x14ac:dyDescent="0.2">
      <c r="A57" s="417" t="s">
        <v>505</v>
      </c>
      <c r="B57" s="434">
        <f>1/12*1/30*7</f>
        <v>1.9444444444444441E-2</v>
      </c>
      <c r="C57" s="435">
        <f t="shared" ref="C57:I57" si="17">C19*$B57</f>
        <v>32.520409090909084</v>
      </c>
      <c r="D57" s="435">
        <f t="shared" si="17"/>
        <v>27.874636363636359</v>
      </c>
      <c r="E57" s="435">
        <f t="shared" si="17"/>
        <v>24.390306818181813</v>
      </c>
      <c r="F57" s="435">
        <f t="shared" si="17"/>
        <v>20.905977272727267</v>
      </c>
      <c r="G57" s="435">
        <f t="shared" si="17"/>
        <v>13.937318181818179</v>
      </c>
      <c r="H57" s="435">
        <f t="shared" si="17"/>
        <v>32.467361111111103</v>
      </c>
      <c r="I57" s="436">
        <f t="shared" si="17"/>
        <v>32.548283727272718</v>
      </c>
      <c r="J57"/>
      <c r="K57"/>
      <c r="L57"/>
      <c r="M57"/>
      <c r="N57"/>
      <c r="O57"/>
    </row>
    <row r="58" spans="1:1024" x14ac:dyDescent="0.2">
      <c r="A58" s="417" t="s">
        <v>506</v>
      </c>
      <c r="B58" s="434">
        <f>B36*B57</f>
        <v>7.1555555555555556E-3</v>
      </c>
      <c r="C58" s="435">
        <f t="shared" ref="C58:I58" si="18">$B58*C19</f>
        <v>11.967510545454545</v>
      </c>
      <c r="D58" s="435">
        <f t="shared" si="18"/>
        <v>10.257866181818182</v>
      </c>
      <c r="E58" s="435">
        <f t="shared" si="18"/>
        <v>8.9756329090909102</v>
      </c>
      <c r="F58" s="435">
        <f t="shared" si="18"/>
        <v>7.693399636363635</v>
      </c>
      <c r="G58" s="435">
        <f t="shared" si="18"/>
        <v>5.1289330909090909</v>
      </c>
      <c r="H58" s="435">
        <f t="shared" si="18"/>
        <v>11.947988888888888</v>
      </c>
      <c r="I58" s="436">
        <f t="shared" si="18"/>
        <v>11.977768411636363</v>
      </c>
      <c r="J58"/>
      <c r="K58"/>
      <c r="L58"/>
      <c r="M58"/>
      <c r="N58"/>
      <c r="O58"/>
    </row>
    <row r="59" spans="1:1024" x14ac:dyDescent="0.2">
      <c r="A59" s="417" t="s">
        <v>507</v>
      </c>
      <c r="B59" s="434">
        <f>B35*40/100*90/100*(1+1/12+1/12+1/3*1/12)</f>
        <v>3.4399999999999993E-2</v>
      </c>
      <c r="C59" s="435">
        <f t="shared" ref="C59:I59" si="19">C19*$B59</f>
        <v>57.533249454545434</v>
      </c>
      <c r="D59" s="435">
        <f t="shared" si="19"/>
        <v>49.314213818181805</v>
      </c>
      <c r="E59" s="435">
        <f t="shared" si="19"/>
        <v>43.149937090909084</v>
      </c>
      <c r="F59" s="435">
        <f t="shared" si="19"/>
        <v>36.985660363636349</v>
      </c>
      <c r="G59" s="435">
        <f t="shared" si="19"/>
        <v>24.657106909090903</v>
      </c>
      <c r="H59" s="435">
        <f t="shared" si="19"/>
        <v>57.439399999999985</v>
      </c>
      <c r="I59" s="436">
        <f t="shared" si="19"/>
        <v>57.582563668363619</v>
      </c>
      <c r="J59"/>
      <c r="K59"/>
      <c r="L59"/>
      <c r="M59"/>
      <c r="N59"/>
      <c r="O59"/>
    </row>
    <row r="60" spans="1:1024" ht="14.25" customHeight="1" x14ac:dyDescent="0.2">
      <c r="A60" s="405" t="s">
        <v>474</v>
      </c>
      <c r="B60" s="419">
        <f t="shared" ref="B60:I60" si="20">SUM(B54:B59)</f>
        <v>6.5499999999999989E-2</v>
      </c>
      <c r="C60" s="407">
        <f t="shared" si="20"/>
        <v>109.54732090909087</v>
      </c>
      <c r="D60" s="407">
        <f t="shared" si="20"/>
        <v>93.897703636363616</v>
      </c>
      <c r="E60" s="407">
        <f t="shared" si="20"/>
        <v>82.160490681818175</v>
      </c>
      <c r="F60" s="407">
        <f t="shared" si="20"/>
        <v>70.423277727272705</v>
      </c>
      <c r="G60" s="407">
        <f t="shared" si="20"/>
        <v>46.948851818181808</v>
      </c>
      <c r="H60" s="408">
        <f t="shared" si="20"/>
        <v>109.36862499999998</v>
      </c>
      <c r="I60" s="409">
        <f t="shared" si="20"/>
        <v>109.64121861272724</v>
      </c>
      <c r="J60"/>
      <c r="K60"/>
      <c r="L60"/>
      <c r="M60"/>
      <c r="N60"/>
      <c r="O60"/>
    </row>
    <row r="61" spans="1:1024" ht="14.25" customHeight="1" x14ac:dyDescent="0.2">
      <c r="A61" s="889"/>
      <c r="B61" s="889"/>
      <c r="C61" s="889"/>
      <c r="D61" s="889"/>
      <c r="E61" s="889"/>
      <c r="F61" s="889"/>
      <c r="G61" s="889"/>
      <c r="H61" s="889"/>
      <c r="I61" s="889"/>
      <c r="J61"/>
      <c r="K61"/>
      <c r="L61"/>
      <c r="M61"/>
      <c r="N61"/>
      <c r="O61"/>
    </row>
    <row r="62" spans="1:1024" ht="15.75" customHeight="1" x14ac:dyDescent="0.2">
      <c r="A62" s="887" t="s">
        <v>508</v>
      </c>
      <c r="B62" s="887"/>
      <c r="C62" s="887"/>
      <c r="D62" s="887"/>
      <c r="E62" s="887"/>
      <c r="F62" s="887"/>
      <c r="G62" s="887"/>
      <c r="H62" s="887"/>
      <c r="I62" s="887"/>
      <c r="J62"/>
      <c r="K62"/>
      <c r="L62"/>
      <c r="M62"/>
      <c r="N62"/>
      <c r="O62"/>
    </row>
    <row r="63" spans="1:1024" ht="14.25" customHeight="1" x14ac:dyDescent="0.2">
      <c r="A63" s="414" t="s">
        <v>46</v>
      </c>
      <c r="B63" s="415" t="s">
        <v>464</v>
      </c>
      <c r="C63" s="415" t="s">
        <v>465</v>
      </c>
      <c r="D63" s="415" t="s">
        <v>465</v>
      </c>
      <c r="E63" s="415" t="s">
        <v>465</v>
      </c>
      <c r="F63" s="415" t="s">
        <v>465</v>
      </c>
      <c r="G63" s="415" t="s">
        <v>465</v>
      </c>
      <c r="H63" s="415" t="s">
        <v>465</v>
      </c>
      <c r="I63" s="415" t="s">
        <v>465</v>
      </c>
      <c r="J63"/>
      <c r="K63"/>
      <c r="L63"/>
      <c r="M63"/>
      <c r="N63"/>
      <c r="O63"/>
    </row>
    <row r="64" spans="1:1024" ht="14.25" customHeight="1" x14ac:dyDescent="0.2">
      <c r="A64" s="417" t="s">
        <v>47</v>
      </c>
      <c r="B64" s="418">
        <f>1/12</f>
        <v>8.3333333333333329E-2</v>
      </c>
      <c r="C64" s="425">
        <f t="shared" ref="C64:I67" si="21">$B64*(C$19+C$49+C$60)</f>
        <v>257.83860249999998</v>
      </c>
      <c r="D64" s="425">
        <f t="shared" si="21"/>
        <v>226.27261166666665</v>
      </c>
      <c r="E64" s="425">
        <f t="shared" si="21"/>
        <v>189.10520187499998</v>
      </c>
      <c r="F64" s="425">
        <f t="shared" si="21"/>
        <v>165.43029208333331</v>
      </c>
      <c r="G64" s="425">
        <f t="shared" si="21"/>
        <v>119.56880583333333</v>
      </c>
      <c r="H64" s="425">
        <f t="shared" si="21"/>
        <v>255.10338078703705</v>
      </c>
      <c r="I64" s="426">
        <f t="shared" si="21"/>
        <v>255.63254177833329</v>
      </c>
      <c r="J64"/>
      <c r="K64"/>
      <c r="L64"/>
      <c r="M64"/>
      <c r="N64"/>
      <c r="O64"/>
    </row>
    <row r="65" spans="1:15" x14ac:dyDescent="0.2">
      <c r="A65" s="417" t="s">
        <v>509</v>
      </c>
      <c r="B65" s="418">
        <f>MC!E54/30/12</f>
        <v>1.3538888888888885E-2</v>
      </c>
      <c r="C65" s="425">
        <f t="shared" si="21"/>
        <v>41.890178286166659</v>
      </c>
      <c r="D65" s="425">
        <f t="shared" si="21"/>
        <v>36.761756975444428</v>
      </c>
      <c r="E65" s="425">
        <f t="shared" si="21"/>
        <v>30.723291797958325</v>
      </c>
      <c r="F65" s="425">
        <f t="shared" si="21"/>
        <v>26.876908120472212</v>
      </c>
      <c r="G65" s="425">
        <f t="shared" si="21"/>
        <v>19.425945321055551</v>
      </c>
      <c r="H65" s="425">
        <f t="shared" si="21"/>
        <v>41.445795931867274</v>
      </c>
      <c r="I65" s="426">
        <f t="shared" si="21"/>
        <v>41.531766954253207</v>
      </c>
      <c r="J65"/>
      <c r="K65"/>
      <c r="L65"/>
      <c r="M65"/>
      <c r="N65"/>
      <c r="O65"/>
    </row>
    <row r="66" spans="1:15" x14ac:dyDescent="0.2">
      <c r="A66" s="417" t="s">
        <v>510</v>
      </c>
      <c r="B66" s="443">
        <f>(5/30)/12*MC!F56*MC!C57</f>
        <v>1.0764583333333333E-4</v>
      </c>
      <c r="C66" s="425">
        <f t="shared" si="21"/>
        <v>0.333063014779375</v>
      </c>
      <c r="D66" s="425">
        <f t="shared" si="21"/>
        <v>0.29228764612041663</v>
      </c>
      <c r="E66" s="425">
        <f t="shared" si="21"/>
        <v>0.24427664452203124</v>
      </c>
      <c r="F66" s="425">
        <f t="shared" si="21"/>
        <v>0.21369457979864581</v>
      </c>
      <c r="G66" s="425">
        <f t="shared" si="21"/>
        <v>0.15445300493520833</v>
      </c>
      <c r="H66" s="425">
        <f t="shared" si="21"/>
        <v>0.32952979213165512</v>
      </c>
      <c r="I66" s="426">
        <f t="shared" si="21"/>
        <v>0.33021333584216206</v>
      </c>
      <c r="J66"/>
      <c r="K66"/>
      <c r="L66"/>
      <c r="M66"/>
      <c r="N66"/>
      <c r="O66"/>
    </row>
    <row r="67" spans="1:15" ht="14.25" customHeight="1" x14ac:dyDescent="0.2">
      <c r="A67" s="417" t="s">
        <v>511</v>
      </c>
      <c r="B67" s="443">
        <f>MC!C59/30/12</f>
        <v>2.6830555555555553E-3</v>
      </c>
      <c r="C67" s="425">
        <f t="shared" si="21"/>
        <v>8.301543538491666</v>
      </c>
      <c r="D67" s="425">
        <f t="shared" si="21"/>
        <v>7.2852238536277767</v>
      </c>
      <c r="E67" s="425">
        <f t="shared" si="21"/>
        <v>6.0885571497020825</v>
      </c>
      <c r="F67" s="425">
        <f t="shared" si="21"/>
        <v>5.3263039707763875</v>
      </c>
      <c r="G67" s="425">
        <f t="shared" si="21"/>
        <v>3.8497169851472215</v>
      </c>
      <c r="H67" s="425">
        <f t="shared" si="21"/>
        <v>8.2134785167399684</v>
      </c>
      <c r="I67" s="426">
        <f t="shared" si="21"/>
        <v>8.2305157367897372</v>
      </c>
      <c r="J67"/>
      <c r="K67"/>
      <c r="L67"/>
      <c r="M67"/>
      <c r="N67"/>
      <c r="O67"/>
    </row>
    <row r="68" spans="1:15" ht="14.25" customHeight="1" x14ac:dyDescent="0.2">
      <c r="A68" s="417" t="s">
        <v>473</v>
      </c>
      <c r="B68" s="418"/>
      <c r="C68" s="429" t="s">
        <v>469</v>
      </c>
      <c r="D68" s="429" t="s">
        <v>469</v>
      </c>
      <c r="E68" s="429" t="s">
        <v>469</v>
      </c>
      <c r="F68" s="429" t="s">
        <v>469</v>
      </c>
      <c r="G68" s="429" t="s">
        <v>469</v>
      </c>
      <c r="H68" s="432" t="s">
        <v>469</v>
      </c>
      <c r="I68" s="430" t="s">
        <v>469</v>
      </c>
      <c r="J68"/>
      <c r="K68"/>
      <c r="L68"/>
      <c r="M68"/>
      <c r="N68"/>
      <c r="O68"/>
    </row>
    <row r="69" spans="1:15" ht="14.25" customHeight="1" x14ac:dyDescent="0.2">
      <c r="A69" s="444" t="s">
        <v>512</v>
      </c>
      <c r="B69" s="445">
        <f t="shared" ref="B69:I69" si="22">SUM(B64:B68)</f>
        <v>9.9662923611111107E-2</v>
      </c>
      <c r="C69" s="446">
        <f t="shared" si="22"/>
        <v>308.36338733943768</v>
      </c>
      <c r="D69" s="446">
        <f t="shared" si="22"/>
        <v>270.61188014185927</v>
      </c>
      <c r="E69" s="446">
        <f t="shared" si="22"/>
        <v>226.16132746718239</v>
      </c>
      <c r="F69" s="446">
        <f t="shared" si="22"/>
        <v>197.84719875438057</v>
      </c>
      <c r="G69" s="446">
        <f t="shared" si="22"/>
        <v>142.99892114447132</v>
      </c>
      <c r="H69" s="446">
        <f t="shared" si="22"/>
        <v>305.09218502777594</v>
      </c>
      <c r="I69" s="447">
        <f t="shared" si="22"/>
        <v>305.72503780521845</v>
      </c>
      <c r="J69"/>
      <c r="K69"/>
      <c r="L69"/>
      <c r="M69"/>
      <c r="N69"/>
      <c r="O69"/>
    </row>
    <row r="70" spans="1:15" ht="14.25" customHeight="1" x14ac:dyDescent="0.2">
      <c r="A70" s="414" t="s">
        <v>513</v>
      </c>
      <c r="B70" s="415" t="s">
        <v>464</v>
      </c>
      <c r="C70" s="415" t="s">
        <v>465</v>
      </c>
      <c r="D70" s="415" t="s">
        <v>465</v>
      </c>
      <c r="E70" s="415" t="s">
        <v>465</v>
      </c>
      <c r="F70" s="415" t="s">
        <v>465</v>
      </c>
      <c r="G70" s="415" t="s">
        <v>465</v>
      </c>
      <c r="H70" s="415" t="s">
        <v>465</v>
      </c>
      <c r="I70" s="416" t="s">
        <v>465</v>
      </c>
      <c r="J70"/>
      <c r="K70"/>
      <c r="L70"/>
      <c r="M70"/>
      <c r="N70"/>
      <c r="O70"/>
    </row>
    <row r="71" spans="1:15" ht="14.25" customHeight="1" x14ac:dyDescent="0.2">
      <c r="A71" s="417" t="s">
        <v>514</v>
      </c>
      <c r="B71" s="418"/>
      <c r="C71" s="429" t="s">
        <v>469</v>
      </c>
      <c r="D71" s="429" t="s">
        <v>469</v>
      </c>
      <c r="E71" s="429" t="s">
        <v>469</v>
      </c>
      <c r="F71" s="429" t="s">
        <v>469</v>
      </c>
      <c r="G71" s="429" t="s">
        <v>469</v>
      </c>
      <c r="H71" s="432" t="s">
        <v>469</v>
      </c>
      <c r="I71" s="430" t="s">
        <v>469</v>
      </c>
      <c r="J71"/>
      <c r="K71"/>
      <c r="L71"/>
      <c r="M71"/>
      <c r="N71"/>
      <c r="O71"/>
    </row>
    <row r="72" spans="1:15" ht="14.25" customHeight="1" x14ac:dyDescent="0.2">
      <c r="A72" s="444" t="s">
        <v>512</v>
      </c>
      <c r="B72" s="445"/>
      <c r="C72" s="448" t="str">
        <f t="shared" ref="C72:I72" si="23">C71</f>
        <v>-</v>
      </c>
      <c r="D72" s="448" t="str">
        <f t="shared" si="23"/>
        <v>-</v>
      </c>
      <c r="E72" s="448" t="str">
        <f t="shared" si="23"/>
        <v>-</v>
      </c>
      <c r="F72" s="448" t="str">
        <f t="shared" si="23"/>
        <v>-</v>
      </c>
      <c r="G72" s="448" t="str">
        <f t="shared" si="23"/>
        <v>-</v>
      </c>
      <c r="H72" s="448" t="str">
        <f t="shared" si="23"/>
        <v>-</v>
      </c>
      <c r="I72" s="449" t="str">
        <f t="shared" si="23"/>
        <v>-</v>
      </c>
      <c r="J72"/>
      <c r="K72"/>
      <c r="L72"/>
      <c r="M72"/>
      <c r="N72"/>
      <c r="O72"/>
    </row>
    <row r="73" spans="1:15" ht="14.25" customHeight="1" x14ac:dyDescent="0.2">
      <c r="A73" s="414" t="s">
        <v>68</v>
      </c>
      <c r="B73" s="415" t="s">
        <v>464</v>
      </c>
      <c r="C73" s="415" t="s">
        <v>465</v>
      </c>
      <c r="D73" s="415" t="s">
        <v>465</v>
      </c>
      <c r="E73" s="415" t="s">
        <v>465</v>
      </c>
      <c r="F73" s="415" t="s">
        <v>465</v>
      </c>
      <c r="G73" s="415" t="s">
        <v>465</v>
      </c>
      <c r="H73" s="415" t="s">
        <v>465</v>
      </c>
      <c r="I73" s="416" t="s">
        <v>465</v>
      </c>
      <c r="J73"/>
      <c r="K73"/>
      <c r="L73"/>
      <c r="M73"/>
      <c r="N73"/>
      <c r="O73"/>
    </row>
    <row r="74" spans="1:15" ht="14.25" customHeight="1" x14ac:dyDescent="0.2">
      <c r="A74" s="417" t="s">
        <v>69</v>
      </c>
      <c r="B74" s="418">
        <f>120/30*MC!C62*MC!C63</f>
        <v>6.18624E-3</v>
      </c>
      <c r="C74" s="425">
        <f t="shared" ref="C74:I74" si="24">(((C19*2)+ (C19*1/3))+(C36)+(C44-C38-C39))*$B$74</f>
        <v>28.47909256494545</v>
      </c>
      <c r="D74" s="425">
        <f t="shared" si="24"/>
        <v>24.426098694981821</v>
      </c>
      <c r="E74" s="425">
        <f t="shared" si="24"/>
        <v>21.386183170909092</v>
      </c>
      <c r="F74" s="425">
        <f t="shared" si="24"/>
        <v>18.346391371636361</v>
      </c>
      <c r="G74" s="425">
        <f t="shared" si="24"/>
        <v>12.266498461090908</v>
      </c>
      <c r="H74" s="425">
        <f t="shared" si="24"/>
        <v>28.432845734400001</v>
      </c>
      <c r="I74" s="426">
        <f t="shared" si="24"/>
        <v>28.50349701180043</v>
      </c>
      <c r="J74"/>
      <c r="K74"/>
      <c r="L74"/>
      <c r="M74"/>
      <c r="N74"/>
      <c r="O74"/>
    </row>
    <row r="75" spans="1:15" ht="15.75" customHeight="1" x14ac:dyDescent="0.2">
      <c r="A75" s="444" t="s">
        <v>474</v>
      </c>
      <c r="B75" s="445"/>
      <c r="C75" s="448">
        <f t="shared" ref="C75:I75" si="25">C74</f>
        <v>28.47909256494545</v>
      </c>
      <c r="D75" s="448">
        <f t="shared" si="25"/>
        <v>24.426098694981821</v>
      </c>
      <c r="E75" s="448">
        <f t="shared" si="25"/>
        <v>21.386183170909092</v>
      </c>
      <c r="F75" s="448">
        <f t="shared" si="25"/>
        <v>18.346391371636361</v>
      </c>
      <c r="G75" s="448">
        <f t="shared" si="25"/>
        <v>12.266498461090908</v>
      </c>
      <c r="H75" s="448">
        <f t="shared" si="25"/>
        <v>28.432845734400001</v>
      </c>
      <c r="I75" s="449">
        <f t="shared" si="25"/>
        <v>28.50349701180043</v>
      </c>
      <c r="J75"/>
      <c r="K75"/>
      <c r="L75"/>
      <c r="M75"/>
      <c r="N75"/>
      <c r="O75"/>
    </row>
    <row r="76" spans="1:15" x14ac:dyDescent="0.2">
      <c r="A76" s="391" t="s">
        <v>515</v>
      </c>
      <c r="B76" s="392" t="s">
        <v>464</v>
      </c>
      <c r="C76" s="392" t="s">
        <v>465</v>
      </c>
      <c r="D76" s="392" t="s">
        <v>465</v>
      </c>
      <c r="E76" s="392" t="s">
        <v>465</v>
      </c>
      <c r="F76" s="392" t="s">
        <v>465</v>
      </c>
      <c r="G76" s="392" t="s">
        <v>465</v>
      </c>
      <c r="H76" s="392" t="s">
        <v>465</v>
      </c>
      <c r="I76" s="393" t="s">
        <v>465</v>
      </c>
      <c r="J76"/>
      <c r="K76"/>
      <c r="L76"/>
      <c r="M76"/>
      <c r="N76"/>
      <c r="O76"/>
    </row>
    <row r="77" spans="1:15" x14ac:dyDescent="0.2">
      <c r="A77" s="417" t="s">
        <v>46</v>
      </c>
      <c r="B77" s="434">
        <f t="shared" ref="B77:I77" si="26">B69</f>
        <v>9.9662923611111107E-2</v>
      </c>
      <c r="C77" s="435">
        <f t="shared" si="26"/>
        <v>308.36338733943768</v>
      </c>
      <c r="D77" s="435">
        <f t="shared" si="26"/>
        <v>270.61188014185927</v>
      </c>
      <c r="E77" s="435">
        <f t="shared" si="26"/>
        <v>226.16132746718239</v>
      </c>
      <c r="F77" s="435">
        <f t="shared" si="26"/>
        <v>197.84719875438057</v>
      </c>
      <c r="G77" s="435">
        <f t="shared" si="26"/>
        <v>142.99892114447132</v>
      </c>
      <c r="H77" s="435">
        <f t="shared" si="26"/>
        <v>305.09218502777594</v>
      </c>
      <c r="I77" s="436">
        <f t="shared" si="26"/>
        <v>305.72503780521845</v>
      </c>
      <c r="J77"/>
      <c r="K77"/>
      <c r="L77"/>
      <c r="M77"/>
      <c r="N77"/>
      <c r="O77"/>
    </row>
    <row r="78" spans="1:15" ht="15.75" customHeight="1" x14ac:dyDescent="0.2">
      <c r="A78" s="417" t="s">
        <v>513</v>
      </c>
      <c r="B78" s="434">
        <f t="shared" ref="B78:I78" si="27">B72</f>
        <v>0</v>
      </c>
      <c r="C78" s="435" t="str">
        <f t="shared" si="27"/>
        <v>-</v>
      </c>
      <c r="D78" s="435" t="str">
        <f t="shared" si="27"/>
        <v>-</v>
      </c>
      <c r="E78" s="435" t="str">
        <f t="shared" si="27"/>
        <v>-</v>
      </c>
      <c r="F78" s="435" t="str">
        <f t="shared" si="27"/>
        <v>-</v>
      </c>
      <c r="G78" s="435" t="str">
        <f t="shared" si="27"/>
        <v>-</v>
      </c>
      <c r="H78" s="435" t="str">
        <f t="shared" si="27"/>
        <v>-</v>
      </c>
      <c r="I78" s="436" t="str">
        <f t="shared" si="27"/>
        <v>-</v>
      </c>
      <c r="J78"/>
      <c r="K78"/>
      <c r="L78"/>
      <c r="M78"/>
      <c r="N78"/>
      <c r="O78"/>
    </row>
    <row r="79" spans="1:15" ht="15.75" customHeight="1" x14ac:dyDescent="0.2">
      <c r="A79" s="417" t="s">
        <v>68</v>
      </c>
      <c r="B79" s="434">
        <f t="shared" ref="B79:I79" si="28">B74</f>
        <v>6.18624E-3</v>
      </c>
      <c r="C79" s="435">
        <f t="shared" si="28"/>
        <v>28.47909256494545</v>
      </c>
      <c r="D79" s="435">
        <f t="shared" si="28"/>
        <v>24.426098694981821</v>
      </c>
      <c r="E79" s="435">
        <f t="shared" si="28"/>
        <v>21.386183170909092</v>
      </c>
      <c r="F79" s="435">
        <f t="shared" si="28"/>
        <v>18.346391371636361</v>
      </c>
      <c r="G79" s="435">
        <f t="shared" si="28"/>
        <v>12.266498461090908</v>
      </c>
      <c r="H79" s="435">
        <f t="shared" si="28"/>
        <v>28.432845734400001</v>
      </c>
      <c r="I79" s="436">
        <f t="shared" si="28"/>
        <v>28.50349701180043</v>
      </c>
      <c r="J79"/>
      <c r="K79"/>
      <c r="L79"/>
      <c r="M79"/>
      <c r="N79"/>
      <c r="O79"/>
    </row>
    <row r="80" spans="1:15" ht="15.75" customHeight="1" x14ac:dyDescent="0.2">
      <c r="A80" s="405" t="s">
        <v>474</v>
      </c>
      <c r="B80" s="406"/>
      <c r="C80" s="420">
        <f t="shared" ref="C80:I80" si="29">SUM(C77:C79)</f>
        <v>336.84247990438314</v>
      </c>
      <c r="D80" s="420">
        <f t="shared" si="29"/>
        <v>295.03797883684109</v>
      </c>
      <c r="E80" s="420">
        <f t="shared" si="29"/>
        <v>247.54751063809147</v>
      </c>
      <c r="F80" s="420">
        <f t="shared" si="29"/>
        <v>216.19359012601694</v>
      </c>
      <c r="G80" s="420">
        <f t="shared" si="29"/>
        <v>155.26541960556224</v>
      </c>
      <c r="H80" s="420">
        <f t="shared" si="29"/>
        <v>333.52503076217596</v>
      </c>
      <c r="I80" s="421">
        <f t="shared" si="29"/>
        <v>334.2285348170189</v>
      </c>
      <c r="J80"/>
      <c r="K80"/>
      <c r="L80"/>
      <c r="M80"/>
      <c r="N80"/>
      <c r="O80"/>
    </row>
    <row r="81" spans="1:15" ht="15.75" customHeight="1" x14ac:dyDescent="0.2">
      <c r="A81" s="410"/>
      <c r="B81" s="411"/>
      <c r="C81" s="411"/>
      <c r="D81" s="411"/>
      <c r="E81" s="411"/>
      <c r="F81" s="411"/>
      <c r="G81" s="411"/>
      <c r="H81" s="412"/>
      <c r="I81" s="413"/>
      <c r="J81"/>
      <c r="K81"/>
      <c r="L81"/>
      <c r="M81"/>
      <c r="N81"/>
      <c r="O81"/>
    </row>
    <row r="82" spans="1:15" ht="15.75" customHeight="1" x14ac:dyDescent="0.2">
      <c r="A82" s="450" t="s">
        <v>516</v>
      </c>
      <c r="B82" s="451"/>
      <c r="C82" s="451"/>
      <c r="D82" s="451"/>
      <c r="E82" s="451"/>
      <c r="F82" s="451"/>
      <c r="G82" s="451"/>
      <c r="H82" s="451"/>
      <c r="I82" s="452"/>
      <c r="J82"/>
      <c r="K82"/>
      <c r="L82"/>
      <c r="M82"/>
      <c r="N82"/>
      <c r="O82"/>
    </row>
    <row r="83" spans="1:15" ht="15.75" customHeight="1" x14ac:dyDescent="0.2">
      <c r="A83" s="391" t="s">
        <v>517</v>
      </c>
      <c r="B83" s="392" t="s">
        <v>518</v>
      </c>
      <c r="C83" s="392" t="s">
        <v>465</v>
      </c>
      <c r="D83" s="392" t="s">
        <v>465</v>
      </c>
      <c r="E83" s="392" t="s">
        <v>465</v>
      </c>
      <c r="F83" s="392" t="s">
        <v>465</v>
      </c>
      <c r="G83" s="392" t="s">
        <v>465</v>
      </c>
      <c r="H83" s="392" t="s">
        <v>465</v>
      </c>
      <c r="I83" s="393" t="s">
        <v>465</v>
      </c>
      <c r="J83"/>
      <c r="K83"/>
      <c r="L83"/>
      <c r="M83"/>
      <c r="N83"/>
      <c r="O83"/>
    </row>
    <row r="84" spans="1:15" ht="15.75" customHeight="1" x14ac:dyDescent="0.2">
      <c r="A84" s="417" t="s">
        <v>519</v>
      </c>
      <c r="B84" s="453"/>
      <c r="C84" s="396">
        <f>Insumos!$K119</f>
        <v>34.030416666666667</v>
      </c>
      <c r="D84" s="396">
        <f>Insumos!$K119</f>
        <v>34.030416666666667</v>
      </c>
      <c r="E84" s="396">
        <f>Insumos!$K119</f>
        <v>34.030416666666667</v>
      </c>
      <c r="F84" s="396">
        <f>Insumos!$K119</f>
        <v>34.030416666666667</v>
      </c>
      <c r="G84" s="396">
        <f>Insumos!$K119</f>
        <v>34.030416666666667</v>
      </c>
      <c r="H84" s="396">
        <f>Insumos!$K119</f>
        <v>34.030416666666667</v>
      </c>
      <c r="I84" s="398">
        <f>Insumos!$K118</f>
        <v>27.875416666666666</v>
      </c>
      <c r="J84"/>
      <c r="K84"/>
      <c r="L84"/>
      <c r="M84"/>
      <c r="N84"/>
      <c r="O84"/>
    </row>
    <row r="85" spans="1:15" x14ac:dyDescent="0.2">
      <c r="A85" s="454" t="s">
        <v>520</v>
      </c>
      <c r="B85" s="453"/>
      <c r="C85" s="396">
        <f>Insumos!$G60</f>
        <v>461.23111666666665</v>
      </c>
      <c r="D85" s="396">
        <f>Insumos!$G60</f>
        <v>461.23111666666665</v>
      </c>
      <c r="E85" s="396">
        <f>Insumos!$G60</f>
        <v>461.23111666666665</v>
      </c>
      <c r="F85" s="396">
        <f>Insumos!$G60</f>
        <v>461.23111666666665</v>
      </c>
      <c r="G85" s="396">
        <f>Insumos!$G60</f>
        <v>461.23111666666665</v>
      </c>
      <c r="H85" s="400" t="s">
        <v>469</v>
      </c>
      <c r="I85" s="401" t="s">
        <v>469</v>
      </c>
      <c r="J85"/>
      <c r="K85"/>
      <c r="L85"/>
      <c r="M85"/>
      <c r="N85"/>
      <c r="O85"/>
    </row>
    <row r="86" spans="1:15" x14ac:dyDescent="0.2">
      <c r="A86" s="454" t="s">
        <v>521</v>
      </c>
      <c r="B86" s="455"/>
      <c r="C86" s="396">
        <f>Insumos!$K100</f>
        <v>22.009900000000005</v>
      </c>
      <c r="D86" s="396">
        <f>Insumos!$K100</f>
        <v>22.009900000000005</v>
      </c>
      <c r="E86" s="396">
        <f>Insumos!$K100</f>
        <v>22.009900000000005</v>
      </c>
      <c r="F86" s="396">
        <f>Insumos!$K100</f>
        <v>22.009900000000005</v>
      </c>
      <c r="G86" s="396">
        <f>Insumos!$K100</f>
        <v>22.009900000000005</v>
      </c>
      <c r="H86" s="400" t="s">
        <v>469</v>
      </c>
      <c r="I86" s="401" t="s">
        <v>469</v>
      </c>
      <c r="J86"/>
      <c r="K86"/>
      <c r="L86"/>
      <c r="M86"/>
      <c r="N86"/>
      <c r="O86"/>
    </row>
    <row r="87" spans="1:15" ht="15.75" customHeight="1" x14ac:dyDescent="0.2">
      <c r="A87" s="454" t="s">
        <v>522</v>
      </c>
      <c r="B87" s="453"/>
      <c r="C87" s="396">
        <f>Insumos!$I130</f>
        <v>36.666666666666671</v>
      </c>
      <c r="D87" s="396">
        <f>Insumos!$I130</f>
        <v>36.666666666666671</v>
      </c>
      <c r="E87" s="396">
        <f>Insumos!$H130</f>
        <v>25.446666666666665</v>
      </c>
      <c r="F87" s="396">
        <f>Insumos!$H130</f>
        <v>25.446666666666665</v>
      </c>
      <c r="G87" s="396">
        <f>Insumos!$H130</f>
        <v>25.446666666666665</v>
      </c>
      <c r="H87" s="400" t="s">
        <v>469</v>
      </c>
      <c r="I87" s="401" t="s">
        <v>469</v>
      </c>
      <c r="J87"/>
      <c r="K87"/>
      <c r="L87"/>
      <c r="M87"/>
      <c r="N87"/>
      <c r="O87"/>
    </row>
    <row r="88" spans="1:15" ht="15.75" customHeight="1" x14ac:dyDescent="0.2">
      <c r="A88" s="454" t="s">
        <v>523</v>
      </c>
      <c r="B88" s="418">
        <v>0.12</v>
      </c>
      <c r="C88" s="400" t="s">
        <v>469</v>
      </c>
      <c r="D88" s="400" t="s">
        <v>469</v>
      </c>
      <c r="E88" s="400" t="s">
        <v>469</v>
      </c>
      <c r="F88" s="400" t="s">
        <v>469</v>
      </c>
      <c r="G88" s="400" t="s">
        <v>469</v>
      </c>
      <c r="H88" s="397">
        <f>B88*(H127+H128+H84)</f>
        <v>358.30828333333329</v>
      </c>
      <c r="I88" s="401" t="s">
        <v>469</v>
      </c>
      <c r="J88"/>
      <c r="K88"/>
      <c r="L88"/>
      <c r="M88"/>
      <c r="N88"/>
      <c r="O88"/>
    </row>
    <row r="89" spans="1:15" ht="15.75" customHeight="1" x14ac:dyDescent="0.2">
      <c r="A89" s="456" t="s">
        <v>524</v>
      </c>
      <c r="B89" s="457"/>
      <c r="C89" s="458"/>
      <c r="D89" s="458"/>
      <c r="E89" s="458"/>
      <c r="F89" s="458"/>
      <c r="G89" s="458"/>
      <c r="H89" s="459"/>
      <c r="I89" s="460">
        <f>Insumos!H146</f>
        <v>50.323333333333331</v>
      </c>
      <c r="J89"/>
      <c r="K89"/>
      <c r="L89"/>
      <c r="M89"/>
      <c r="N89"/>
      <c r="O89"/>
    </row>
    <row r="90" spans="1:15" ht="15.75" customHeight="1" x14ac:dyDescent="0.2">
      <c r="A90" s="454" t="s">
        <v>525</v>
      </c>
      <c r="B90" s="418"/>
      <c r="C90" s="400"/>
      <c r="D90" s="400"/>
      <c r="E90" s="400"/>
      <c r="F90" s="400"/>
      <c r="G90" s="400"/>
      <c r="H90" s="397"/>
      <c r="I90" s="401"/>
      <c r="J90"/>
      <c r="K90"/>
      <c r="L90"/>
      <c r="M90"/>
      <c r="N90"/>
      <c r="O90"/>
    </row>
    <row r="91" spans="1:15" ht="15.75" customHeight="1" x14ac:dyDescent="0.2">
      <c r="A91" s="444" t="s">
        <v>474</v>
      </c>
      <c r="B91" s="461"/>
      <c r="C91" s="446">
        <f t="shared" ref="C91:I91" si="30">SUM(C84:C90)</f>
        <v>553.93809999999996</v>
      </c>
      <c r="D91" s="446">
        <f t="shared" si="30"/>
        <v>553.93809999999996</v>
      </c>
      <c r="E91" s="446">
        <f t="shared" si="30"/>
        <v>542.71810000000005</v>
      </c>
      <c r="F91" s="446">
        <f t="shared" si="30"/>
        <v>542.71810000000005</v>
      </c>
      <c r="G91" s="446">
        <f t="shared" si="30"/>
        <v>542.71810000000005</v>
      </c>
      <c r="H91" s="446">
        <f t="shared" si="30"/>
        <v>392.33869999999996</v>
      </c>
      <c r="I91" s="446">
        <f t="shared" si="30"/>
        <v>78.19874999999999</v>
      </c>
      <c r="J91"/>
      <c r="K91"/>
      <c r="L91"/>
      <c r="M91"/>
      <c r="N91"/>
      <c r="O91"/>
    </row>
    <row r="92" spans="1:15" ht="15.75" customHeight="1" x14ac:dyDescent="0.2">
      <c r="A92" s="888"/>
      <c r="B92" s="888"/>
      <c r="C92" s="462"/>
      <c r="D92" s="462"/>
      <c r="E92" s="462"/>
      <c r="F92" s="462"/>
      <c r="G92" s="462"/>
      <c r="H92" s="463"/>
      <c r="I92" s="464"/>
      <c r="J92"/>
      <c r="K92"/>
      <c r="L92"/>
      <c r="M92"/>
      <c r="N92"/>
      <c r="O92"/>
    </row>
    <row r="93" spans="1:15" ht="15.75" customHeight="1" x14ac:dyDescent="0.2">
      <c r="A93" s="450" t="s">
        <v>526</v>
      </c>
      <c r="B93" s="451"/>
      <c r="C93" s="451"/>
      <c r="D93" s="451"/>
      <c r="E93" s="451"/>
      <c r="F93" s="451"/>
      <c r="G93" s="451"/>
      <c r="H93" s="451"/>
      <c r="I93" s="452"/>
      <c r="J93"/>
      <c r="K93"/>
      <c r="L93"/>
      <c r="M93"/>
      <c r="N93"/>
      <c r="O93"/>
    </row>
    <row r="94" spans="1:15" ht="15.75" customHeight="1" x14ac:dyDescent="0.2">
      <c r="A94" s="391" t="s">
        <v>527</v>
      </c>
      <c r="B94" s="392" t="s">
        <v>464</v>
      </c>
      <c r="C94" s="392" t="s">
        <v>465</v>
      </c>
      <c r="D94" s="392" t="s">
        <v>465</v>
      </c>
      <c r="E94" s="392" t="s">
        <v>465</v>
      </c>
      <c r="F94" s="392" t="s">
        <v>465</v>
      </c>
      <c r="G94" s="392" t="s">
        <v>465</v>
      </c>
      <c r="H94" s="392" t="s">
        <v>465</v>
      </c>
      <c r="I94" s="393" t="s">
        <v>465</v>
      </c>
      <c r="J94"/>
      <c r="K94"/>
      <c r="L94"/>
      <c r="M94"/>
      <c r="N94"/>
      <c r="O94"/>
    </row>
    <row r="95" spans="1:15" ht="15.75" customHeight="1" x14ac:dyDescent="0.2">
      <c r="A95" s="394" t="s">
        <v>74</v>
      </c>
      <c r="B95" s="418">
        <f>MC!C66</f>
        <v>0.03</v>
      </c>
      <c r="C95" s="425">
        <f t="shared" ref="C95:I95" si="31">(C$19+C$49+C$60+C$80+C$91)*$B$95</f>
        <v>119.5453142971315</v>
      </c>
      <c r="D95" s="425">
        <f t="shared" si="31"/>
        <v>106.92742256510522</v>
      </c>
      <c r="E95" s="425">
        <f t="shared" si="31"/>
        <v>91.785840994142731</v>
      </c>
      <c r="F95" s="425">
        <f t="shared" si="31"/>
        <v>82.322255853780504</v>
      </c>
      <c r="G95" s="425">
        <f t="shared" si="31"/>
        <v>63.984275688166861</v>
      </c>
      <c r="H95" s="425">
        <f t="shared" si="31"/>
        <v>113.6131290061986</v>
      </c>
      <c r="I95" s="426">
        <f t="shared" si="31"/>
        <v>104.40053358471056</v>
      </c>
      <c r="J95"/>
      <c r="K95"/>
      <c r="L95"/>
      <c r="M95"/>
      <c r="N95"/>
      <c r="O95"/>
    </row>
    <row r="96" spans="1:15" ht="13.9" customHeight="1" x14ac:dyDescent="0.2">
      <c r="A96" s="394" t="s">
        <v>75</v>
      </c>
      <c r="B96" s="418">
        <f>MC!C67</f>
        <v>6.7900000000000002E-2</v>
      </c>
      <c r="C96" s="425">
        <f t="shared" ref="C96:I96" si="32">(C$19+C$49+C$60+C$80+C$91+C95)*$B$96</f>
        <v>278.68802153328289</v>
      </c>
      <c r="D96" s="425">
        <f t="shared" si="32"/>
        <v>249.27277173119214</v>
      </c>
      <c r="E96" s="425">
        <f t="shared" si="32"/>
        <v>213.9742120535787</v>
      </c>
      <c r="F96" s="425">
        <f t="shared" si="32"/>
        <v>191.91238692152822</v>
      </c>
      <c r="G96" s="425">
        <f t="shared" si="32"/>
        <v>149.16227629344419</v>
      </c>
      <c r="H96" s="425">
        <f t="shared" si="32"/>
        <v>264.85871344355041</v>
      </c>
      <c r="I96" s="426">
        <f t="shared" si="32"/>
        <v>243.38200391046342</v>
      </c>
      <c r="J96"/>
      <c r="K96"/>
      <c r="L96"/>
      <c r="M96"/>
      <c r="N96"/>
      <c r="O96"/>
    </row>
    <row r="97" spans="1:15" ht="13.9" customHeight="1" x14ac:dyDescent="0.2">
      <c r="A97" s="465" t="s">
        <v>528</v>
      </c>
      <c r="B97" s="466">
        <f>B98+B99</f>
        <v>0.1125</v>
      </c>
      <c r="C97" s="467">
        <f t="shared" ref="C97:I97" si="33">((C19+C49+C60+C80+C91+C95+C96)/(1-($B$97)))*$B$97</f>
        <v>555.60132833258012</v>
      </c>
      <c r="D97" s="467">
        <f t="shared" si="33"/>
        <v>496.95814814363729</v>
      </c>
      <c r="E97" s="467">
        <f t="shared" si="33"/>
        <v>426.5858137418636</v>
      </c>
      <c r="F97" s="467">
        <f t="shared" si="33"/>
        <v>382.60265550861874</v>
      </c>
      <c r="G97" s="467">
        <f t="shared" si="33"/>
        <v>297.37467146879663</v>
      </c>
      <c r="H97" s="467">
        <f t="shared" si="33"/>
        <v>528.03077864658201</v>
      </c>
      <c r="I97" s="468">
        <f t="shared" si="33"/>
        <v>485.21412553337655</v>
      </c>
      <c r="J97"/>
      <c r="K97"/>
      <c r="L97"/>
      <c r="M97"/>
      <c r="N97"/>
      <c r="O97"/>
    </row>
    <row r="98" spans="1:15" ht="13.9" customHeight="1" x14ac:dyDescent="0.2">
      <c r="A98" s="394" t="s">
        <v>529</v>
      </c>
      <c r="B98" s="418">
        <f>0.0165+0.076</f>
        <v>9.2499999999999999E-2</v>
      </c>
      <c r="C98" s="469">
        <f t="shared" ref="C98:I98" si="34">((C$19+C$49+C$60+C$80+C$91+C$95+C$96)/(1-($B$97)))*$B$98</f>
        <v>456.82775885123249</v>
      </c>
      <c r="D98" s="469">
        <f t="shared" si="34"/>
        <v>408.61003291810175</v>
      </c>
      <c r="E98" s="469">
        <f t="shared" si="34"/>
        <v>350.74833574331007</v>
      </c>
      <c r="F98" s="469">
        <f t="shared" si="34"/>
        <v>314.58440564041985</v>
      </c>
      <c r="G98" s="469">
        <f t="shared" si="34"/>
        <v>244.50806320767722</v>
      </c>
      <c r="H98" s="469">
        <f t="shared" si="34"/>
        <v>434.15864022052301</v>
      </c>
      <c r="I98" s="470">
        <f t="shared" si="34"/>
        <v>398.95383654966514</v>
      </c>
      <c r="J98"/>
      <c r="K98"/>
      <c r="L98"/>
      <c r="M98"/>
      <c r="N98"/>
      <c r="O98"/>
    </row>
    <row r="99" spans="1:15" ht="13.9" customHeight="1" x14ac:dyDescent="0.2">
      <c r="A99" s="394" t="s">
        <v>530</v>
      </c>
      <c r="B99" s="418">
        <v>0.02</v>
      </c>
      <c r="C99" s="471">
        <f t="shared" ref="C99:I99" si="35">((C$19+C$49+C$60+C$80+C$91+C$95+C$96)/(1-($B$97)))*$B$99</f>
        <v>98.773569481347565</v>
      </c>
      <c r="D99" s="471">
        <f t="shared" si="35"/>
        <v>88.348115225535508</v>
      </c>
      <c r="E99" s="471">
        <f t="shared" si="35"/>
        <v>75.837477998553538</v>
      </c>
      <c r="F99" s="471">
        <f t="shared" si="35"/>
        <v>68.018249868198879</v>
      </c>
      <c r="G99" s="471">
        <f t="shared" si="35"/>
        <v>52.866608261119403</v>
      </c>
      <c r="H99" s="471">
        <f t="shared" si="35"/>
        <v>93.872138426059024</v>
      </c>
      <c r="I99" s="472">
        <f t="shared" si="35"/>
        <v>86.260288983711376</v>
      </c>
      <c r="J99"/>
      <c r="K99"/>
      <c r="L99"/>
      <c r="M99"/>
      <c r="N99"/>
      <c r="O99"/>
    </row>
    <row r="100" spans="1:15" ht="13.9" customHeight="1" x14ac:dyDescent="0.2">
      <c r="A100" s="465" t="s">
        <v>531</v>
      </c>
      <c r="B100" s="466">
        <f>B101+B102</f>
        <v>0.11749999999999999</v>
      </c>
      <c r="C100" s="467">
        <f t="shared" ref="C100:I100" si="36">((C19+C49+C60+C80+C91+C95+C96)/(1-($B$100)))*$B$100</f>
        <v>583.58250948876912</v>
      </c>
      <c r="D100" s="467">
        <f t="shared" si="36"/>
        <v>521.98594282509191</v>
      </c>
      <c r="E100" s="467">
        <f t="shared" si="36"/>
        <v>448.06951855731785</v>
      </c>
      <c r="F100" s="467">
        <f t="shared" si="36"/>
        <v>401.87128153360419</v>
      </c>
      <c r="G100" s="467">
        <f t="shared" si="36"/>
        <v>312.35104774673408</v>
      </c>
      <c r="H100" s="467">
        <f t="shared" si="36"/>
        <v>554.62345242166953</v>
      </c>
      <c r="I100" s="468">
        <f t="shared" si="36"/>
        <v>509.65046802167996</v>
      </c>
      <c r="J100"/>
      <c r="K100"/>
      <c r="L100"/>
      <c r="M100"/>
      <c r="N100"/>
      <c r="O100"/>
    </row>
    <row r="101" spans="1:15" ht="13.9" customHeight="1" x14ac:dyDescent="0.2">
      <c r="A101" s="394" t="s">
        <v>529</v>
      </c>
      <c r="B101" s="418">
        <f>0.0165+0.076</f>
        <v>9.2499999999999999E-2</v>
      </c>
      <c r="C101" s="469">
        <f t="shared" ref="C101:I101" si="37">((C19+C49+C60+C80+C91+C95+C96)/(1-($B$100)))*$B$101</f>
        <v>459.41601810817991</v>
      </c>
      <c r="D101" s="469">
        <f t="shared" si="37"/>
        <v>410.92510392613622</v>
      </c>
      <c r="E101" s="469">
        <f t="shared" si="37"/>
        <v>352.73557843873959</v>
      </c>
      <c r="F101" s="469">
        <f t="shared" si="37"/>
        <v>316.36675354773098</v>
      </c>
      <c r="G101" s="469">
        <f t="shared" si="37"/>
        <v>245.89337801338641</v>
      </c>
      <c r="H101" s="469">
        <f t="shared" si="37"/>
        <v>436.61846254471857</v>
      </c>
      <c r="I101" s="470">
        <f t="shared" si="37"/>
        <v>401.21419822983319</v>
      </c>
      <c r="J101"/>
      <c r="K101"/>
      <c r="L101"/>
      <c r="M101"/>
      <c r="N101"/>
      <c r="O101"/>
    </row>
    <row r="102" spans="1:15" ht="13.9" customHeight="1" x14ac:dyDescent="0.2">
      <c r="A102" s="394" t="s">
        <v>530</v>
      </c>
      <c r="B102" s="418">
        <v>2.5000000000000001E-2</v>
      </c>
      <c r="C102" s="471">
        <f t="shared" ref="C102:I102" si="38">((C$19+C$49+C$60+C$80+C$91+C$95+C$96)/(1-($B$100)))*$B$102</f>
        <v>124.16649138058918</v>
      </c>
      <c r="D102" s="471">
        <f t="shared" si="38"/>
        <v>111.06083889895575</v>
      </c>
      <c r="E102" s="471">
        <f t="shared" si="38"/>
        <v>95.333940118578269</v>
      </c>
      <c r="F102" s="471">
        <f t="shared" si="38"/>
        <v>85.504527985873239</v>
      </c>
      <c r="G102" s="471">
        <f t="shared" si="38"/>
        <v>66.457669733347686</v>
      </c>
      <c r="H102" s="471">
        <f t="shared" si="38"/>
        <v>118.00498987695096</v>
      </c>
      <c r="I102" s="472">
        <f t="shared" si="38"/>
        <v>108.43626979184681</v>
      </c>
      <c r="J102"/>
      <c r="K102"/>
      <c r="L102"/>
      <c r="M102"/>
      <c r="N102"/>
      <c r="O102"/>
    </row>
    <row r="103" spans="1:15" ht="13.9" customHeight="1" x14ac:dyDescent="0.2">
      <c r="A103" s="465" t="s">
        <v>532</v>
      </c>
      <c r="B103" s="466">
        <f>B104+B105</f>
        <v>0.1225</v>
      </c>
      <c r="C103" s="467">
        <f t="shared" ref="C103:I103" si="39">((C19+C49+C60+C80+C91+C95+C96)/(1-($B$103)))*$B$103</f>
        <v>611.8825645042881</v>
      </c>
      <c r="D103" s="467">
        <f t="shared" si="39"/>
        <v>547.29895453995368</v>
      </c>
      <c r="E103" s="467">
        <f t="shared" si="39"/>
        <v>469.79805191767758</v>
      </c>
      <c r="F103" s="467">
        <f t="shared" si="39"/>
        <v>421.35949304035597</v>
      </c>
      <c r="G103" s="467">
        <f t="shared" si="39"/>
        <v>327.49809497940595</v>
      </c>
      <c r="H103" s="467">
        <f t="shared" si="39"/>
        <v>581.51917661014852</v>
      </c>
      <c r="I103" s="468">
        <f t="shared" si="39"/>
        <v>534.36528734745718</v>
      </c>
      <c r="J103"/>
      <c r="K103"/>
      <c r="L103"/>
      <c r="M103"/>
      <c r="N103"/>
      <c r="O103"/>
    </row>
    <row r="104" spans="1:15" ht="13.9" customHeight="1" x14ac:dyDescent="0.2">
      <c r="A104" s="394" t="s">
        <v>529</v>
      </c>
      <c r="B104" s="418">
        <f>0.0165+0.076</f>
        <v>9.2499999999999999E-2</v>
      </c>
      <c r="C104" s="469">
        <f t="shared" ref="C104:I104" si="40">((C19+C49+C60+C80+C91+C95+C96)/(1-($B$103)))*$B$104</f>
        <v>462.03377319711547</v>
      </c>
      <c r="D104" s="469">
        <f t="shared" si="40"/>
        <v>413.26655750976096</v>
      </c>
      <c r="E104" s="469">
        <f t="shared" si="40"/>
        <v>354.74546777457289</v>
      </c>
      <c r="F104" s="469">
        <f t="shared" si="40"/>
        <v>318.16941311210553</v>
      </c>
      <c r="G104" s="469">
        <f t="shared" si="40"/>
        <v>247.29447988240858</v>
      </c>
      <c r="H104" s="469">
        <f t="shared" si="40"/>
        <v>439.10631703215296</v>
      </c>
      <c r="I104" s="470">
        <f t="shared" si="40"/>
        <v>403.50031901746763</v>
      </c>
      <c r="J104"/>
      <c r="K104"/>
      <c r="L104"/>
      <c r="M104"/>
      <c r="N104"/>
      <c r="O104"/>
    </row>
    <row r="105" spans="1:15" ht="13.9" customHeight="1" x14ac:dyDescent="0.2">
      <c r="A105" s="394" t="s">
        <v>530</v>
      </c>
      <c r="B105" s="418">
        <v>0.03</v>
      </c>
      <c r="C105" s="471">
        <f t="shared" ref="C105:I105" si="41">((C19+C49+C60+C80+C91+C95+C96)/(1-($B$103)))*$B$105</f>
        <v>149.84879130717258</v>
      </c>
      <c r="D105" s="471">
        <f t="shared" si="41"/>
        <v>134.03239703019275</v>
      </c>
      <c r="E105" s="471">
        <f t="shared" si="41"/>
        <v>115.05258414310471</v>
      </c>
      <c r="F105" s="471">
        <f t="shared" si="41"/>
        <v>103.19007992825044</v>
      </c>
      <c r="G105" s="471">
        <f t="shared" si="41"/>
        <v>80.203615096997382</v>
      </c>
      <c r="H105" s="471">
        <f t="shared" si="41"/>
        <v>142.41285957799553</v>
      </c>
      <c r="I105" s="472">
        <f t="shared" si="41"/>
        <v>130.86496832998949</v>
      </c>
      <c r="J105" s="473"/>
      <c r="K105"/>
      <c r="L105"/>
      <c r="M105"/>
      <c r="N105"/>
      <c r="O105"/>
    </row>
    <row r="106" spans="1:15" ht="13.9" customHeight="1" x14ac:dyDescent="0.2">
      <c r="A106" s="465" t="s">
        <v>533</v>
      </c>
      <c r="B106" s="466">
        <f>B107+B108</f>
        <v>0.1275</v>
      </c>
      <c r="C106" s="467">
        <f>((C19+C49+C60+C80+C91+C95+C96)/(1-($B$106)))*$B$106</f>
        <v>640.50697545121693</v>
      </c>
      <c r="D106" s="467">
        <f t="shared" ref="D106:I106" si="42">((D19+D49+D60+D80+D91+D95+D96)/(1-($B$106)))*$B$106</f>
        <v>572.90208673292273</v>
      </c>
      <c r="E106" s="467">
        <f t="shared" si="42"/>
        <v>491.77562290967467</v>
      </c>
      <c r="F106" s="467">
        <f t="shared" si="42"/>
        <v>441.07106513744299</v>
      </c>
      <c r="G106" s="467">
        <f t="shared" si="42"/>
        <v>342.81874733795365</v>
      </c>
      <c r="H106" s="467">
        <f t="shared" si="42"/>
        <v>608.72316124777899</v>
      </c>
      <c r="I106" s="467">
        <f t="shared" si="42"/>
        <v>559.36337107811414</v>
      </c>
      <c r="J106" s="473"/>
      <c r="K106"/>
      <c r="L106"/>
      <c r="M106"/>
      <c r="N106"/>
      <c r="O106"/>
    </row>
    <row r="107" spans="1:15" ht="13.9" customHeight="1" x14ac:dyDescent="0.2">
      <c r="A107" s="394" t="s">
        <v>529</v>
      </c>
      <c r="B107" s="418">
        <f>0.0165+0.076</f>
        <v>9.2499999999999999E-2</v>
      </c>
      <c r="C107" s="469">
        <f>((C19+C49+C60+C80+C91+C95+C96)/(1-($B$106)))*$B$107</f>
        <v>464.68153120970641</v>
      </c>
      <c r="D107" s="469">
        <f t="shared" ref="D107:I107" si="43">((D19+D49+D60+D80+D91+D95+D96)/(1-($B$106)))*$B$107</f>
        <v>415.63484723761059</v>
      </c>
      <c r="E107" s="469">
        <f t="shared" si="43"/>
        <v>356.77839309133259</v>
      </c>
      <c r="F107" s="469">
        <f t="shared" si="43"/>
        <v>319.99273353108606</v>
      </c>
      <c r="G107" s="469">
        <f t="shared" si="43"/>
        <v>248.7116402255742</v>
      </c>
      <c r="H107" s="469">
        <f t="shared" si="43"/>
        <v>441.6226856111337</v>
      </c>
      <c r="I107" s="469">
        <f t="shared" si="43"/>
        <v>405.81264176255337</v>
      </c>
      <c r="J107" s="473"/>
      <c r="K107"/>
      <c r="L107"/>
      <c r="M107"/>
      <c r="N107"/>
      <c r="O107"/>
    </row>
    <row r="108" spans="1:15" ht="13.9" customHeight="1" x14ac:dyDescent="0.2">
      <c r="A108" s="394" t="s">
        <v>530</v>
      </c>
      <c r="B108" s="418">
        <v>3.5000000000000003E-2</v>
      </c>
      <c r="C108" s="471">
        <f>((C19+C49+C60+C80+C91+C95+C96)/(1-($B$106)))*$B$108</f>
        <v>175.82544424151055</v>
      </c>
      <c r="D108" s="471">
        <f t="shared" ref="D108:I108" si="44">((D19+D49+D60+D80+D91+D95+D96)/(1-($B$106)))*$B$108</f>
        <v>157.26723949531211</v>
      </c>
      <c r="E108" s="471">
        <f t="shared" si="44"/>
        <v>134.99722981834208</v>
      </c>
      <c r="F108" s="471">
        <f t="shared" si="44"/>
        <v>121.0783316063569</v>
      </c>
      <c r="G108" s="471">
        <f t="shared" si="44"/>
        <v>94.107107112379438</v>
      </c>
      <c r="H108" s="471">
        <f t="shared" si="44"/>
        <v>167.1004756366452</v>
      </c>
      <c r="I108" s="471">
        <f t="shared" si="44"/>
        <v>153.55072931556074</v>
      </c>
      <c r="J108" s="473"/>
      <c r="K108"/>
      <c r="L108"/>
      <c r="M108"/>
      <c r="N108"/>
      <c r="O108"/>
    </row>
    <row r="109" spans="1:15" ht="13.9" customHeight="1" x14ac:dyDescent="0.2">
      <c r="A109" s="465" t="s">
        <v>534</v>
      </c>
      <c r="B109" s="466">
        <f>B110+B111</f>
        <v>0.13250000000000001</v>
      </c>
      <c r="C109" s="467">
        <f t="shared" ref="C109:I109" si="45">((C19+C49+C60+C80+C91+C95+C96)/(1-($B$109)))*$B$109</f>
        <v>669.46135078946497</v>
      </c>
      <c r="D109" s="467">
        <f t="shared" si="45"/>
        <v>598.80035589641591</v>
      </c>
      <c r="E109" s="467">
        <f t="shared" si="45"/>
        <v>514.0065376595046</v>
      </c>
      <c r="F109" s="467">
        <f t="shared" si="45"/>
        <v>461.00985996763768</v>
      </c>
      <c r="G109" s="467">
        <f t="shared" si="45"/>
        <v>358.31600664011586</v>
      </c>
      <c r="H109" s="467">
        <f t="shared" si="45"/>
        <v>636.24073648641968</v>
      </c>
      <c r="I109" s="468">
        <f t="shared" si="45"/>
        <v>584.64961715725144</v>
      </c>
      <c r="J109"/>
      <c r="K109"/>
      <c r="L109"/>
      <c r="M109"/>
      <c r="N109"/>
      <c r="O109"/>
    </row>
    <row r="110" spans="1:15" ht="13.9" customHeight="1" x14ac:dyDescent="0.2">
      <c r="A110" s="394" t="s">
        <v>529</v>
      </c>
      <c r="B110" s="418">
        <f>0.0165+0.076</f>
        <v>9.2499999999999999E-2</v>
      </c>
      <c r="C110" s="469">
        <f t="shared" ref="C110:I110" si="46">((C19+C49+C60+C80+C91+C95+C96)/(1-($B$109)))*$B$110</f>
        <v>467.35981092849437</v>
      </c>
      <c r="D110" s="469">
        <f t="shared" si="46"/>
        <v>418.03043713523374</v>
      </c>
      <c r="E110" s="469">
        <f t="shared" si="46"/>
        <v>358.83475270569187</v>
      </c>
      <c r="F110" s="469">
        <f t="shared" si="46"/>
        <v>321.83707205287914</v>
      </c>
      <c r="G110" s="469">
        <f t="shared" si="46"/>
        <v>250.14513671102424</v>
      </c>
      <c r="H110" s="469">
        <f t="shared" si="46"/>
        <v>444.16806132070803</v>
      </c>
      <c r="I110" s="470">
        <f t="shared" si="46"/>
        <v>408.15161952487358</v>
      </c>
      <c r="J110"/>
      <c r="K110"/>
      <c r="L110"/>
      <c r="M110"/>
      <c r="N110"/>
      <c r="O110"/>
    </row>
    <row r="111" spans="1:15" ht="13.9" customHeight="1" x14ac:dyDescent="0.2">
      <c r="A111" s="394" t="s">
        <v>530</v>
      </c>
      <c r="B111" s="418">
        <v>0.04</v>
      </c>
      <c r="C111" s="471">
        <f t="shared" ref="C111:I111" si="47">((C19+C49+C60+C80+C91+C95+C96)/(1-($B$109)))*$B$111</f>
        <v>202.10153986097055</v>
      </c>
      <c r="D111" s="471">
        <f t="shared" si="47"/>
        <v>180.76991876118217</v>
      </c>
      <c r="E111" s="471">
        <f t="shared" si="47"/>
        <v>155.1717849538127</v>
      </c>
      <c r="F111" s="471">
        <f t="shared" si="47"/>
        <v>139.17278791475854</v>
      </c>
      <c r="G111" s="471">
        <f t="shared" si="47"/>
        <v>108.17086992909157</v>
      </c>
      <c r="H111" s="471">
        <f t="shared" si="47"/>
        <v>192.07267516571159</v>
      </c>
      <c r="I111" s="472">
        <f t="shared" si="47"/>
        <v>176.49799763237777</v>
      </c>
      <c r="J111"/>
      <c r="K111"/>
      <c r="L111"/>
      <c r="M111"/>
      <c r="N111"/>
      <c r="O111"/>
    </row>
    <row r="112" spans="1:15" ht="13.9" customHeight="1" x14ac:dyDescent="0.2">
      <c r="A112" s="465" t="s">
        <v>535</v>
      </c>
      <c r="B112" s="466">
        <f>B113+B114</f>
        <v>0.14250000000000002</v>
      </c>
      <c r="C112" s="467">
        <f t="shared" ref="C112:I112" si="48">((C19+C49+C60+C80+C91+C95+C96)/(1-($B$112)))*$B$112</f>
        <v>728.38308252735726</v>
      </c>
      <c r="D112" s="467">
        <f t="shared" si="48"/>
        <v>651.50295611833496</v>
      </c>
      <c r="E112" s="467">
        <f t="shared" si="48"/>
        <v>559.24612510959582</v>
      </c>
      <c r="F112" s="467">
        <f t="shared" si="48"/>
        <v>501.5850167940979</v>
      </c>
      <c r="G112" s="467">
        <f t="shared" si="48"/>
        <v>389.85270341244575</v>
      </c>
      <c r="H112" s="467">
        <f t="shared" si="48"/>
        <v>692.238600966219</v>
      </c>
      <c r="I112" s="468">
        <f t="shared" si="48"/>
        <v>636.10675932412551</v>
      </c>
      <c r="J112"/>
      <c r="K112"/>
      <c r="L112"/>
      <c r="M112"/>
      <c r="N112"/>
      <c r="O112"/>
    </row>
    <row r="113" spans="1:15" ht="13.9" customHeight="1" x14ac:dyDescent="0.2">
      <c r="A113" s="394" t="s">
        <v>529</v>
      </c>
      <c r="B113" s="418">
        <f>0.0165+0.076</f>
        <v>9.2499999999999999E-2</v>
      </c>
      <c r="C113" s="474">
        <f t="shared" ref="C113:I113" si="49">((C19+C49+C60+C80+C91+C95+C96)/(1-($B$112)))*$B$113</f>
        <v>472.81007111424935</v>
      </c>
      <c r="D113" s="474">
        <f t="shared" si="49"/>
        <v>422.90542765576123</v>
      </c>
      <c r="E113" s="474">
        <f t="shared" si="49"/>
        <v>363.01941454482534</v>
      </c>
      <c r="F113" s="474">
        <f t="shared" si="49"/>
        <v>325.59027405932665</v>
      </c>
      <c r="G113" s="474">
        <f t="shared" si="49"/>
        <v>253.06228116246476</v>
      </c>
      <c r="H113" s="474">
        <f t="shared" si="49"/>
        <v>449.34786378508949</v>
      </c>
      <c r="I113" s="475">
        <f t="shared" si="49"/>
        <v>412.91140517530948</v>
      </c>
      <c r="J113"/>
      <c r="K113"/>
      <c r="L113"/>
      <c r="M113"/>
      <c r="N113"/>
      <c r="O113"/>
    </row>
    <row r="114" spans="1:15" ht="15.75" customHeight="1" x14ac:dyDescent="0.2">
      <c r="A114" s="394" t="s">
        <v>530</v>
      </c>
      <c r="B114" s="476">
        <v>0.05</v>
      </c>
      <c r="C114" s="477">
        <f t="shared" ref="C114:I114" si="50">((C19+C49+C60+C80+C91+C95+C96)/(1-($B$112)))*$B$114</f>
        <v>255.57301141310779</v>
      </c>
      <c r="D114" s="477">
        <f t="shared" si="50"/>
        <v>228.59752846257368</v>
      </c>
      <c r="E114" s="477">
        <f t="shared" si="50"/>
        <v>196.22671056477046</v>
      </c>
      <c r="F114" s="477">
        <f t="shared" si="50"/>
        <v>175.99474273477119</v>
      </c>
      <c r="G114" s="477">
        <f t="shared" si="50"/>
        <v>136.79042224998096</v>
      </c>
      <c r="H114" s="477">
        <f t="shared" si="50"/>
        <v>242.89073718112945</v>
      </c>
      <c r="I114" s="478">
        <f t="shared" si="50"/>
        <v>223.19535414881594</v>
      </c>
      <c r="J114"/>
      <c r="K114"/>
      <c r="L114"/>
      <c r="M114"/>
      <c r="N114"/>
      <c r="O114"/>
    </row>
    <row r="115" spans="1:15" ht="15.75" customHeight="1" x14ac:dyDescent="0.2">
      <c r="A115" s="890" t="s">
        <v>536</v>
      </c>
      <c r="B115" s="479">
        <v>0.02</v>
      </c>
      <c r="C115" s="480">
        <f t="shared" ref="C115:I115" si="51">C95+C96+C97</f>
        <v>953.8346641629945</v>
      </c>
      <c r="D115" s="480">
        <f t="shared" si="51"/>
        <v>853.15834243993459</v>
      </c>
      <c r="E115" s="480">
        <f t="shared" si="51"/>
        <v>732.34586678958499</v>
      </c>
      <c r="F115" s="480">
        <f t="shared" si="51"/>
        <v>656.83729828392745</v>
      </c>
      <c r="G115" s="480">
        <f t="shared" si="51"/>
        <v>510.52122345040766</v>
      </c>
      <c r="H115" s="480">
        <f t="shared" si="51"/>
        <v>906.50262109633104</v>
      </c>
      <c r="I115" s="481">
        <f t="shared" si="51"/>
        <v>832.99666302855053</v>
      </c>
      <c r="J115"/>
      <c r="K115"/>
      <c r="L115"/>
      <c r="M115"/>
      <c r="N115"/>
      <c r="O115"/>
    </row>
    <row r="116" spans="1:15" ht="15.75" customHeight="1" x14ac:dyDescent="0.2">
      <c r="A116" s="890"/>
      <c r="B116" s="482">
        <v>2.5000000000000001E-2</v>
      </c>
      <c r="C116" s="483">
        <f t="shared" ref="C116:I116" si="52">C95+C96+C100</f>
        <v>981.8158453191835</v>
      </c>
      <c r="D116" s="483">
        <f t="shared" si="52"/>
        <v>878.18613712138927</v>
      </c>
      <c r="E116" s="483">
        <f t="shared" si="52"/>
        <v>753.82957160503929</v>
      </c>
      <c r="F116" s="483">
        <f t="shared" si="52"/>
        <v>676.1059243089129</v>
      </c>
      <c r="G116" s="483">
        <f t="shared" si="52"/>
        <v>525.49759972834511</v>
      </c>
      <c r="H116" s="483">
        <f t="shared" si="52"/>
        <v>933.09529487141856</v>
      </c>
      <c r="I116" s="484">
        <f t="shared" si="52"/>
        <v>857.43300551685388</v>
      </c>
      <c r="J116"/>
      <c r="K116"/>
      <c r="L116"/>
      <c r="M116"/>
      <c r="N116"/>
      <c r="O116"/>
    </row>
    <row r="117" spans="1:15" ht="15.75" customHeight="1" x14ac:dyDescent="0.2">
      <c r="A117" s="890"/>
      <c r="B117" s="482">
        <v>0.03</v>
      </c>
      <c r="C117" s="483">
        <f t="shared" ref="C117:I117" si="53">C95+C96+C103</f>
        <v>1010.1159003347025</v>
      </c>
      <c r="D117" s="483">
        <f t="shared" si="53"/>
        <v>903.49914883625104</v>
      </c>
      <c r="E117" s="483">
        <f t="shared" si="53"/>
        <v>775.55810496539902</v>
      </c>
      <c r="F117" s="483">
        <f t="shared" si="53"/>
        <v>695.59413581566469</v>
      </c>
      <c r="G117" s="483">
        <f t="shared" si="53"/>
        <v>540.64464696101697</v>
      </c>
      <c r="H117" s="483">
        <f t="shared" si="53"/>
        <v>959.99101905989755</v>
      </c>
      <c r="I117" s="484">
        <f t="shared" si="53"/>
        <v>882.14782484263117</v>
      </c>
      <c r="J117" s="473"/>
      <c r="K117"/>
      <c r="L117"/>
      <c r="M117"/>
      <c r="N117"/>
      <c r="O117"/>
    </row>
    <row r="118" spans="1:15" ht="24.75" customHeight="1" x14ac:dyDescent="0.2">
      <c r="A118" s="890"/>
      <c r="B118" s="659">
        <v>3.5000000000000003E-2</v>
      </c>
      <c r="C118" s="483">
        <f>C95+C96+C106</f>
        <v>1038.7403112816314</v>
      </c>
      <c r="D118" s="483">
        <f t="shared" ref="D118:I118" si="54">D95+D96+D106</f>
        <v>929.10228102922008</v>
      </c>
      <c r="E118" s="483">
        <f t="shared" si="54"/>
        <v>797.53567595739605</v>
      </c>
      <c r="F118" s="483">
        <f t="shared" si="54"/>
        <v>715.3057079127517</v>
      </c>
      <c r="G118" s="483">
        <f t="shared" si="54"/>
        <v>555.96529931956468</v>
      </c>
      <c r="H118" s="483">
        <f t="shared" si="54"/>
        <v>987.19500369752802</v>
      </c>
      <c r="I118" s="483">
        <f t="shared" si="54"/>
        <v>907.14590857328812</v>
      </c>
      <c r="J118" s="473"/>
      <c r="K118"/>
      <c r="L118"/>
      <c r="M118"/>
      <c r="N118"/>
      <c r="O118"/>
    </row>
    <row r="119" spans="1:15" ht="15.75" customHeight="1" x14ac:dyDescent="0.2">
      <c r="A119" s="890"/>
      <c r="B119" s="482">
        <v>0.04</v>
      </c>
      <c r="C119" s="483">
        <f t="shared" ref="C119:I119" si="55">C95+C96+C109</f>
        <v>1067.6946866198793</v>
      </c>
      <c r="D119" s="483">
        <f t="shared" si="55"/>
        <v>955.00055019271326</v>
      </c>
      <c r="E119" s="483">
        <f t="shared" si="55"/>
        <v>819.76659070722599</v>
      </c>
      <c r="F119" s="483">
        <f t="shared" si="55"/>
        <v>735.24450274294645</v>
      </c>
      <c r="G119" s="483">
        <f t="shared" si="55"/>
        <v>571.46255862172688</v>
      </c>
      <c r="H119" s="483">
        <f t="shared" si="55"/>
        <v>1014.7125789361687</v>
      </c>
      <c r="I119" s="484">
        <f t="shared" si="55"/>
        <v>932.43215465242542</v>
      </c>
      <c r="J119"/>
      <c r="K119"/>
      <c r="L119"/>
      <c r="M119"/>
      <c r="N119"/>
      <c r="O119"/>
    </row>
    <row r="120" spans="1:15" ht="15.75" customHeight="1" x14ac:dyDescent="0.2">
      <c r="A120" s="890"/>
      <c r="B120" s="485">
        <v>0.05</v>
      </c>
      <c r="C120" s="486">
        <f t="shared" ref="C120:I120" si="56">C95+C96+C112</f>
        <v>1126.6164183577716</v>
      </c>
      <c r="D120" s="486">
        <f t="shared" si="56"/>
        <v>1007.7031504146323</v>
      </c>
      <c r="E120" s="486">
        <f t="shared" si="56"/>
        <v>865.00617815731721</v>
      </c>
      <c r="F120" s="486">
        <f t="shared" si="56"/>
        <v>775.81965956940667</v>
      </c>
      <c r="G120" s="486">
        <f t="shared" si="56"/>
        <v>602.99925539405683</v>
      </c>
      <c r="H120" s="486">
        <f t="shared" si="56"/>
        <v>1070.710443415968</v>
      </c>
      <c r="I120" s="487">
        <f t="shared" si="56"/>
        <v>983.88929681929949</v>
      </c>
      <c r="J120"/>
      <c r="K120"/>
      <c r="L120"/>
      <c r="M120"/>
      <c r="N120"/>
      <c r="O120"/>
    </row>
    <row r="121" spans="1:15" ht="54.75" customHeight="1" x14ac:dyDescent="0.2">
      <c r="A121" s="394" t="s">
        <v>537</v>
      </c>
      <c r="B121" s="488"/>
      <c r="C121" s="489"/>
      <c r="D121" s="489"/>
      <c r="E121" s="489"/>
      <c r="F121" s="489"/>
      <c r="G121" s="489"/>
      <c r="H121" s="490"/>
      <c r="I121" s="491"/>
      <c r="J121"/>
      <c r="K121"/>
      <c r="L121"/>
      <c r="M121"/>
      <c r="N121"/>
      <c r="O121"/>
    </row>
    <row r="122" spans="1:15" ht="15.75" customHeight="1" x14ac:dyDescent="0.2">
      <c r="A122" s="492"/>
      <c r="B122" s="493"/>
      <c r="C122" s="494"/>
      <c r="D122" s="494"/>
      <c r="E122" s="494"/>
      <c r="F122" s="494"/>
      <c r="G122" s="494"/>
      <c r="H122" s="495"/>
      <c r="I122" s="496"/>
      <c r="J122"/>
      <c r="K122"/>
      <c r="L122"/>
      <c r="M122"/>
      <c r="N122"/>
      <c r="O122"/>
    </row>
    <row r="123" spans="1:15" ht="14.25" customHeight="1" x14ac:dyDescent="0.2">
      <c r="A123" s="891"/>
      <c r="B123" s="891"/>
      <c r="C123" s="891"/>
      <c r="D123" s="891"/>
      <c r="E123" s="891"/>
      <c r="F123" s="891"/>
      <c r="G123" s="891"/>
      <c r="H123" s="891"/>
      <c r="I123" s="891"/>
      <c r="J123"/>
      <c r="K123"/>
      <c r="L123"/>
      <c r="M123"/>
      <c r="N123"/>
      <c r="O123"/>
    </row>
    <row r="124" spans="1:15" ht="14.25" customHeight="1" x14ac:dyDescent="0.2">
      <c r="A124" s="892"/>
      <c r="B124" s="892"/>
      <c r="C124" s="892"/>
      <c r="D124" s="892"/>
      <c r="E124" s="892"/>
      <c r="F124" s="892"/>
      <c r="G124" s="892"/>
      <c r="H124" s="892"/>
      <c r="I124" s="892"/>
      <c r="J124"/>
      <c r="K124"/>
      <c r="L124"/>
      <c r="M124"/>
      <c r="N124"/>
      <c r="O124"/>
    </row>
    <row r="125" spans="1:15" ht="14.25" customHeight="1" x14ac:dyDescent="0.2">
      <c r="A125" s="893" t="s">
        <v>538</v>
      </c>
      <c r="B125" s="893"/>
      <c r="C125" s="497" t="str">
        <f t="shared" ref="C125:I125" si="57">C10</f>
        <v>Servente 40h (banheirista)
(insalubridade 40%)</v>
      </c>
      <c r="D125" s="497" t="str">
        <f t="shared" si="57"/>
        <v>Servente 40h
(insalubridade 20%)</v>
      </c>
      <c r="E125" s="497" t="str">
        <f t="shared" si="57"/>
        <v>Servente 30h (banheirista)
(insalubridade 40%)</v>
      </c>
      <c r="F125" s="497" t="str">
        <f t="shared" si="57"/>
        <v>Servente 30h
(insalubridade 20%)</v>
      </c>
      <c r="G125" s="497" t="str">
        <f t="shared" si="57"/>
        <v>Servente 20h
(insalubridade 20%)</v>
      </c>
      <c r="H125" s="498" t="str">
        <f t="shared" si="57"/>
        <v>Limpador alpinista 44h (limpeza de esquadrias com risco)</v>
      </c>
      <c r="I125" s="499" t="str">
        <f t="shared" si="57"/>
        <v>Encarregada 40h</v>
      </c>
      <c r="J125"/>
      <c r="K125"/>
      <c r="L125"/>
      <c r="M125"/>
      <c r="N125"/>
      <c r="O125"/>
    </row>
    <row r="126" spans="1:15" ht="14.25" customHeight="1" x14ac:dyDescent="0.2">
      <c r="A126" s="894" t="s">
        <v>539</v>
      </c>
      <c r="B126" s="894"/>
      <c r="C126" s="500" t="s">
        <v>465</v>
      </c>
      <c r="D126" s="500" t="s">
        <v>465</v>
      </c>
      <c r="E126" s="500" t="s">
        <v>465</v>
      </c>
      <c r="F126" s="500" t="s">
        <v>465</v>
      </c>
      <c r="G126" s="500" t="s">
        <v>465</v>
      </c>
      <c r="H126" s="500" t="s">
        <v>465</v>
      </c>
      <c r="I126" s="501" t="s">
        <v>465</v>
      </c>
      <c r="J126"/>
      <c r="K126"/>
      <c r="L126"/>
      <c r="M126"/>
      <c r="N126"/>
      <c r="O126"/>
    </row>
    <row r="127" spans="1:15" ht="15.75" customHeight="1" x14ac:dyDescent="0.2">
      <c r="A127" s="895" t="s">
        <v>540</v>
      </c>
      <c r="B127" s="895"/>
      <c r="C127" s="502">
        <f t="shared" ref="C127:I127" si="58">C19</f>
        <v>1672.4781818181816</v>
      </c>
      <c r="D127" s="502">
        <f t="shared" si="58"/>
        <v>1433.5527272727272</v>
      </c>
      <c r="E127" s="502">
        <f t="shared" si="58"/>
        <v>1254.3586363636364</v>
      </c>
      <c r="F127" s="502">
        <f t="shared" si="58"/>
        <v>1075.1645454545453</v>
      </c>
      <c r="G127" s="502">
        <f t="shared" si="58"/>
        <v>716.77636363636361</v>
      </c>
      <c r="H127" s="502">
        <f t="shared" si="58"/>
        <v>1669.75</v>
      </c>
      <c r="I127" s="503">
        <f t="shared" si="58"/>
        <v>1673.9117345454545</v>
      </c>
      <c r="J127"/>
      <c r="K127"/>
      <c r="L127"/>
      <c r="M127"/>
      <c r="N127"/>
      <c r="O127"/>
    </row>
    <row r="128" spans="1:15" ht="15.75" customHeight="1" x14ac:dyDescent="0.2">
      <c r="A128" s="874" t="s">
        <v>541</v>
      </c>
      <c r="B128" s="874"/>
      <c r="C128" s="504">
        <f t="shared" ref="C128:I128" si="59">C49</f>
        <v>1312.0377272727274</v>
      </c>
      <c r="D128" s="504">
        <f t="shared" si="59"/>
        <v>1187.820909090909</v>
      </c>
      <c r="E128" s="504">
        <f t="shared" si="59"/>
        <v>932.74329545454543</v>
      </c>
      <c r="F128" s="504">
        <f t="shared" si="59"/>
        <v>839.57568181818169</v>
      </c>
      <c r="G128" s="504">
        <f t="shared" si="59"/>
        <v>671.10045454545457</v>
      </c>
      <c r="H128" s="504">
        <f t="shared" si="59"/>
        <v>1282.1219444444446</v>
      </c>
      <c r="I128" s="505">
        <f t="shared" si="59"/>
        <v>1284.0375481818182</v>
      </c>
      <c r="J128"/>
      <c r="K128"/>
      <c r="L128"/>
      <c r="M128"/>
      <c r="N128"/>
      <c r="O128"/>
    </row>
    <row r="129" spans="1:15" ht="15.75" customHeight="1" x14ac:dyDescent="0.2">
      <c r="A129" s="874" t="s">
        <v>542</v>
      </c>
      <c r="B129" s="874"/>
      <c r="C129" s="504">
        <f t="shared" ref="C129:I129" si="60">C60</f>
        <v>109.54732090909087</v>
      </c>
      <c r="D129" s="504">
        <f t="shared" si="60"/>
        <v>93.897703636363616</v>
      </c>
      <c r="E129" s="504">
        <f t="shared" si="60"/>
        <v>82.160490681818175</v>
      </c>
      <c r="F129" s="504">
        <f t="shared" si="60"/>
        <v>70.423277727272705</v>
      </c>
      <c r="G129" s="504">
        <f t="shared" si="60"/>
        <v>46.948851818181808</v>
      </c>
      <c r="H129" s="504">
        <f t="shared" si="60"/>
        <v>109.36862499999998</v>
      </c>
      <c r="I129" s="505">
        <f t="shared" si="60"/>
        <v>109.64121861272724</v>
      </c>
      <c r="J129"/>
      <c r="K129"/>
      <c r="L129"/>
      <c r="M129"/>
      <c r="N129"/>
      <c r="O129"/>
    </row>
    <row r="130" spans="1:15" ht="15.75" customHeight="1" x14ac:dyDescent="0.2">
      <c r="A130" s="874" t="s">
        <v>543</v>
      </c>
      <c r="B130" s="874"/>
      <c r="C130" s="504">
        <f t="shared" ref="C130:H130" si="61">C80</f>
        <v>336.84247990438314</v>
      </c>
      <c r="D130" s="504">
        <f t="shared" si="61"/>
        <v>295.03797883684109</v>
      </c>
      <c r="E130" s="504">
        <f t="shared" si="61"/>
        <v>247.54751063809147</v>
      </c>
      <c r="F130" s="504">
        <f t="shared" si="61"/>
        <v>216.19359012601694</v>
      </c>
      <c r="G130" s="504">
        <f t="shared" si="61"/>
        <v>155.26541960556224</v>
      </c>
      <c r="H130" s="504">
        <f t="shared" si="61"/>
        <v>333.52503076217596</v>
      </c>
      <c r="I130" s="505">
        <f>I69</f>
        <v>305.72503780521845</v>
      </c>
      <c r="J130"/>
      <c r="K130"/>
      <c r="L130"/>
      <c r="M130"/>
      <c r="N130"/>
      <c r="O130"/>
    </row>
    <row r="131" spans="1:15" ht="15.75" customHeight="1" x14ac:dyDescent="0.2">
      <c r="A131" s="874" t="s">
        <v>544</v>
      </c>
      <c r="B131" s="874"/>
      <c r="C131" s="504">
        <f t="shared" ref="C131:I131" si="62">C91</f>
        <v>553.93809999999996</v>
      </c>
      <c r="D131" s="504">
        <f t="shared" si="62"/>
        <v>553.93809999999996</v>
      </c>
      <c r="E131" s="504">
        <f t="shared" si="62"/>
        <v>542.71810000000005</v>
      </c>
      <c r="F131" s="504">
        <f t="shared" si="62"/>
        <v>542.71810000000005</v>
      </c>
      <c r="G131" s="504">
        <f t="shared" si="62"/>
        <v>542.71810000000005</v>
      </c>
      <c r="H131" s="504">
        <f t="shared" si="62"/>
        <v>392.33869999999996</v>
      </c>
      <c r="I131" s="505">
        <f t="shared" si="62"/>
        <v>78.19874999999999</v>
      </c>
      <c r="J131"/>
      <c r="K131"/>
      <c r="L131"/>
      <c r="M131"/>
      <c r="N131"/>
      <c r="O131"/>
    </row>
    <row r="132" spans="1:15" ht="15.75" customHeight="1" x14ac:dyDescent="0.2">
      <c r="A132" s="896" t="s">
        <v>545</v>
      </c>
      <c r="B132" s="896"/>
      <c r="C132" s="506">
        <f t="shared" ref="C132:I132" si="63">SUM(C127:C131)</f>
        <v>3984.8438099043833</v>
      </c>
      <c r="D132" s="506">
        <f t="shared" si="63"/>
        <v>3564.2474188368406</v>
      </c>
      <c r="E132" s="506">
        <f t="shared" si="63"/>
        <v>3059.5280331380914</v>
      </c>
      <c r="F132" s="506">
        <f t="shared" si="63"/>
        <v>2744.0751951260168</v>
      </c>
      <c r="G132" s="506">
        <f t="shared" si="63"/>
        <v>2132.8091896055621</v>
      </c>
      <c r="H132" s="507">
        <f t="shared" si="63"/>
        <v>3787.1043002066203</v>
      </c>
      <c r="I132" s="508">
        <f t="shared" si="63"/>
        <v>3451.5142891452183</v>
      </c>
      <c r="J132"/>
      <c r="K132"/>
      <c r="L132"/>
      <c r="M132"/>
      <c r="N132"/>
      <c r="O132"/>
    </row>
    <row r="133" spans="1:15" ht="15.75" customHeight="1" x14ac:dyDescent="0.2">
      <c r="A133" s="877" t="s">
        <v>546</v>
      </c>
      <c r="B133" s="877"/>
      <c r="C133" s="509">
        <f t="shared" ref="C133:I135" si="64">C115</f>
        <v>953.8346641629945</v>
      </c>
      <c r="D133" s="509">
        <f t="shared" si="64"/>
        <v>853.15834243993459</v>
      </c>
      <c r="E133" s="509">
        <f t="shared" si="64"/>
        <v>732.34586678958499</v>
      </c>
      <c r="F133" s="509">
        <f t="shared" si="64"/>
        <v>656.83729828392745</v>
      </c>
      <c r="G133" s="509">
        <f t="shared" si="64"/>
        <v>510.52122345040766</v>
      </c>
      <c r="H133" s="509">
        <f t="shared" si="64"/>
        <v>906.50262109633104</v>
      </c>
      <c r="I133" s="510">
        <f t="shared" si="64"/>
        <v>832.99666302855053</v>
      </c>
      <c r="J133"/>
      <c r="K133"/>
      <c r="L133"/>
      <c r="M133"/>
      <c r="N133"/>
      <c r="O133"/>
    </row>
    <row r="134" spans="1:15" ht="15.75" customHeight="1" x14ac:dyDescent="0.2">
      <c r="A134" s="874" t="s">
        <v>547</v>
      </c>
      <c r="B134" s="874"/>
      <c r="C134" s="511">
        <f t="shared" si="64"/>
        <v>981.8158453191835</v>
      </c>
      <c r="D134" s="511">
        <f t="shared" si="64"/>
        <v>878.18613712138927</v>
      </c>
      <c r="E134" s="511">
        <f t="shared" si="64"/>
        <v>753.82957160503929</v>
      </c>
      <c r="F134" s="511">
        <f t="shared" si="64"/>
        <v>676.1059243089129</v>
      </c>
      <c r="G134" s="511">
        <f t="shared" si="64"/>
        <v>525.49759972834511</v>
      </c>
      <c r="H134" s="511">
        <f t="shared" si="64"/>
        <v>933.09529487141856</v>
      </c>
      <c r="I134" s="512">
        <f t="shared" si="64"/>
        <v>857.43300551685388</v>
      </c>
      <c r="J134"/>
      <c r="K134"/>
      <c r="L134"/>
      <c r="M134"/>
      <c r="N134"/>
      <c r="O134"/>
    </row>
    <row r="135" spans="1:15" ht="15.75" customHeight="1" x14ac:dyDescent="0.2">
      <c r="A135" s="874" t="s">
        <v>548</v>
      </c>
      <c r="B135" s="874"/>
      <c r="C135" s="511">
        <f t="shared" si="64"/>
        <v>1010.1159003347025</v>
      </c>
      <c r="D135" s="511">
        <f t="shared" si="64"/>
        <v>903.49914883625104</v>
      </c>
      <c r="E135" s="511">
        <f t="shared" si="64"/>
        <v>775.55810496539902</v>
      </c>
      <c r="F135" s="511">
        <f t="shared" si="64"/>
        <v>695.59413581566469</v>
      </c>
      <c r="G135" s="511">
        <f t="shared" si="64"/>
        <v>540.64464696101697</v>
      </c>
      <c r="H135" s="511">
        <f t="shared" si="64"/>
        <v>959.99101905989755</v>
      </c>
      <c r="I135" s="512">
        <f t="shared" si="64"/>
        <v>882.14782484263117</v>
      </c>
      <c r="J135"/>
      <c r="K135"/>
      <c r="L135"/>
      <c r="M135"/>
      <c r="N135"/>
      <c r="O135"/>
    </row>
    <row r="136" spans="1:15" ht="15.75" customHeight="1" x14ac:dyDescent="0.2">
      <c r="A136" s="874" t="s">
        <v>549</v>
      </c>
      <c r="B136" s="874"/>
      <c r="C136" s="511">
        <f>C118</f>
        <v>1038.7403112816314</v>
      </c>
      <c r="D136" s="511">
        <f t="shared" ref="D136:I136" si="65">D118</f>
        <v>929.10228102922008</v>
      </c>
      <c r="E136" s="511">
        <f t="shared" si="65"/>
        <v>797.53567595739605</v>
      </c>
      <c r="F136" s="511">
        <f t="shared" si="65"/>
        <v>715.3057079127517</v>
      </c>
      <c r="G136" s="511">
        <f t="shared" si="65"/>
        <v>555.96529931956468</v>
      </c>
      <c r="H136" s="511">
        <f t="shared" si="65"/>
        <v>987.19500369752802</v>
      </c>
      <c r="I136" s="511">
        <f t="shared" si="65"/>
        <v>907.14590857328812</v>
      </c>
      <c r="J136"/>
      <c r="K136"/>
      <c r="L136"/>
      <c r="M136"/>
      <c r="N136"/>
      <c r="O136"/>
    </row>
    <row r="137" spans="1:15" ht="15.75" customHeight="1" x14ac:dyDescent="0.2">
      <c r="A137" s="874" t="s">
        <v>550</v>
      </c>
      <c r="B137" s="874"/>
      <c r="C137" s="511">
        <f>C119</f>
        <v>1067.6946866198793</v>
      </c>
      <c r="D137" s="511">
        <f t="shared" ref="D137:I138" si="66">D119</f>
        <v>955.00055019271326</v>
      </c>
      <c r="E137" s="511">
        <f t="shared" si="66"/>
        <v>819.76659070722599</v>
      </c>
      <c r="F137" s="511">
        <f t="shared" si="66"/>
        <v>735.24450274294645</v>
      </c>
      <c r="G137" s="511">
        <f t="shared" si="66"/>
        <v>571.46255862172688</v>
      </c>
      <c r="H137" s="511">
        <f t="shared" si="66"/>
        <v>1014.7125789361687</v>
      </c>
      <c r="I137" s="512">
        <f t="shared" si="66"/>
        <v>932.43215465242542</v>
      </c>
      <c r="J137"/>
      <c r="K137"/>
      <c r="L137"/>
      <c r="M137"/>
      <c r="N137"/>
      <c r="O137"/>
    </row>
    <row r="138" spans="1:15" ht="15.75" customHeight="1" x14ac:dyDescent="0.2">
      <c r="A138" s="877" t="s">
        <v>551</v>
      </c>
      <c r="B138" s="877"/>
      <c r="C138" s="511">
        <f>C120</f>
        <v>1126.6164183577716</v>
      </c>
      <c r="D138" s="511">
        <f t="shared" si="66"/>
        <v>1007.7031504146323</v>
      </c>
      <c r="E138" s="511">
        <f t="shared" si="66"/>
        <v>865.00617815731721</v>
      </c>
      <c r="F138" s="511">
        <f t="shared" si="66"/>
        <v>775.81965956940667</v>
      </c>
      <c r="G138" s="511">
        <f t="shared" si="66"/>
        <v>602.99925539405683</v>
      </c>
      <c r="H138" s="511">
        <f t="shared" si="66"/>
        <v>1070.710443415968</v>
      </c>
      <c r="I138" s="512">
        <f t="shared" si="66"/>
        <v>983.88929681929949</v>
      </c>
      <c r="J138"/>
      <c r="K138"/>
      <c r="L138"/>
      <c r="M138"/>
      <c r="N138"/>
      <c r="O138"/>
    </row>
    <row r="139" spans="1:15" ht="15.75" customHeight="1" x14ac:dyDescent="0.2">
      <c r="A139" s="513" t="s">
        <v>552</v>
      </c>
      <c r="B139" s="514"/>
      <c r="C139" s="515">
        <f t="shared" ref="C139:I139" si="67">C132+C133</f>
        <v>4938.6784740673775</v>
      </c>
      <c r="D139" s="515">
        <f t="shared" si="67"/>
        <v>4417.4057612767756</v>
      </c>
      <c r="E139" s="515">
        <f t="shared" si="67"/>
        <v>3791.8738999276766</v>
      </c>
      <c r="F139" s="515">
        <f t="shared" si="67"/>
        <v>3400.9124934099441</v>
      </c>
      <c r="G139" s="515">
        <f t="shared" si="67"/>
        <v>2643.33041305597</v>
      </c>
      <c r="H139" s="515">
        <f t="shared" si="67"/>
        <v>4693.6069213029514</v>
      </c>
      <c r="I139" s="516">
        <f t="shared" si="67"/>
        <v>4284.5109521737686</v>
      </c>
      <c r="J139"/>
      <c r="K139"/>
      <c r="L139"/>
      <c r="M139"/>
      <c r="N139"/>
      <c r="O139"/>
    </row>
    <row r="140" spans="1:15" ht="15.75" customHeight="1" x14ac:dyDescent="0.2">
      <c r="A140" s="517" t="s">
        <v>553</v>
      </c>
      <c r="B140" s="518"/>
      <c r="C140" s="519">
        <f t="shared" ref="C140:I140" si="68">C132+C134</f>
        <v>4966.6596552235669</v>
      </c>
      <c r="D140" s="519">
        <f t="shared" si="68"/>
        <v>4442.4335559582296</v>
      </c>
      <c r="E140" s="519">
        <f t="shared" si="68"/>
        <v>3813.3576047431307</v>
      </c>
      <c r="F140" s="519">
        <f t="shared" si="68"/>
        <v>3420.1811194349298</v>
      </c>
      <c r="G140" s="519">
        <f t="shared" si="68"/>
        <v>2658.3067893339071</v>
      </c>
      <c r="H140" s="519">
        <f t="shared" si="68"/>
        <v>4720.1995950780392</v>
      </c>
      <c r="I140" s="520">
        <f t="shared" si="68"/>
        <v>4308.9472946620717</v>
      </c>
      <c r="J140"/>
      <c r="K140"/>
      <c r="L140"/>
      <c r="M140"/>
      <c r="N140"/>
      <c r="O140"/>
    </row>
    <row r="141" spans="1:15" ht="15.75" customHeight="1" x14ac:dyDescent="0.2">
      <c r="A141" s="517" t="s">
        <v>554</v>
      </c>
      <c r="B141" s="518"/>
      <c r="C141" s="519">
        <f t="shared" ref="C141:I141" si="69">C132+C135</f>
        <v>4994.9597102390853</v>
      </c>
      <c r="D141" s="519">
        <f t="shared" si="69"/>
        <v>4467.7465676730917</v>
      </c>
      <c r="E141" s="519">
        <f t="shared" si="69"/>
        <v>3835.0861381034902</v>
      </c>
      <c r="F141" s="519">
        <f t="shared" si="69"/>
        <v>3439.6693309416814</v>
      </c>
      <c r="G141" s="519">
        <f t="shared" si="69"/>
        <v>2673.453836566579</v>
      </c>
      <c r="H141" s="519">
        <f t="shared" si="69"/>
        <v>4747.0953192665183</v>
      </c>
      <c r="I141" s="520">
        <f t="shared" si="69"/>
        <v>4333.6621139878498</v>
      </c>
      <c r="J141"/>
      <c r="K141"/>
      <c r="L141"/>
      <c r="M141"/>
      <c r="N141"/>
      <c r="O141"/>
    </row>
    <row r="142" spans="1:15" ht="15.75" customHeight="1" x14ac:dyDescent="0.2">
      <c r="A142" s="517" t="s">
        <v>555</v>
      </c>
      <c r="B142" s="518"/>
      <c r="C142" s="519">
        <f>C132+C136</f>
        <v>5023.5841211860152</v>
      </c>
      <c r="D142" s="519">
        <f t="shared" ref="D142:I142" si="70">D132+D136</f>
        <v>4493.3496998660603</v>
      </c>
      <c r="E142" s="519">
        <f t="shared" si="70"/>
        <v>3857.0637090954874</v>
      </c>
      <c r="F142" s="519">
        <f t="shared" si="70"/>
        <v>3459.3809030387683</v>
      </c>
      <c r="G142" s="519">
        <f t="shared" si="70"/>
        <v>2688.7744889251267</v>
      </c>
      <c r="H142" s="519">
        <f t="shared" si="70"/>
        <v>4774.2993039041485</v>
      </c>
      <c r="I142" s="519">
        <f t="shared" si="70"/>
        <v>4358.6601977185064</v>
      </c>
      <c r="J142"/>
      <c r="K142"/>
      <c r="L142"/>
      <c r="M142"/>
      <c r="N142"/>
      <c r="O142"/>
    </row>
    <row r="143" spans="1:15" ht="15.75" customHeight="1" x14ac:dyDescent="0.2">
      <c r="A143" s="517" t="s">
        <v>556</v>
      </c>
      <c r="B143" s="518"/>
      <c r="C143" s="519">
        <f t="shared" ref="C143:I143" si="71">C132+C137</f>
        <v>5052.5384965242629</v>
      </c>
      <c r="D143" s="519">
        <f t="shared" si="71"/>
        <v>4519.247969029554</v>
      </c>
      <c r="E143" s="519">
        <f t="shared" si="71"/>
        <v>3879.2946238453173</v>
      </c>
      <c r="F143" s="519">
        <f t="shared" si="71"/>
        <v>3479.319697868963</v>
      </c>
      <c r="G143" s="519">
        <f t="shared" si="71"/>
        <v>2704.2717482272892</v>
      </c>
      <c r="H143" s="519">
        <f t="shared" si="71"/>
        <v>4801.8168791427888</v>
      </c>
      <c r="I143" s="520">
        <f t="shared" si="71"/>
        <v>4383.946443797644</v>
      </c>
      <c r="J143"/>
      <c r="K143"/>
      <c r="L143"/>
      <c r="M143"/>
      <c r="N143"/>
      <c r="O143"/>
    </row>
    <row r="144" spans="1:15" ht="13.9" customHeight="1" x14ac:dyDescent="0.2">
      <c r="A144" s="517" t="s">
        <v>557</v>
      </c>
      <c r="B144" s="518"/>
      <c r="C144" s="519">
        <f t="shared" ref="C144:I144" si="72">C132+C138</f>
        <v>5111.4602282621545</v>
      </c>
      <c r="D144" s="519">
        <f t="shared" si="72"/>
        <v>4571.9505692514731</v>
      </c>
      <c r="E144" s="519">
        <f t="shared" si="72"/>
        <v>3924.5342112954086</v>
      </c>
      <c r="F144" s="519">
        <f t="shared" si="72"/>
        <v>3519.8948546954234</v>
      </c>
      <c r="G144" s="519">
        <f t="shared" si="72"/>
        <v>2735.808444999619</v>
      </c>
      <c r="H144" s="519">
        <f t="shared" si="72"/>
        <v>4857.8147436225881</v>
      </c>
      <c r="I144" s="520">
        <f t="shared" si="72"/>
        <v>4435.4035859645173</v>
      </c>
      <c r="J144"/>
      <c r="K144"/>
      <c r="L144"/>
      <c r="M144"/>
      <c r="N144"/>
      <c r="O144"/>
    </row>
    <row r="145" spans="1:15" ht="14.25" customHeight="1" x14ac:dyDescent="0.2">
      <c r="A145" s="521" t="s">
        <v>558</v>
      </c>
      <c r="B145" s="522"/>
      <c r="C145" s="523">
        <f t="shared" ref="C145:C150" si="73">C139/200</f>
        <v>24.693392370336888</v>
      </c>
      <c r="D145" s="523"/>
      <c r="E145" s="523"/>
      <c r="F145" s="523"/>
      <c r="G145" s="523"/>
      <c r="H145" s="524"/>
      <c r="I145" s="525"/>
      <c r="J145"/>
      <c r="K145"/>
      <c r="L145"/>
      <c r="M145"/>
      <c r="N145"/>
      <c r="O145"/>
    </row>
    <row r="146" spans="1:15" ht="24.6" customHeight="1" x14ac:dyDescent="0.2">
      <c r="A146" s="526" t="s">
        <v>559</v>
      </c>
      <c r="B146" s="527"/>
      <c r="C146" s="528">
        <f t="shared" si="73"/>
        <v>24.833298276117834</v>
      </c>
      <c r="D146" s="528"/>
      <c r="E146" s="528"/>
      <c r="F146" s="528"/>
      <c r="G146" s="528"/>
      <c r="H146" s="529"/>
      <c r="I146" s="530"/>
      <c r="J146"/>
      <c r="K146"/>
      <c r="L146"/>
      <c r="M146"/>
      <c r="N146"/>
      <c r="O146"/>
    </row>
    <row r="147" spans="1:15" ht="13.9" customHeight="1" x14ac:dyDescent="0.2">
      <c r="A147" s="526" t="s">
        <v>560</v>
      </c>
      <c r="B147" s="527"/>
      <c r="C147" s="528">
        <f t="shared" si="73"/>
        <v>24.974798551195427</v>
      </c>
      <c r="D147" s="528"/>
      <c r="E147" s="528"/>
      <c r="F147" s="528"/>
      <c r="G147" s="528"/>
      <c r="H147" s="529"/>
      <c r="I147" s="530"/>
      <c r="J147"/>
      <c r="K147"/>
      <c r="L147"/>
      <c r="M147"/>
      <c r="N147"/>
      <c r="O147"/>
    </row>
    <row r="148" spans="1:15" ht="14.85" customHeight="1" x14ac:dyDescent="0.2">
      <c r="A148" s="526" t="s">
        <v>561</v>
      </c>
      <c r="B148" s="527"/>
      <c r="C148" s="528">
        <f t="shared" si="73"/>
        <v>25.117920605930077</v>
      </c>
      <c r="D148" s="528"/>
      <c r="E148" s="528"/>
      <c r="F148" s="528"/>
      <c r="G148" s="528"/>
      <c r="H148" s="529"/>
      <c r="I148" s="530"/>
      <c r="J148"/>
      <c r="K148"/>
      <c r="L148"/>
      <c r="M148"/>
      <c r="N148"/>
      <c r="O148" s="543" t="s">
        <v>578</v>
      </c>
    </row>
    <row r="149" spans="1:15" ht="13.9" customHeight="1" x14ac:dyDescent="0.2">
      <c r="A149" s="526" t="s">
        <v>562</v>
      </c>
      <c r="B149" s="527"/>
      <c r="C149" s="528">
        <f t="shared" si="73"/>
        <v>25.262692482621315</v>
      </c>
      <c r="D149" s="528"/>
      <c r="E149" s="528"/>
      <c r="F149" s="528"/>
      <c r="G149" s="528"/>
      <c r="H149" s="529"/>
      <c r="I149" s="530"/>
      <c r="J149"/>
      <c r="K149"/>
      <c r="L149"/>
      <c r="M149"/>
      <c r="N149"/>
      <c r="O149"/>
    </row>
    <row r="150" spans="1:15" ht="13.9" customHeight="1" x14ac:dyDescent="0.2">
      <c r="A150" s="531" t="s">
        <v>563</v>
      </c>
      <c r="B150" s="532"/>
      <c r="C150" s="533">
        <f t="shared" si="73"/>
        <v>25.557301141310774</v>
      </c>
      <c r="D150" s="533"/>
      <c r="E150" s="533"/>
      <c r="F150" s="533"/>
      <c r="G150" s="533"/>
      <c r="H150" s="534"/>
      <c r="I150" s="535"/>
      <c r="J150"/>
      <c r="K150"/>
      <c r="L150"/>
      <c r="M150"/>
      <c r="N150"/>
      <c r="O150"/>
    </row>
    <row r="151" spans="1:15" ht="14.25" customHeight="1" x14ac:dyDescent="0.2">
      <c r="A151" s="536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ht="24.6" customHeight="1" x14ac:dyDescent="0.2">
      <c r="A152" s="875" t="s">
        <v>564</v>
      </c>
      <c r="B152" s="875"/>
      <c r="C152" s="875" t="s">
        <v>565</v>
      </c>
      <c r="D152" s="875"/>
      <c r="E152" s="876" t="s">
        <v>566</v>
      </c>
      <c r="F152" s="876"/>
      <c r="G152" s="875" t="s">
        <v>567</v>
      </c>
      <c r="H152" s="875"/>
      <c r="I152" s="875" t="s">
        <v>568</v>
      </c>
      <c r="J152" s="875"/>
      <c r="K152" s="875" t="s">
        <v>569</v>
      </c>
      <c r="L152" s="875"/>
      <c r="M152" s="875" t="s">
        <v>570</v>
      </c>
      <c r="N152" s="875"/>
      <c r="O152"/>
    </row>
    <row r="153" spans="1:15" ht="28.5" customHeight="1" x14ac:dyDescent="0.2">
      <c r="A153" s="537" t="s">
        <v>571</v>
      </c>
      <c r="B153" s="538" t="s">
        <v>572</v>
      </c>
      <c r="C153" s="538" t="s">
        <v>573</v>
      </c>
      <c r="D153" s="538" t="s">
        <v>574</v>
      </c>
      <c r="E153" s="538" t="s">
        <v>573</v>
      </c>
      <c r="F153" s="538" t="s">
        <v>574</v>
      </c>
      <c r="G153" s="538" t="s">
        <v>573</v>
      </c>
      <c r="H153" s="538" t="s">
        <v>574</v>
      </c>
      <c r="I153" s="538" t="s">
        <v>573</v>
      </c>
      <c r="J153" s="538" t="s">
        <v>574</v>
      </c>
      <c r="K153" s="538" t="s">
        <v>573</v>
      </c>
      <c r="L153" s="538" t="s">
        <v>574</v>
      </c>
      <c r="M153" s="538" t="s">
        <v>573</v>
      </c>
      <c r="N153" s="538" t="s">
        <v>574</v>
      </c>
      <c r="O153"/>
    </row>
    <row r="154" spans="1:15" ht="14.85" customHeight="1" x14ac:dyDescent="0.2">
      <c r="A154" s="539" t="s">
        <v>575</v>
      </c>
      <c r="B154" s="540">
        <f>1/'Prod. GEXURG'!D15</f>
        <v>1.25E-3</v>
      </c>
      <c r="C154" s="541">
        <f>D139</f>
        <v>4417.4057612767756</v>
      </c>
      <c r="D154" s="541">
        <f>B154*C154</f>
        <v>5.5217572015959693</v>
      </c>
      <c r="E154" s="541">
        <f>D140</f>
        <v>4442.4335559582296</v>
      </c>
      <c r="F154" s="541">
        <f>B154*E154</f>
        <v>5.553041944947787</v>
      </c>
      <c r="G154" s="541">
        <f>D141</f>
        <v>4467.7465676730917</v>
      </c>
      <c r="H154" s="541">
        <f>B154*G154</f>
        <v>5.5846832095913648</v>
      </c>
      <c r="I154" s="541">
        <f>D142</f>
        <v>4493.3496998660603</v>
      </c>
      <c r="J154" s="541">
        <f>B154*I154</f>
        <v>5.6166871248325752</v>
      </c>
      <c r="K154" s="541">
        <f>D143</f>
        <v>4519.247969029554</v>
      </c>
      <c r="L154" s="541">
        <f>B154*K154</f>
        <v>5.6490599612869428</v>
      </c>
      <c r="M154" s="541">
        <f>D144</f>
        <v>4571.9505692514731</v>
      </c>
      <c r="N154" s="541">
        <f>B154*M154</f>
        <v>5.7149382115643412</v>
      </c>
      <c r="O154" s="543" t="s">
        <v>578</v>
      </c>
    </row>
    <row r="155" spans="1:15" ht="13.9" customHeight="1" x14ac:dyDescent="0.2">
      <c r="A155" s="542" t="s">
        <v>576</v>
      </c>
      <c r="B155" s="540">
        <f>B154/'Prod. GEXURG'!Q15</f>
        <v>8.3333333333333331E-5</v>
      </c>
      <c r="C155" s="541">
        <f>I144</f>
        <v>4435.4035859645173</v>
      </c>
      <c r="D155" s="541">
        <f>C155*B155</f>
        <v>0.36961696549704309</v>
      </c>
      <c r="E155" s="541">
        <f>I144</f>
        <v>4435.4035859645173</v>
      </c>
      <c r="F155" s="541">
        <f>B155*E155</f>
        <v>0.36961696549704309</v>
      </c>
      <c r="G155" s="541">
        <f>I144</f>
        <v>4435.4035859645173</v>
      </c>
      <c r="H155" s="541">
        <f>B155*G155</f>
        <v>0.36961696549704309</v>
      </c>
      <c r="I155" s="541">
        <f>I144</f>
        <v>4435.4035859645173</v>
      </c>
      <c r="J155" s="541">
        <f>B155*I155</f>
        <v>0.36961696549704309</v>
      </c>
      <c r="K155" s="541">
        <f>I144</f>
        <v>4435.4035859645173</v>
      </c>
      <c r="L155" s="541">
        <f>B155*K155</f>
        <v>0.36961696549704309</v>
      </c>
      <c r="M155" s="541">
        <f>I144</f>
        <v>4435.4035859645173</v>
      </c>
      <c r="N155" s="541">
        <f>B155*M155</f>
        <v>0.36961696549704309</v>
      </c>
    </row>
    <row r="156" spans="1:15" ht="13.9" customHeight="1" x14ac:dyDescent="0.2">
      <c r="A156" s="544" t="s">
        <v>579</v>
      </c>
      <c r="B156" s="545"/>
      <c r="C156" s="546"/>
      <c r="D156" s="546">
        <f>SUM(D154:D155)</f>
        <v>5.8913741670930122</v>
      </c>
      <c r="E156" s="546"/>
      <c r="F156" s="546">
        <f>SUM(F154:F155)</f>
        <v>5.9226589104448299</v>
      </c>
      <c r="G156" s="546"/>
      <c r="H156" s="546">
        <f>SUM(H154:H155)</f>
        <v>5.9543001750884077</v>
      </c>
      <c r="I156" s="546"/>
      <c r="J156" s="546">
        <f>SUM(J154:J155)</f>
        <v>5.9863040903296181</v>
      </c>
      <c r="K156" s="546"/>
      <c r="L156" s="546">
        <f>SUM(L154:L155)</f>
        <v>6.0186769267839857</v>
      </c>
      <c r="M156" s="546"/>
      <c r="N156" s="546">
        <f>SUM(N154:N155)</f>
        <v>6.0845551770613842</v>
      </c>
    </row>
    <row r="157" spans="1:15" ht="14.25" customHeight="1" x14ac:dyDescent="0.2">
      <c r="A157" s="536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5" ht="24.6" customHeight="1" x14ac:dyDescent="0.2">
      <c r="A158" s="875" t="s">
        <v>580</v>
      </c>
      <c r="B158" s="875"/>
      <c r="C158" s="875" t="s">
        <v>565</v>
      </c>
      <c r="D158" s="875"/>
      <c r="E158" s="876" t="s">
        <v>566</v>
      </c>
      <c r="F158" s="876"/>
      <c r="G158" s="875" t="s">
        <v>567</v>
      </c>
      <c r="H158" s="875"/>
      <c r="I158" s="875" t="s">
        <v>568</v>
      </c>
      <c r="J158" s="875"/>
      <c r="K158" s="875" t="s">
        <v>569</v>
      </c>
      <c r="L158" s="875"/>
      <c r="M158" s="875" t="s">
        <v>570</v>
      </c>
      <c r="N158" s="875"/>
    </row>
    <row r="159" spans="1:15" ht="39.75" customHeight="1" x14ac:dyDescent="0.2">
      <c r="A159" s="537" t="s">
        <v>571</v>
      </c>
      <c r="B159" s="538" t="s">
        <v>572</v>
      </c>
      <c r="C159" s="538" t="s">
        <v>573</v>
      </c>
      <c r="D159" s="538" t="s">
        <v>574</v>
      </c>
      <c r="E159" s="538" t="s">
        <v>573</v>
      </c>
      <c r="F159" s="538" t="s">
        <v>574</v>
      </c>
      <c r="G159" s="538" t="s">
        <v>573</v>
      </c>
      <c r="H159" s="538" t="s">
        <v>574</v>
      </c>
      <c r="I159" s="538" t="s">
        <v>573</v>
      </c>
      <c r="J159" s="538" t="s">
        <v>574</v>
      </c>
      <c r="K159" s="538" t="s">
        <v>573</v>
      </c>
      <c r="L159" s="538" t="s">
        <v>574</v>
      </c>
      <c r="M159" s="538" t="s">
        <v>573</v>
      </c>
      <c r="N159" s="538" t="s">
        <v>574</v>
      </c>
    </row>
    <row r="160" spans="1:15" ht="13.9" customHeight="1" x14ac:dyDescent="0.2">
      <c r="A160" s="539" t="s">
        <v>575</v>
      </c>
      <c r="B160" s="540">
        <f>1/'Prod. GEXURG'!E15</f>
        <v>1.25E-3</v>
      </c>
      <c r="C160" s="549">
        <f>C139</f>
        <v>4938.6784740673775</v>
      </c>
      <c r="D160" s="541">
        <f>B160*C160</f>
        <v>6.1733480925842219</v>
      </c>
      <c r="E160" s="549">
        <f>C140</f>
        <v>4966.6596552235669</v>
      </c>
      <c r="F160" s="541">
        <f>B160*E160</f>
        <v>6.2083245690294584</v>
      </c>
      <c r="G160" s="549">
        <f>C141</f>
        <v>4994.9597102390853</v>
      </c>
      <c r="H160" s="541">
        <f>B160*G160</f>
        <v>6.2436996377988567</v>
      </c>
      <c r="I160" s="549">
        <f>E142</f>
        <v>3857.0637090954874</v>
      </c>
      <c r="J160" s="541">
        <f>B160*I160</f>
        <v>4.8213296363693594</v>
      </c>
      <c r="K160" s="549">
        <f>C143</f>
        <v>5052.5384965242629</v>
      </c>
      <c r="L160" s="541">
        <f>B160*K160</f>
        <v>6.3156731206553287</v>
      </c>
      <c r="M160" s="549">
        <f>C144</f>
        <v>5111.4602282621545</v>
      </c>
      <c r="N160" s="541">
        <f>B160*M160</f>
        <v>6.3893252853276934</v>
      </c>
    </row>
    <row r="161" spans="1:14" ht="13.9" customHeight="1" x14ac:dyDescent="0.2">
      <c r="A161" s="542" t="s">
        <v>576</v>
      </c>
      <c r="B161" s="540">
        <f>B160/'Prod. GEXURG'!Q15</f>
        <v>8.3333333333333331E-5</v>
      </c>
      <c r="C161" s="541">
        <f>I144</f>
        <v>4435.4035859645173</v>
      </c>
      <c r="D161" s="541">
        <f>C161*B161</f>
        <v>0.36961696549704309</v>
      </c>
      <c r="E161" s="541">
        <f>I144</f>
        <v>4435.4035859645173</v>
      </c>
      <c r="F161" s="541">
        <f>B161*E161</f>
        <v>0.36961696549704309</v>
      </c>
      <c r="G161" s="541">
        <f>I144</f>
        <v>4435.4035859645173</v>
      </c>
      <c r="H161" s="541">
        <f>B161*G161</f>
        <v>0.36961696549704309</v>
      </c>
      <c r="I161" s="541">
        <f>I144</f>
        <v>4435.4035859645173</v>
      </c>
      <c r="J161" s="541">
        <f>B161*I161</f>
        <v>0.36961696549704309</v>
      </c>
      <c r="K161" s="541">
        <f>I144</f>
        <v>4435.4035859645173</v>
      </c>
      <c r="L161" s="541">
        <f>B161*K161</f>
        <v>0.36961696549704309</v>
      </c>
      <c r="M161" s="541">
        <f>I144</f>
        <v>4435.4035859645173</v>
      </c>
      <c r="N161" s="541">
        <f>B161*M161</f>
        <v>0.36961696549704309</v>
      </c>
    </row>
    <row r="162" spans="1:14" ht="13.9" customHeight="1" x14ac:dyDescent="0.2">
      <c r="A162" s="544" t="s">
        <v>579</v>
      </c>
      <c r="B162" s="545"/>
      <c r="C162" s="546"/>
      <c r="D162" s="546">
        <f>SUM(D160:D161)</f>
        <v>6.5429650580812648</v>
      </c>
      <c r="E162" s="546"/>
      <c r="F162" s="546">
        <f>SUM(F160:F161)</f>
        <v>6.5779415345265013</v>
      </c>
      <c r="G162" s="546"/>
      <c r="H162" s="546">
        <f>SUM(H160:H161)</f>
        <v>6.6133166032958997</v>
      </c>
      <c r="I162" s="546"/>
      <c r="J162" s="546">
        <f>SUM(J160:J161)</f>
        <v>5.1909466018664023</v>
      </c>
      <c r="K162" s="546"/>
      <c r="L162" s="546">
        <f>SUM(L160:L161)</f>
        <v>6.6852900861523716</v>
      </c>
      <c r="M162" s="546"/>
      <c r="N162" s="546">
        <f>SUM(N160:N161)</f>
        <v>6.7589422508247363</v>
      </c>
    </row>
    <row r="163" spans="1:14" ht="14.25" customHeight="1" x14ac:dyDescent="0.2">
      <c r="A163" s="550"/>
      <c r="B163" s="551"/>
      <c r="C163" s="551"/>
      <c r="D163" s="551"/>
      <c r="E163" s="552"/>
      <c r="F163" s="552"/>
      <c r="G163" s="552"/>
      <c r="H163" s="552"/>
      <c r="I163" s="552"/>
      <c r="J163" s="552"/>
      <c r="K163"/>
      <c r="L163"/>
      <c r="M163"/>
      <c r="N163"/>
    </row>
    <row r="164" spans="1:14" ht="24.6" customHeight="1" x14ac:dyDescent="0.2">
      <c r="A164" s="876" t="s">
        <v>581</v>
      </c>
      <c r="B164" s="876"/>
      <c r="C164" s="876" t="s">
        <v>565</v>
      </c>
      <c r="D164" s="876"/>
      <c r="E164" s="876" t="s">
        <v>566</v>
      </c>
      <c r="F164" s="876"/>
      <c r="G164" s="876" t="s">
        <v>567</v>
      </c>
      <c r="H164" s="876"/>
      <c r="I164" s="876" t="s">
        <v>568</v>
      </c>
      <c r="J164" s="876"/>
      <c r="K164" s="876" t="s">
        <v>569</v>
      </c>
      <c r="L164" s="876"/>
      <c r="M164" s="876" t="s">
        <v>570</v>
      </c>
      <c r="N164" s="876"/>
    </row>
    <row r="165" spans="1:14" ht="35.25" customHeight="1" x14ac:dyDescent="0.2">
      <c r="A165" s="537" t="s">
        <v>571</v>
      </c>
      <c r="B165" s="538" t="s">
        <v>582</v>
      </c>
      <c r="C165" s="538" t="s">
        <v>573</v>
      </c>
      <c r="D165" s="538" t="s">
        <v>574</v>
      </c>
      <c r="E165" s="538" t="s">
        <v>573</v>
      </c>
      <c r="F165" s="538" t="s">
        <v>574</v>
      </c>
      <c r="G165" s="538" t="s">
        <v>573</v>
      </c>
      <c r="H165" s="538" t="s">
        <v>574</v>
      </c>
      <c r="I165" s="538" t="s">
        <v>573</v>
      </c>
      <c r="J165" s="538" t="s">
        <v>574</v>
      </c>
      <c r="K165" s="538" t="s">
        <v>573</v>
      </c>
      <c r="L165" s="538" t="s">
        <v>574</v>
      </c>
      <c r="M165" s="538" t="s">
        <v>573</v>
      </c>
      <c r="N165" s="538" t="s">
        <v>574</v>
      </c>
    </row>
    <row r="166" spans="1:14" ht="13.9" customHeight="1" x14ac:dyDescent="0.2">
      <c r="A166" s="539" t="s">
        <v>575</v>
      </c>
      <c r="B166" s="553">
        <f>1/'Prod. GEXURG'!F15</f>
        <v>6.6666666666666664E-4</v>
      </c>
      <c r="C166" s="554">
        <f>D139</f>
        <v>4417.4057612767756</v>
      </c>
      <c r="D166" s="541">
        <f>B166*C166</f>
        <v>2.9449371741845169</v>
      </c>
      <c r="E166" s="541">
        <f>D140</f>
        <v>4442.4335559582296</v>
      </c>
      <c r="F166" s="541">
        <f>B166*E166</f>
        <v>2.9616223706388198</v>
      </c>
      <c r="G166" s="541">
        <f>D141</f>
        <v>4467.7465676730917</v>
      </c>
      <c r="H166" s="541">
        <f>B166*G166</f>
        <v>2.9784977117820612</v>
      </c>
      <c r="I166" s="541">
        <f>D142</f>
        <v>4493.3496998660603</v>
      </c>
      <c r="J166" s="541">
        <f>B166*I166</f>
        <v>2.9955664665773734</v>
      </c>
      <c r="K166" s="541">
        <f>D143</f>
        <v>4519.247969029554</v>
      </c>
      <c r="L166" s="541">
        <f>B166*K166</f>
        <v>3.0128319793530358</v>
      </c>
      <c r="M166" s="541">
        <f>D144</f>
        <v>4571.9505692514731</v>
      </c>
      <c r="N166" s="541">
        <f>B166*M166</f>
        <v>3.0479670461676487</v>
      </c>
    </row>
    <row r="167" spans="1:14" ht="13.9" customHeight="1" x14ac:dyDescent="0.2">
      <c r="A167" s="542" t="s">
        <v>576</v>
      </c>
      <c r="B167" s="540">
        <f>B166/'Prod. GEXURG'!Q15</f>
        <v>4.444444444444444E-5</v>
      </c>
      <c r="C167" s="541">
        <f>I144</f>
        <v>4435.4035859645173</v>
      </c>
      <c r="D167" s="541">
        <f>B167*C167</f>
        <v>0.19712904826508965</v>
      </c>
      <c r="E167" s="541">
        <f>I144</f>
        <v>4435.4035859645173</v>
      </c>
      <c r="F167" s="541">
        <f>B167*E167</f>
        <v>0.19712904826508965</v>
      </c>
      <c r="G167" s="541">
        <f>I144</f>
        <v>4435.4035859645173</v>
      </c>
      <c r="H167" s="541">
        <f>B167*G167</f>
        <v>0.19712904826508965</v>
      </c>
      <c r="I167" s="541">
        <f>I144</f>
        <v>4435.4035859645173</v>
      </c>
      <c r="J167" s="541">
        <f>B167*I167</f>
        <v>0.19712904826508965</v>
      </c>
      <c r="K167" s="541">
        <f>I144</f>
        <v>4435.4035859645173</v>
      </c>
      <c r="L167" s="541">
        <f>B167*K167</f>
        <v>0.19712904826508965</v>
      </c>
      <c r="M167" s="541">
        <f>I144</f>
        <v>4435.4035859645173</v>
      </c>
      <c r="N167" s="541">
        <f>B167*M167</f>
        <v>0.19712904826508965</v>
      </c>
    </row>
    <row r="168" spans="1:14" ht="13.9" customHeight="1" x14ac:dyDescent="0.2">
      <c r="A168" s="544" t="s">
        <v>583</v>
      </c>
      <c r="B168" s="545"/>
      <c r="C168" s="546"/>
      <c r="D168" s="546">
        <f>SUM(D166:D167)</f>
        <v>3.1420662224496065</v>
      </c>
      <c r="E168" s="546"/>
      <c r="F168" s="546">
        <f>SUM(F166:F167)</f>
        <v>3.1587514189039094</v>
      </c>
      <c r="G168" s="546"/>
      <c r="H168" s="546">
        <f>SUM(H166:H167)</f>
        <v>3.1756267600471508</v>
      </c>
      <c r="I168" s="546"/>
      <c r="J168" s="546">
        <f>SUM(J166:J167)</f>
        <v>3.1926955148424629</v>
      </c>
      <c r="K168" s="546"/>
      <c r="L168" s="546">
        <f>SUM(L166:L167)</f>
        <v>3.2099610276181254</v>
      </c>
      <c r="M168" s="546"/>
      <c r="N168" s="546">
        <f>SUM(N166:N167)</f>
        <v>3.2450960944327383</v>
      </c>
    </row>
    <row r="169" spans="1:14" ht="14.25" customHeight="1" x14ac:dyDescent="0.2">
      <c r="A169" s="550"/>
      <c r="B169" s="555"/>
      <c r="C169" s="555"/>
      <c r="D169" s="555"/>
      <c r="E169" s="555"/>
      <c r="F169" s="555"/>
      <c r="G169" s="555"/>
      <c r="H169" s="555"/>
      <c r="I169" s="555"/>
      <c r="J169" s="555"/>
      <c r="K169"/>
      <c r="L169"/>
      <c r="M169"/>
      <c r="N169"/>
    </row>
    <row r="170" spans="1:14" ht="24.6" customHeight="1" x14ac:dyDescent="0.2">
      <c r="A170" s="876" t="s">
        <v>584</v>
      </c>
      <c r="B170" s="876"/>
      <c r="C170" s="876" t="s">
        <v>565</v>
      </c>
      <c r="D170" s="876"/>
      <c r="E170" s="876" t="s">
        <v>566</v>
      </c>
      <c r="F170" s="876"/>
      <c r="G170" s="876" t="s">
        <v>567</v>
      </c>
      <c r="H170" s="876"/>
      <c r="I170" s="876" t="s">
        <v>568</v>
      </c>
      <c r="J170" s="876"/>
      <c r="K170" s="876" t="s">
        <v>569</v>
      </c>
      <c r="L170" s="876"/>
      <c r="M170" s="876" t="s">
        <v>570</v>
      </c>
      <c r="N170" s="876"/>
    </row>
    <row r="171" spans="1:14" ht="13.9" customHeight="1" x14ac:dyDescent="0.2">
      <c r="A171" s="537" t="s">
        <v>571</v>
      </c>
      <c r="B171" s="538" t="s">
        <v>582</v>
      </c>
      <c r="C171" s="538" t="s">
        <v>573</v>
      </c>
      <c r="D171" s="538" t="s">
        <v>574</v>
      </c>
      <c r="E171" s="538" t="s">
        <v>573</v>
      </c>
      <c r="F171" s="538" t="s">
        <v>574</v>
      </c>
      <c r="G171" s="538" t="s">
        <v>573</v>
      </c>
      <c r="H171" s="538" t="s">
        <v>574</v>
      </c>
      <c r="I171" s="538" t="s">
        <v>573</v>
      </c>
      <c r="J171" s="538" t="s">
        <v>574</v>
      </c>
      <c r="K171" s="538" t="s">
        <v>573</v>
      </c>
      <c r="L171" s="538" t="s">
        <v>574</v>
      </c>
      <c r="M171" s="538" t="s">
        <v>573</v>
      </c>
      <c r="N171" s="538" t="s">
        <v>574</v>
      </c>
    </row>
    <row r="172" spans="1:14" ht="13.9" customHeight="1" x14ac:dyDescent="0.2">
      <c r="A172" s="539" t="s">
        <v>575</v>
      </c>
      <c r="B172" s="553">
        <f>1/'Prod. GEXURG'!G15</f>
        <v>1E-3</v>
      </c>
      <c r="C172" s="554">
        <f>D139</f>
        <v>4417.4057612767756</v>
      </c>
      <c r="D172" s="541">
        <f>B172*C172</f>
        <v>4.4174057612767754</v>
      </c>
      <c r="E172" s="541">
        <f>D140</f>
        <v>4442.4335559582296</v>
      </c>
      <c r="F172" s="541">
        <f>B172*E172</f>
        <v>4.44243355595823</v>
      </c>
      <c r="G172" s="541">
        <f>D141</f>
        <v>4467.7465676730917</v>
      </c>
      <c r="H172" s="541">
        <f>B172*G172</f>
        <v>4.4677465676730916</v>
      </c>
      <c r="I172" s="541">
        <f>D142</f>
        <v>4493.3496998660603</v>
      </c>
      <c r="J172" s="541">
        <f>B172*I172</f>
        <v>4.4933496998660605</v>
      </c>
      <c r="K172" s="541">
        <f>D143</f>
        <v>4519.247969029554</v>
      </c>
      <c r="L172" s="541">
        <f>B172*K172</f>
        <v>4.5192479690295544</v>
      </c>
      <c r="M172" s="541">
        <f>D144</f>
        <v>4571.9505692514731</v>
      </c>
      <c r="N172" s="541">
        <f>B172*M172</f>
        <v>4.5719505692514728</v>
      </c>
    </row>
    <row r="173" spans="1:14" ht="13.9" customHeight="1" x14ac:dyDescent="0.2">
      <c r="A173" s="542" t="s">
        <v>576</v>
      </c>
      <c r="B173" s="540">
        <f>B172/'Prod. GEXURG'!Q15</f>
        <v>6.666666666666667E-5</v>
      </c>
      <c r="C173" s="541">
        <f>I144</f>
        <v>4435.4035859645173</v>
      </c>
      <c r="D173" s="541">
        <f>B173*C173</f>
        <v>0.2956935723976345</v>
      </c>
      <c r="E173" s="541">
        <f>I144</f>
        <v>4435.4035859645173</v>
      </c>
      <c r="F173" s="541">
        <f>B173*E173</f>
        <v>0.2956935723976345</v>
      </c>
      <c r="G173" s="541">
        <f>I144</f>
        <v>4435.4035859645173</v>
      </c>
      <c r="H173" s="541">
        <f>B173*G173</f>
        <v>0.2956935723976345</v>
      </c>
      <c r="I173" s="541">
        <f>I144</f>
        <v>4435.4035859645173</v>
      </c>
      <c r="J173" s="541">
        <f>B173*I173</f>
        <v>0.2956935723976345</v>
      </c>
      <c r="K173" s="541">
        <f>I144</f>
        <v>4435.4035859645173</v>
      </c>
      <c r="L173" s="541">
        <f>B173*K173</f>
        <v>0.2956935723976345</v>
      </c>
      <c r="M173" s="541">
        <f>I144</f>
        <v>4435.4035859645173</v>
      </c>
      <c r="N173" s="541">
        <f>B173*M173</f>
        <v>0.2956935723976345</v>
      </c>
    </row>
    <row r="174" spans="1:14" ht="13.9" customHeight="1" x14ac:dyDescent="0.2">
      <c r="A174" s="544" t="s">
        <v>583</v>
      </c>
      <c r="B174" s="545"/>
      <c r="C174" s="546"/>
      <c r="D174" s="546">
        <f>SUM(D172:D173)</f>
        <v>4.7130993336744096</v>
      </c>
      <c r="E174" s="546"/>
      <c r="F174" s="546">
        <f>SUM(F172:F173)</f>
        <v>4.7381271283558641</v>
      </c>
      <c r="G174" s="546"/>
      <c r="H174" s="546">
        <f>SUM(H172:H173)</f>
        <v>4.7634401400707258</v>
      </c>
      <c r="I174" s="546"/>
      <c r="J174" s="546">
        <f>SUM(J172:J173)</f>
        <v>4.7890432722636946</v>
      </c>
      <c r="K174" s="546"/>
      <c r="L174" s="546">
        <f>SUM(L172:L173)</f>
        <v>4.8149415414271886</v>
      </c>
      <c r="M174" s="546"/>
      <c r="N174" s="546">
        <f>SUM(N172:N173)</f>
        <v>4.867644141649107</v>
      </c>
    </row>
    <row r="175" spans="1:14" ht="14.25" customHeight="1" x14ac:dyDescent="0.2">
      <c r="A175" s="550"/>
      <c r="B175" s="555"/>
      <c r="C175" s="555"/>
      <c r="D175" s="555"/>
      <c r="E175" s="555"/>
      <c r="F175" s="555"/>
      <c r="G175" s="555"/>
      <c r="H175" s="555"/>
      <c r="I175" s="555"/>
      <c r="J175" s="555"/>
      <c r="K175"/>
      <c r="L175"/>
      <c r="M175"/>
      <c r="N175"/>
    </row>
    <row r="176" spans="1:14" ht="24.6" customHeight="1" x14ac:dyDescent="0.2">
      <c r="A176" s="876" t="s">
        <v>585</v>
      </c>
      <c r="B176" s="876"/>
      <c r="C176" s="876" t="s">
        <v>565</v>
      </c>
      <c r="D176" s="876"/>
      <c r="E176" s="876" t="s">
        <v>566</v>
      </c>
      <c r="F176" s="876"/>
      <c r="G176" s="876" t="s">
        <v>567</v>
      </c>
      <c r="H176" s="876"/>
      <c r="I176" s="876" t="s">
        <v>568</v>
      </c>
      <c r="J176" s="876"/>
      <c r="K176" s="876" t="s">
        <v>569</v>
      </c>
      <c r="L176" s="876"/>
      <c r="M176" s="876" t="s">
        <v>570</v>
      </c>
      <c r="N176" s="876"/>
    </row>
    <row r="177" spans="1:14" ht="33.75" customHeight="1" x14ac:dyDescent="0.2">
      <c r="A177" s="537" t="s">
        <v>571</v>
      </c>
      <c r="B177" s="538" t="s">
        <v>582</v>
      </c>
      <c r="C177" s="538" t="s">
        <v>573</v>
      </c>
      <c r="D177" s="538" t="s">
        <v>574</v>
      </c>
      <c r="E177" s="538" t="s">
        <v>573</v>
      </c>
      <c r="F177" s="538" t="s">
        <v>574</v>
      </c>
      <c r="G177" s="538" t="s">
        <v>573</v>
      </c>
      <c r="H177" s="538" t="s">
        <v>574</v>
      </c>
      <c r="I177" s="538" t="s">
        <v>573</v>
      </c>
      <c r="J177" s="538" t="s">
        <v>574</v>
      </c>
      <c r="K177" s="538" t="s">
        <v>573</v>
      </c>
      <c r="L177" s="538" t="s">
        <v>574</v>
      </c>
      <c r="M177" s="538" t="s">
        <v>573</v>
      </c>
      <c r="N177" s="538" t="s">
        <v>574</v>
      </c>
    </row>
    <row r="178" spans="1:14" ht="13.9" customHeight="1" x14ac:dyDescent="0.2">
      <c r="A178" s="539" t="s">
        <v>575</v>
      </c>
      <c r="B178" s="553">
        <f>1/'Prod. GEXURG'!H15</f>
        <v>4.4444444444444444E-3</v>
      </c>
      <c r="C178" s="549">
        <f>C139</f>
        <v>4938.6784740673775</v>
      </c>
      <c r="D178" s="541">
        <f>B178*C178</f>
        <v>21.949682106966122</v>
      </c>
      <c r="E178" s="549">
        <f>C140</f>
        <v>4966.6596552235669</v>
      </c>
      <c r="F178" s="541">
        <f>B178*E178</f>
        <v>22.074042912104741</v>
      </c>
      <c r="G178" s="549">
        <f>C141</f>
        <v>4994.9597102390853</v>
      </c>
      <c r="H178" s="541">
        <f>B178*G178</f>
        <v>22.199820934395934</v>
      </c>
      <c r="I178" s="549">
        <f>C142</f>
        <v>5023.5841211860152</v>
      </c>
      <c r="J178" s="541">
        <f>B178*I178</f>
        <v>22.327040538604511</v>
      </c>
      <c r="K178" s="549">
        <f>C143</f>
        <v>5052.5384965242629</v>
      </c>
      <c r="L178" s="541">
        <f>B178*K178</f>
        <v>22.455726651218946</v>
      </c>
      <c r="M178" s="549">
        <f>C144</f>
        <v>5111.4602282621545</v>
      </c>
      <c r="N178" s="541">
        <f>B178*M178</f>
        <v>22.717601014498463</v>
      </c>
    </row>
    <row r="179" spans="1:14" ht="13.9" customHeight="1" x14ac:dyDescent="0.2">
      <c r="A179" s="542" t="s">
        <v>576</v>
      </c>
      <c r="B179" s="540">
        <f>B178/'Prod. GEXURG'!Q15</f>
        <v>2.9629629629629629E-4</v>
      </c>
      <c r="C179" s="541">
        <f>I134</f>
        <v>857.43300551685388</v>
      </c>
      <c r="D179" s="541">
        <f>C179*B179</f>
        <v>0.25405422385684562</v>
      </c>
      <c r="E179" s="541">
        <f>I144</f>
        <v>4435.4035859645173</v>
      </c>
      <c r="F179" s="541">
        <f>B179*E179</f>
        <v>1.3141936551005977</v>
      </c>
      <c r="G179" s="541">
        <f>I144</f>
        <v>4435.4035859645173</v>
      </c>
      <c r="H179" s="541">
        <f>B179*G179</f>
        <v>1.3141936551005977</v>
      </c>
      <c r="I179" s="541">
        <f>I144</f>
        <v>4435.4035859645173</v>
      </c>
      <c r="J179" s="541">
        <f>B179*I179</f>
        <v>1.3141936551005977</v>
      </c>
      <c r="K179" s="541">
        <f>I144</f>
        <v>4435.4035859645173</v>
      </c>
      <c r="L179" s="541">
        <f>B179*K179</f>
        <v>1.3141936551005977</v>
      </c>
      <c r="M179" s="541">
        <f>I144</f>
        <v>4435.4035859645173</v>
      </c>
      <c r="N179" s="541">
        <f>B179*M179</f>
        <v>1.3141936551005977</v>
      </c>
    </row>
    <row r="180" spans="1:14" ht="13.9" customHeight="1" x14ac:dyDescent="0.2">
      <c r="A180" s="544" t="s">
        <v>583</v>
      </c>
      <c r="B180" s="545"/>
      <c r="C180" s="546"/>
      <c r="D180" s="546">
        <f>SUM(D178:D179)</f>
        <v>22.203736330822966</v>
      </c>
      <c r="E180" s="546"/>
      <c r="F180" s="546">
        <f>SUM(F178:F179)</f>
        <v>23.38823656720534</v>
      </c>
      <c r="G180" s="546"/>
      <c r="H180" s="546">
        <f>SUM(H178:H179)</f>
        <v>23.514014589496533</v>
      </c>
      <c r="I180" s="546"/>
      <c r="J180" s="546">
        <f>SUM(J178:J179)</f>
        <v>23.64123419370511</v>
      </c>
      <c r="K180" s="546"/>
      <c r="L180" s="546">
        <f>SUM(L178:L179)</f>
        <v>23.769920306319545</v>
      </c>
      <c r="M180" s="546"/>
      <c r="N180" s="546">
        <f>SUM(N178:N179)</f>
        <v>24.031794669599062</v>
      </c>
    </row>
    <row r="181" spans="1:14" ht="13.9" customHeight="1" x14ac:dyDescent="0.2">
      <c r="A181" s="550"/>
      <c r="B181" s="556"/>
      <c r="C181" s="556"/>
      <c r="D181" s="556"/>
      <c r="E181" s="556"/>
      <c r="F181" s="556"/>
      <c r="G181" s="556"/>
      <c r="H181" s="556"/>
      <c r="I181" s="556"/>
      <c r="J181" s="556"/>
      <c r="K181"/>
      <c r="L181"/>
      <c r="M181"/>
      <c r="N181"/>
    </row>
    <row r="182" spans="1:14" ht="13.5" customHeight="1" x14ac:dyDescent="0.2">
      <c r="A182" s="898" t="s">
        <v>586</v>
      </c>
      <c r="B182" s="898"/>
      <c r="C182" s="898" t="s">
        <v>565</v>
      </c>
      <c r="D182" s="898"/>
      <c r="E182" s="898" t="s">
        <v>566</v>
      </c>
      <c r="F182" s="898"/>
      <c r="G182" s="898" t="s">
        <v>567</v>
      </c>
      <c r="H182" s="898"/>
      <c r="I182" s="898" t="s">
        <v>568</v>
      </c>
      <c r="J182" s="898"/>
      <c r="K182" s="898" t="s">
        <v>569</v>
      </c>
      <c r="L182" s="898"/>
      <c r="M182" s="898" t="s">
        <v>570</v>
      </c>
      <c r="N182" s="898"/>
    </row>
    <row r="183" spans="1:14" ht="31.5" customHeight="1" x14ac:dyDescent="0.2">
      <c r="A183" s="537" t="s">
        <v>571</v>
      </c>
      <c r="B183" s="538" t="s">
        <v>582</v>
      </c>
      <c r="C183" s="538" t="s">
        <v>573</v>
      </c>
      <c r="D183" s="538" t="s">
        <v>574</v>
      </c>
      <c r="E183" s="538" t="s">
        <v>573</v>
      </c>
      <c r="F183" s="538" t="s">
        <v>574</v>
      </c>
      <c r="G183" s="538" t="s">
        <v>573</v>
      </c>
      <c r="H183" s="538" t="s">
        <v>574</v>
      </c>
      <c r="I183" s="538" t="s">
        <v>573</v>
      </c>
      <c r="J183" s="538" t="s">
        <v>574</v>
      </c>
      <c r="K183" s="538" t="s">
        <v>573</v>
      </c>
      <c r="L183" s="538" t="s">
        <v>574</v>
      </c>
      <c r="M183" s="538" t="s">
        <v>573</v>
      </c>
      <c r="N183" s="538" t="s">
        <v>574</v>
      </c>
    </row>
    <row r="184" spans="1:14" ht="13.9" customHeight="1" x14ac:dyDescent="0.2">
      <c r="A184" s="539" t="s">
        <v>587</v>
      </c>
      <c r="B184" s="553">
        <f>1/'Prod. GEXURG'!I15</f>
        <v>5.5555555555555556E-4</v>
      </c>
      <c r="C184" s="541">
        <f>D139</f>
        <v>4417.4057612767756</v>
      </c>
      <c r="D184" s="541">
        <f>B184*C184</f>
        <v>2.4541143118204309</v>
      </c>
      <c r="E184" s="541">
        <f>D140</f>
        <v>4442.4335559582296</v>
      </c>
      <c r="F184" s="541">
        <f>B184*E184</f>
        <v>2.4680186421990165</v>
      </c>
      <c r="G184" s="541">
        <f>D141</f>
        <v>4467.7465676730917</v>
      </c>
      <c r="H184" s="541">
        <f>B184*G184</f>
        <v>2.4820814264850508</v>
      </c>
      <c r="I184" s="541">
        <f>D142</f>
        <v>4493.3496998660603</v>
      </c>
      <c r="J184" s="541">
        <f>B184*I184</f>
        <v>2.4963053888144779</v>
      </c>
      <c r="K184" s="541">
        <f>D143</f>
        <v>4519.247969029554</v>
      </c>
      <c r="L184" s="541">
        <f>B184*K184</f>
        <v>2.5106933161275302</v>
      </c>
      <c r="M184" s="541">
        <f>D144</f>
        <v>4571.9505692514731</v>
      </c>
      <c r="N184" s="541">
        <f>B184*M184</f>
        <v>2.5399725384730405</v>
      </c>
    </row>
    <row r="185" spans="1:14" ht="13.9" customHeight="1" x14ac:dyDescent="0.2">
      <c r="A185" s="542" t="s">
        <v>576</v>
      </c>
      <c r="B185" s="540">
        <f>B184/'Prod. GEXURG'!Q15</f>
        <v>3.7037037037037037E-5</v>
      </c>
      <c r="C185" s="541">
        <f>I144</f>
        <v>4435.4035859645173</v>
      </c>
      <c r="D185" s="541">
        <f>B185*C185</f>
        <v>0.16427420688757471</v>
      </c>
      <c r="E185" s="541">
        <f>I144</f>
        <v>4435.4035859645173</v>
      </c>
      <c r="F185" s="541">
        <f>B185*E185</f>
        <v>0.16427420688757471</v>
      </c>
      <c r="G185" s="541">
        <f>I144</f>
        <v>4435.4035859645173</v>
      </c>
      <c r="H185" s="541">
        <f>B185*G185</f>
        <v>0.16427420688757471</v>
      </c>
      <c r="I185" s="541">
        <f>I144</f>
        <v>4435.4035859645173</v>
      </c>
      <c r="J185" s="541">
        <f>B185*I185</f>
        <v>0.16427420688757471</v>
      </c>
      <c r="K185" s="541">
        <f>I144</f>
        <v>4435.4035859645173</v>
      </c>
      <c r="L185" s="541">
        <f>B185*K185</f>
        <v>0.16427420688757471</v>
      </c>
      <c r="M185" s="541">
        <f>I144</f>
        <v>4435.4035859645173</v>
      </c>
      <c r="N185" s="541">
        <f>B185*M185</f>
        <v>0.16427420688757471</v>
      </c>
    </row>
    <row r="186" spans="1:14" ht="13.9" customHeight="1" x14ac:dyDescent="0.2">
      <c r="A186" s="557" t="s">
        <v>588</v>
      </c>
      <c r="B186" s="558"/>
      <c r="C186" s="559"/>
      <c r="D186" s="560">
        <f>SUM(D184:D185)</f>
        <v>2.6183885187080058</v>
      </c>
      <c r="E186" s="559"/>
      <c r="F186" s="560">
        <f>SUM(F184:F185)</f>
        <v>2.6322928490865913</v>
      </c>
      <c r="G186" s="559"/>
      <c r="H186" s="560">
        <f>SUM(H184:H185)</f>
        <v>2.6463556333726257</v>
      </c>
      <c r="I186" s="559"/>
      <c r="J186" s="560">
        <f>SUM(J184:J185)</f>
        <v>2.6605795957020528</v>
      </c>
      <c r="K186" s="559"/>
      <c r="L186" s="560">
        <f>SUM(L184:L185)</f>
        <v>2.6749675230151051</v>
      </c>
      <c r="M186" s="559"/>
      <c r="N186" s="560">
        <f>SUM(N184:N185)</f>
        <v>2.7042467453606154</v>
      </c>
    </row>
    <row r="187" spans="1:14" ht="14.25" customHeight="1" x14ac:dyDescent="0.2">
      <c r="A187" s="539" t="s">
        <v>589</v>
      </c>
      <c r="B187" s="553">
        <f>1/'Prod. GEXURG'!J15</f>
        <v>1.0000000000000001E-5</v>
      </c>
      <c r="C187" s="541">
        <f>D139</f>
        <v>4417.4057612767756</v>
      </c>
      <c r="D187" s="541">
        <f>B187*C187</f>
        <v>4.4174057612767763E-2</v>
      </c>
      <c r="E187" s="541">
        <f>D140</f>
        <v>4442.4335559582296</v>
      </c>
      <c r="F187" s="541">
        <f>B187*E187</f>
        <v>4.4424335559582299E-2</v>
      </c>
      <c r="G187" s="541">
        <f>D141</f>
        <v>4467.7465676730917</v>
      </c>
      <c r="H187" s="541">
        <f>B187*G187</f>
        <v>4.4677465676730921E-2</v>
      </c>
      <c r="I187" s="541">
        <f>D142</f>
        <v>4493.3496998660603</v>
      </c>
      <c r="J187" s="541">
        <f>B187*I187</f>
        <v>4.4933496998660609E-2</v>
      </c>
      <c r="K187" s="541">
        <f>D143</f>
        <v>4519.247969029554</v>
      </c>
      <c r="L187" s="541">
        <f>B187*K187</f>
        <v>4.5192479690295544E-2</v>
      </c>
      <c r="M187" s="541">
        <f>D144</f>
        <v>4571.9505692514731</v>
      </c>
      <c r="N187" s="541">
        <f>B187*M187</f>
        <v>4.5719505692514734E-2</v>
      </c>
    </row>
    <row r="188" spans="1:14" ht="24.6" customHeight="1" x14ac:dyDescent="0.2">
      <c r="A188" s="542" t="s">
        <v>576</v>
      </c>
      <c r="B188" s="540">
        <f>B187/'Prod. GEXURG'!Q15</f>
        <v>6.6666666666666671E-7</v>
      </c>
      <c r="C188" s="541">
        <f>I144</f>
        <v>4435.4035859645173</v>
      </c>
      <c r="D188" s="541">
        <f>B188*C188</f>
        <v>2.956935723976345E-3</v>
      </c>
      <c r="E188" s="541">
        <f>I144</f>
        <v>4435.4035859645173</v>
      </c>
      <c r="F188" s="541">
        <f>B188*E188</f>
        <v>2.956935723976345E-3</v>
      </c>
      <c r="G188" s="541">
        <f>I144</f>
        <v>4435.4035859645173</v>
      </c>
      <c r="H188" s="541">
        <f>B188*G188</f>
        <v>2.956935723976345E-3</v>
      </c>
      <c r="I188" s="541">
        <f>I144</f>
        <v>4435.4035859645173</v>
      </c>
      <c r="J188" s="541">
        <f>B188*I188</f>
        <v>2.956935723976345E-3</v>
      </c>
      <c r="K188" s="541">
        <f>I144</f>
        <v>4435.4035859645173</v>
      </c>
      <c r="L188" s="541">
        <f>B188*K188</f>
        <v>2.956935723976345E-3</v>
      </c>
      <c r="M188" s="541">
        <f>I144</f>
        <v>4435.4035859645173</v>
      </c>
      <c r="N188" s="541">
        <f>B188*M188</f>
        <v>2.956935723976345E-3</v>
      </c>
    </row>
    <row r="189" spans="1:14" ht="14.1" customHeight="1" x14ac:dyDescent="0.2">
      <c r="A189" s="557" t="s">
        <v>590</v>
      </c>
      <c r="B189" s="561"/>
      <c r="C189" s="559"/>
      <c r="D189" s="560">
        <f>SUM(D187:D188)</f>
        <v>4.7130993336744108E-2</v>
      </c>
      <c r="E189" s="559"/>
      <c r="F189" s="560">
        <f>SUM(F187:F188)</f>
        <v>4.7381271283558644E-2</v>
      </c>
      <c r="G189" s="559"/>
      <c r="H189" s="560">
        <f>SUM(H187:H188)</f>
        <v>4.7634401400707266E-2</v>
      </c>
      <c r="I189" s="559"/>
      <c r="J189" s="560">
        <f>SUM(J187:J188)</f>
        <v>4.7890432722636954E-2</v>
      </c>
      <c r="K189" s="559"/>
      <c r="L189" s="560">
        <f>SUM(L187:L188)</f>
        <v>4.8149415414271889E-2</v>
      </c>
      <c r="M189" s="559"/>
      <c r="N189" s="560">
        <f>SUM(N187:N188)</f>
        <v>4.8676441416491079E-2</v>
      </c>
    </row>
    <row r="190" spans="1:14" ht="13.9" customHeight="1" x14ac:dyDescent="0.2">
      <c r="A190" s="539" t="s">
        <v>591</v>
      </c>
      <c r="B190" s="553">
        <f>1/'Prod. GEXURG'!K15</f>
        <v>1.1111111111111112E-4</v>
      </c>
      <c r="C190" s="541">
        <f>D139</f>
        <v>4417.4057612767756</v>
      </c>
      <c r="D190" s="541">
        <f>B190*C190</f>
        <v>0.49082286236408618</v>
      </c>
      <c r="E190" s="541">
        <f>D140</f>
        <v>4442.4335559582296</v>
      </c>
      <c r="F190" s="541">
        <f>B190*E190</f>
        <v>0.49360372843980332</v>
      </c>
      <c r="G190" s="541">
        <f>D141</f>
        <v>4467.7465676730917</v>
      </c>
      <c r="H190" s="541">
        <f>B190*G190</f>
        <v>0.49641628529701021</v>
      </c>
      <c r="I190" s="541">
        <f>D142</f>
        <v>4493.3496998660603</v>
      </c>
      <c r="J190" s="541">
        <f>B190*I190</f>
        <v>0.49926107776289563</v>
      </c>
      <c r="K190" s="541">
        <f>D143</f>
        <v>4519.247969029554</v>
      </c>
      <c r="L190" s="541">
        <f>B190*K190</f>
        <v>0.50213866322550604</v>
      </c>
      <c r="M190" s="541">
        <f>D144</f>
        <v>4571.9505692514731</v>
      </c>
      <c r="N190" s="541">
        <f>B190*M190</f>
        <v>0.50799450769460819</v>
      </c>
    </row>
    <row r="191" spans="1:14" ht="13.9" customHeight="1" x14ac:dyDescent="0.2">
      <c r="A191" s="542" t="s">
        <v>576</v>
      </c>
      <c r="B191" s="540">
        <f>B190/'Prod. GEXURG'!Q15</f>
        <v>7.4074074074074075E-6</v>
      </c>
      <c r="C191" s="541">
        <f>I144</f>
        <v>4435.4035859645173</v>
      </c>
      <c r="D191" s="541">
        <f>B191*C191</f>
        <v>3.2854841377514946E-2</v>
      </c>
      <c r="E191" s="541">
        <f>I144</f>
        <v>4435.4035859645173</v>
      </c>
      <c r="F191" s="541">
        <f>B191*E191</f>
        <v>3.2854841377514946E-2</v>
      </c>
      <c r="G191" s="541">
        <f>I144</f>
        <v>4435.4035859645173</v>
      </c>
      <c r="H191" s="541">
        <f>B191*G191</f>
        <v>3.2854841377514946E-2</v>
      </c>
      <c r="I191" s="541">
        <f>I144</f>
        <v>4435.4035859645173</v>
      </c>
      <c r="J191" s="541">
        <f>B191*I191</f>
        <v>3.2854841377514946E-2</v>
      </c>
      <c r="K191" s="541">
        <f>I144</f>
        <v>4435.4035859645173</v>
      </c>
      <c r="L191" s="541">
        <f>B191*K191</f>
        <v>3.2854841377514946E-2</v>
      </c>
      <c r="M191" s="541">
        <f>I144</f>
        <v>4435.4035859645173</v>
      </c>
      <c r="N191" s="541">
        <f>B191*M191</f>
        <v>3.2854841377514946E-2</v>
      </c>
    </row>
    <row r="192" spans="1:14" ht="14.1" customHeight="1" x14ac:dyDescent="0.2">
      <c r="A192" s="557" t="s">
        <v>592</v>
      </c>
      <c r="B192" s="561"/>
      <c r="C192" s="559"/>
      <c r="D192" s="560">
        <f>SUM(D190:D191)</f>
        <v>0.52367770374160116</v>
      </c>
      <c r="E192" s="559"/>
      <c r="F192" s="560">
        <f>SUM(F190:F191)</f>
        <v>0.52645856981731831</v>
      </c>
      <c r="G192" s="559"/>
      <c r="H192" s="560">
        <f>SUM(H190:H191)</f>
        <v>0.52927112667452514</v>
      </c>
      <c r="I192" s="559"/>
      <c r="J192" s="560">
        <f>SUM(J190:J191)</f>
        <v>0.53211591914041056</v>
      </c>
      <c r="K192" s="559"/>
      <c r="L192" s="560">
        <f>SUM(L190:L191)</f>
        <v>0.53499350460302098</v>
      </c>
      <c r="M192" s="559"/>
      <c r="N192" s="560">
        <f>SUM(N190:N191)</f>
        <v>0.54084934907212312</v>
      </c>
    </row>
    <row r="193" spans="1:14" ht="13.9" customHeight="1" x14ac:dyDescent="0.2">
      <c r="A193" s="550"/>
      <c r="B193" s="555"/>
      <c r="C193" s="555"/>
      <c r="D193" s="555"/>
      <c r="E193" s="555"/>
      <c r="F193" s="555"/>
      <c r="G193" s="555"/>
      <c r="H193" s="555"/>
      <c r="I193" s="555"/>
      <c r="J193" s="555"/>
      <c r="K193"/>
      <c r="L193"/>
      <c r="M193"/>
      <c r="N193"/>
    </row>
    <row r="194" spans="1:14" ht="13.9" customHeight="1" x14ac:dyDescent="0.2">
      <c r="A194" s="899" t="s">
        <v>593</v>
      </c>
      <c r="B194" s="899"/>
      <c r="C194" s="899" t="s">
        <v>565</v>
      </c>
      <c r="D194" s="899"/>
      <c r="E194" s="899" t="s">
        <v>566</v>
      </c>
      <c r="F194" s="899"/>
      <c r="G194" s="899" t="s">
        <v>567</v>
      </c>
      <c r="H194" s="899"/>
      <c r="I194" s="899" t="s">
        <v>568</v>
      </c>
      <c r="J194" s="899"/>
      <c r="K194" s="899" t="s">
        <v>569</v>
      </c>
      <c r="L194" s="899"/>
      <c r="M194" s="899" t="s">
        <v>570</v>
      </c>
      <c r="N194" s="899"/>
    </row>
    <row r="195" spans="1:14" ht="36.75" customHeight="1" x14ac:dyDescent="0.2">
      <c r="A195" s="537" t="s">
        <v>571</v>
      </c>
      <c r="B195" s="538" t="s">
        <v>582</v>
      </c>
      <c r="C195" s="538" t="s">
        <v>573</v>
      </c>
      <c r="D195" s="538" t="s">
        <v>574</v>
      </c>
      <c r="E195" s="538" t="s">
        <v>573</v>
      </c>
      <c r="F195" s="538" t="s">
        <v>574</v>
      </c>
      <c r="G195" s="538" t="s">
        <v>573</v>
      </c>
      <c r="H195" s="538" t="s">
        <v>574</v>
      </c>
      <c r="I195" s="538" t="s">
        <v>573</v>
      </c>
      <c r="J195" s="538" t="s">
        <v>574</v>
      </c>
      <c r="K195" s="538" t="s">
        <v>573</v>
      </c>
      <c r="L195" s="538" t="s">
        <v>574</v>
      </c>
      <c r="M195" s="538" t="s">
        <v>573</v>
      </c>
      <c r="N195" s="538" t="s">
        <v>574</v>
      </c>
    </row>
    <row r="196" spans="1:14" ht="13.9" customHeight="1" x14ac:dyDescent="0.2">
      <c r="A196" s="562" t="s">
        <v>594</v>
      </c>
      <c r="B196" s="553">
        <f>(1/'Prod. GEXURG'!L15)*(1/(30/7*44*6))*8</f>
        <v>4.4191919191919199E-5</v>
      </c>
      <c r="C196" s="563">
        <f>H139</f>
        <v>4693.6069213029514</v>
      </c>
      <c r="D196" s="541">
        <f>B196*C196</f>
        <v>0.20741949778485269</v>
      </c>
      <c r="E196" s="563">
        <f>H140</f>
        <v>4720.1995950780392</v>
      </c>
      <c r="F196" s="541">
        <f>B196*E196</f>
        <v>0.20859467907541843</v>
      </c>
      <c r="G196" s="563">
        <f>H141</f>
        <v>4747.0953192665183</v>
      </c>
      <c r="H196" s="541">
        <f>B196*G196</f>
        <v>0.20978325274536386</v>
      </c>
      <c r="I196" s="563">
        <f>H142</f>
        <v>4774.2993039041485</v>
      </c>
      <c r="J196" s="541">
        <f>B196*I196</f>
        <v>0.2109854490361682</v>
      </c>
      <c r="K196" s="563">
        <f>H143</f>
        <v>4801.8168791427888</v>
      </c>
      <c r="L196" s="541">
        <f>B196*K196</f>
        <v>0.21220150349747177</v>
      </c>
      <c r="M196" s="563">
        <f>H144</f>
        <v>4857.8147436225881</v>
      </c>
      <c r="N196" s="541">
        <f>B196*M196</f>
        <v>0.21467615659948308</v>
      </c>
    </row>
    <row r="197" spans="1:14" ht="13.9" customHeight="1" x14ac:dyDescent="0.2">
      <c r="A197" s="542" t="s">
        <v>576</v>
      </c>
      <c r="B197" s="553">
        <f>B196/4</f>
        <v>1.10479797979798E-5</v>
      </c>
      <c r="C197" s="541">
        <f>I142</f>
        <v>4358.6601977185064</v>
      </c>
      <c r="D197" s="541">
        <f>B197*C197</f>
        <v>4.8154389810652697E-2</v>
      </c>
      <c r="E197" s="541">
        <f>I142</f>
        <v>4358.6601977185064</v>
      </c>
      <c r="F197" s="541">
        <f>B197*E197</f>
        <v>4.8154389810652697E-2</v>
      </c>
      <c r="G197" s="541">
        <f>I144</f>
        <v>4435.4035859645173</v>
      </c>
      <c r="H197" s="541">
        <f>B197*G197</f>
        <v>4.9002249213623145E-2</v>
      </c>
      <c r="I197" s="541">
        <f>I144</f>
        <v>4435.4035859645173</v>
      </c>
      <c r="J197" s="541">
        <f>B197*I197</f>
        <v>4.9002249213623145E-2</v>
      </c>
      <c r="K197" s="541">
        <f>I144</f>
        <v>4435.4035859645173</v>
      </c>
      <c r="L197" s="541">
        <f>B197*K197</f>
        <v>4.9002249213623145E-2</v>
      </c>
      <c r="M197" s="541">
        <f>I144</f>
        <v>4435.4035859645173</v>
      </c>
      <c r="N197" s="541">
        <f>B197*M197</f>
        <v>4.9002249213623145E-2</v>
      </c>
    </row>
    <row r="198" spans="1:14" ht="12.75" customHeight="1" x14ac:dyDescent="0.2">
      <c r="A198" s="564" t="s">
        <v>595</v>
      </c>
      <c r="B198" s="565"/>
      <c r="C198" s="566"/>
      <c r="D198" s="567">
        <f>SUM(D196:D197)</f>
        <v>0.25557388759550537</v>
      </c>
      <c r="E198" s="566"/>
      <c r="F198" s="567">
        <f>SUM(F196:F197)</f>
        <v>0.25674906888607113</v>
      </c>
      <c r="G198" s="566"/>
      <c r="H198" s="567">
        <f>SUM(H196:H197)</f>
        <v>0.25878550195898697</v>
      </c>
      <c r="I198" s="566"/>
      <c r="J198" s="567">
        <f>SUM(J196:J197)</f>
        <v>0.25998769824979134</v>
      </c>
      <c r="K198" s="566"/>
      <c r="L198" s="567">
        <f>SUM(L196:L197)</f>
        <v>0.26120375271109492</v>
      </c>
      <c r="M198" s="566"/>
      <c r="N198" s="567">
        <f>SUM(N196:N197)</f>
        <v>0.2636784058131062</v>
      </c>
    </row>
    <row r="199" spans="1:14" ht="12.75" customHeight="1" x14ac:dyDescent="0.2">
      <c r="A199" s="562" t="s">
        <v>596</v>
      </c>
      <c r="B199" s="553">
        <f>1/'Prod. GEXURG'!M15*16*(1/188.76)</f>
        <v>2.2306242401936183E-4</v>
      </c>
      <c r="C199" s="541">
        <f>D139</f>
        <v>4417.4057612767756</v>
      </c>
      <c r="D199" s="541">
        <f>B199*C199</f>
        <v>0.985357236987492</v>
      </c>
      <c r="E199" s="541">
        <f>D140</f>
        <v>4442.4335559582296</v>
      </c>
      <c r="F199" s="541">
        <f>B199*E199</f>
        <v>0.99093999753699602</v>
      </c>
      <c r="G199" s="541">
        <f>D141</f>
        <v>4467.7465676730917</v>
      </c>
      <c r="H199" s="541">
        <f>B199*G199</f>
        <v>0.99658637928934368</v>
      </c>
      <c r="I199" s="541">
        <f>D142</f>
        <v>4493.3496998660603</v>
      </c>
      <c r="J199" s="541">
        <f>B199*I199</f>
        <v>1.0022974760187953</v>
      </c>
      <c r="K199" s="541">
        <f>D143</f>
        <v>4519.247969029554</v>
      </c>
      <c r="L199" s="541">
        <f>B199*K199</f>
        <v>1.0080744067163101</v>
      </c>
      <c r="M199" s="541">
        <f>D144</f>
        <v>4571.9505692514731</v>
      </c>
      <c r="N199" s="541">
        <f>B199*M199</f>
        <v>1.0198303764739347</v>
      </c>
    </row>
    <row r="200" spans="1:14" ht="12.75" customHeight="1" x14ac:dyDescent="0.2">
      <c r="A200" s="542" t="s">
        <v>576</v>
      </c>
      <c r="B200" s="553">
        <f>1/('Prod. GEXURG'!Q15*'Prod. GEXURG'!M15)*16*(1/188.76)</f>
        <v>1.4870828267957455E-5</v>
      </c>
      <c r="C200" s="541">
        <f>I142</f>
        <v>4358.6601977185064</v>
      </c>
      <c r="D200" s="541">
        <f>B200*C200</f>
        <v>6.4816887278653396E-2</v>
      </c>
      <c r="E200" s="541">
        <f>I142</f>
        <v>4358.6601977185064</v>
      </c>
      <c r="F200" s="541">
        <f>B200*E200</f>
        <v>6.4816887278653396E-2</v>
      </c>
      <c r="G200" s="541">
        <f>I144</f>
        <v>4435.4035859645173</v>
      </c>
      <c r="H200" s="541">
        <f>B200*G200</f>
        <v>6.5958125025961004E-2</v>
      </c>
      <c r="I200" s="541">
        <f>I144</f>
        <v>4435.4035859645173</v>
      </c>
      <c r="J200" s="541">
        <f>B200*I200</f>
        <v>6.5958125025961004E-2</v>
      </c>
      <c r="K200" s="541">
        <f>I144</f>
        <v>4435.4035859645173</v>
      </c>
      <c r="L200" s="541">
        <f>B200*K200</f>
        <v>6.5958125025961004E-2</v>
      </c>
      <c r="M200" s="541">
        <f>I144</f>
        <v>4435.4035859645173</v>
      </c>
      <c r="N200" s="541">
        <f>B200*M200</f>
        <v>6.5958125025961004E-2</v>
      </c>
    </row>
    <row r="201" spans="1:14" ht="12.75" customHeight="1" x14ac:dyDescent="0.2">
      <c r="A201" s="564" t="s">
        <v>597</v>
      </c>
      <c r="B201" s="565"/>
      <c r="C201" s="566"/>
      <c r="D201" s="567">
        <f>SUM(D199:D200)</f>
        <v>1.0501741242661453</v>
      </c>
      <c r="E201" s="566"/>
      <c r="F201" s="567">
        <f>SUM(F199:F200)</f>
        <v>1.0557568848156493</v>
      </c>
      <c r="G201" s="566"/>
      <c r="H201" s="567">
        <f>SUM(H199:H200)</f>
        <v>1.0625445043153048</v>
      </c>
      <c r="I201" s="566"/>
      <c r="J201" s="567">
        <f>SUM(J199:J200)</f>
        <v>1.0682556010447564</v>
      </c>
      <c r="K201" s="566"/>
      <c r="L201" s="567">
        <f>SUM(L199:L200)</f>
        <v>1.0740325317422712</v>
      </c>
      <c r="M201" s="566"/>
      <c r="N201" s="567">
        <f>SUM(N199:N200)</f>
        <v>1.0857885014998958</v>
      </c>
    </row>
    <row r="202" spans="1:14" ht="12.75" customHeight="1" x14ac:dyDescent="0.2">
      <c r="A202" s="539" t="s">
        <v>598</v>
      </c>
      <c r="B202" s="553">
        <f>1/'Prod. GEXURG'!N15*16*(1/188.76)</f>
        <v>2.2306242401936183E-4</v>
      </c>
      <c r="C202" s="541">
        <f>D139</f>
        <v>4417.4057612767756</v>
      </c>
      <c r="D202" s="541">
        <f>B202*C202</f>
        <v>0.985357236987492</v>
      </c>
      <c r="E202" s="541">
        <f>D140</f>
        <v>4442.4335559582296</v>
      </c>
      <c r="F202" s="541">
        <f>B202*E202</f>
        <v>0.99093999753699602</v>
      </c>
      <c r="G202" s="541">
        <f>D141</f>
        <v>4467.7465676730917</v>
      </c>
      <c r="H202" s="541">
        <f>B202*G202</f>
        <v>0.99658637928934368</v>
      </c>
      <c r="I202" s="541">
        <f>F141</f>
        <v>3439.6693309416814</v>
      </c>
      <c r="J202" s="541">
        <f>B202*I202</f>
        <v>0.76726097878490795</v>
      </c>
      <c r="K202" s="541">
        <f>D143</f>
        <v>4519.247969029554</v>
      </c>
      <c r="L202" s="541">
        <f>B202*K202</f>
        <v>1.0080744067163101</v>
      </c>
      <c r="M202" s="541">
        <f>D144</f>
        <v>4571.9505692514731</v>
      </c>
      <c r="N202" s="541">
        <f>B202*M202</f>
        <v>1.0198303764739347</v>
      </c>
    </row>
    <row r="203" spans="1:14" ht="12.75" customHeight="1" x14ac:dyDescent="0.2">
      <c r="A203" s="542" t="s">
        <v>576</v>
      </c>
      <c r="B203" s="553">
        <f>1/('Prod. GEXURG'!Q15*'Prod. GEXURG'!N15)*16*(1/188.76)</f>
        <v>1.4870828267957455E-5</v>
      </c>
      <c r="C203" s="541">
        <f>I142</f>
        <v>4358.6601977185064</v>
      </c>
      <c r="D203" s="541">
        <f>B203*C203</f>
        <v>6.4816887278653396E-2</v>
      </c>
      <c r="E203" s="541">
        <f>I142</f>
        <v>4358.6601977185064</v>
      </c>
      <c r="F203" s="541">
        <f>B203*E203</f>
        <v>6.4816887278653396E-2</v>
      </c>
      <c r="G203" s="541">
        <f>I144</f>
        <v>4435.4035859645173</v>
      </c>
      <c r="H203" s="541">
        <f>B203*G203</f>
        <v>6.5958125025961004E-2</v>
      </c>
      <c r="I203" s="541">
        <f>I144</f>
        <v>4435.4035859645173</v>
      </c>
      <c r="J203" s="541">
        <f>B203*I203</f>
        <v>6.5958125025961004E-2</v>
      </c>
      <c r="K203" s="541">
        <f>I144</f>
        <v>4435.4035859645173</v>
      </c>
      <c r="L203" s="541">
        <f>B203*K203</f>
        <v>6.5958125025961004E-2</v>
      </c>
      <c r="M203" s="541">
        <f>I144</f>
        <v>4435.4035859645173</v>
      </c>
      <c r="N203" s="541">
        <f>B203*M203</f>
        <v>6.5958125025961004E-2</v>
      </c>
    </row>
    <row r="204" spans="1:14" ht="12.75" customHeight="1" x14ac:dyDescent="0.2">
      <c r="A204" s="564" t="s">
        <v>599</v>
      </c>
      <c r="B204" s="565"/>
      <c r="C204" s="566"/>
      <c r="D204" s="567">
        <f>SUM(D202:D203)</f>
        <v>1.0501741242661453</v>
      </c>
      <c r="E204" s="566"/>
      <c r="F204" s="567">
        <f>SUM(F202:F203)</f>
        <v>1.0557568848156493</v>
      </c>
      <c r="G204" s="566"/>
      <c r="H204" s="567">
        <f>SUM(H202:H203)</f>
        <v>1.0625445043153048</v>
      </c>
      <c r="I204" s="566"/>
      <c r="J204" s="567">
        <f>SUM(J202:J203)</f>
        <v>0.83321910381086894</v>
      </c>
      <c r="K204" s="566"/>
      <c r="L204" s="567">
        <f>SUM(L202:L203)</f>
        <v>1.0740325317422712</v>
      </c>
      <c r="M204" s="566"/>
      <c r="N204" s="567">
        <f>SUM(N202:N203)</f>
        <v>1.0857885014998958</v>
      </c>
    </row>
    <row r="205" spans="1:14" ht="12.75" customHeight="1" x14ac:dyDescent="0.2">
      <c r="A205" s="536"/>
    </row>
  </sheetData>
  <mergeCells count="88">
    <mergeCell ref="K176:L176"/>
    <mergeCell ref="M176:N176"/>
    <mergeCell ref="K182:L182"/>
    <mergeCell ref="M182:N182"/>
    <mergeCell ref="K194:L194"/>
    <mergeCell ref="M194:N194"/>
    <mergeCell ref="A137:B137"/>
    <mergeCell ref="A138:B138"/>
    <mergeCell ref="A164:B164"/>
    <mergeCell ref="C164:D164"/>
    <mergeCell ref="E164:F164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92:B92"/>
    <mergeCell ref="A115:A120"/>
    <mergeCell ref="A125:B125"/>
    <mergeCell ref="A126:B126"/>
    <mergeCell ref="A123:I123"/>
    <mergeCell ref="A124:I124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  <mergeCell ref="K152:L152"/>
    <mergeCell ref="M152:N152"/>
    <mergeCell ref="A158:B158"/>
    <mergeCell ref="C158:D158"/>
    <mergeCell ref="E158:F158"/>
    <mergeCell ref="G158:H158"/>
    <mergeCell ref="I158:J158"/>
    <mergeCell ref="K158:L158"/>
    <mergeCell ref="M158:N158"/>
    <mergeCell ref="A152:B152"/>
    <mergeCell ref="C152:D152"/>
    <mergeCell ref="E152:F152"/>
    <mergeCell ref="G152:H152"/>
    <mergeCell ref="I152:J152"/>
    <mergeCell ref="I164:J164"/>
    <mergeCell ref="K164:L164"/>
    <mergeCell ref="M164:N164"/>
    <mergeCell ref="A170:B170"/>
    <mergeCell ref="C170:D170"/>
    <mergeCell ref="E170:F170"/>
    <mergeCell ref="G170:H170"/>
    <mergeCell ref="I170:J170"/>
    <mergeCell ref="K170:L170"/>
    <mergeCell ref="M170:N170"/>
    <mergeCell ref="G164:H164"/>
    <mergeCell ref="A176:B176"/>
    <mergeCell ref="C176:D176"/>
    <mergeCell ref="E176:F176"/>
    <mergeCell ref="G176:H176"/>
    <mergeCell ref="I176:J176"/>
    <mergeCell ref="A182:B182"/>
    <mergeCell ref="C182:D182"/>
    <mergeCell ref="E182:F182"/>
    <mergeCell ref="G182:H182"/>
    <mergeCell ref="I182:J182"/>
    <mergeCell ref="A194:B194"/>
    <mergeCell ref="C194:D194"/>
    <mergeCell ref="E194:F194"/>
    <mergeCell ref="G194:H194"/>
    <mergeCell ref="I194:J194"/>
  </mergeCells>
  <hyperlinks>
    <hyperlink ref="O148" r:id="rId1"/>
    <hyperlink ref="O154" r:id="rId2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D7EE"/>
  </sheetPr>
  <dimension ref="A1:ALZ145"/>
  <sheetViews>
    <sheetView topLeftCell="A118" zoomScaleNormal="100" workbookViewId="0">
      <selection activeCell="F134" sqref="F134:K147"/>
    </sheetView>
  </sheetViews>
  <sheetFormatPr defaultColWidth="9" defaultRowHeight="14.25" x14ac:dyDescent="0.2"/>
  <cols>
    <col min="1" max="1" width="55.5" style="369" customWidth="1"/>
    <col min="2" max="5" width="14" style="369" customWidth="1"/>
    <col min="6" max="1014" width="9" style="369"/>
    <col min="1015" max="1018" width="8.625" customWidth="1"/>
  </cols>
  <sheetData>
    <row r="1" spans="1:1014" ht="15" customHeight="1" x14ac:dyDescent="0.2">
      <c r="A1" s="878" t="s">
        <v>441</v>
      </c>
      <c r="B1" s="878"/>
      <c r="C1" s="878"/>
      <c r="D1" s="878"/>
      <c r="E1" s="87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</row>
    <row r="2" spans="1:1014" ht="15" customHeight="1" x14ac:dyDescent="0.2">
      <c r="A2" s="879" t="s">
        <v>442</v>
      </c>
      <c r="B2" s="879"/>
      <c r="C2" s="879"/>
      <c r="D2" s="879"/>
      <c r="E2" s="879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</row>
    <row r="3" spans="1:1014" ht="15.75" customHeight="1" x14ac:dyDescent="0.2">
      <c r="A3" s="879" t="s">
        <v>443</v>
      </c>
      <c r="B3" s="879"/>
      <c r="C3" s="879"/>
      <c r="D3" s="879"/>
      <c r="E3" s="87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</row>
    <row r="4" spans="1:1014" ht="15" customHeight="1" x14ac:dyDescent="0.2">
      <c r="A4" s="370"/>
      <c r="B4" s="371"/>
      <c r="C4" s="372" t="s">
        <v>444</v>
      </c>
      <c r="D4" s="375" t="s">
        <v>445</v>
      </c>
      <c r="E4" s="375" t="s">
        <v>446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</row>
    <row r="5" spans="1:1014" ht="13.9" customHeight="1" x14ac:dyDescent="0.2">
      <c r="A5" s="376"/>
      <c r="B5" s="377" t="s">
        <v>449</v>
      </c>
      <c r="C5" s="378">
        <f>MC!D11</f>
        <v>1194.6272727272726</v>
      </c>
      <c r="D5" s="378">
        <f>MC!E11</f>
        <v>895.97045454545446</v>
      </c>
      <c r="E5" s="380">
        <f>MC!F11</f>
        <v>597.31363636363631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</row>
    <row r="6" spans="1:1014" ht="13.9" customHeight="1" x14ac:dyDescent="0.2">
      <c r="A6" s="376"/>
      <c r="B6" s="377" t="s">
        <v>450</v>
      </c>
      <c r="C6" s="381">
        <f>MC!E8</f>
        <v>44562</v>
      </c>
      <c r="D6" s="383">
        <f>MC!E8</f>
        <v>44562</v>
      </c>
      <c r="E6" s="383">
        <f>MC!E8</f>
        <v>44562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</row>
    <row r="7" spans="1:1014" ht="13.9" customHeight="1" x14ac:dyDescent="0.2">
      <c r="A7" s="376"/>
      <c r="B7" s="377" t="s">
        <v>451</v>
      </c>
      <c r="C7" s="381" t="str">
        <f>MC!D8</f>
        <v>RS005021/2022</v>
      </c>
      <c r="D7" s="383" t="str">
        <f>C7</f>
        <v>RS005021/2022</v>
      </c>
      <c r="E7" s="383" t="str">
        <f>C7</f>
        <v>RS005021/2022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</row>
    <row r="8" spans="1:1014" ht="13.9" customHeight="1" x14ac:dyDescent="0.2">
      <c r="A8" s="376"/>
      <c r="B8" s="377" t="s">
        <v>452</v>
      </c>
      <c r="C8" s="384" t="str">
        <f>MC!F8</f>
        <v>5143-20</v>
      </c>
      <c r="D8" s="386" t="str">
        <f>MC!F8</f>
        <v>5143-20</v>
      </c>
      <c r="E8" s="386" t="str">
        <f>MC!F8</f>
        <v>5143-20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</row>
    <row r="9" spans="1:1014" ht="13.9" customHeight="1" x14ac:dyDescent="0.2">
      <c r="A9" s="892"/>
      <c r="B9" s="892"/>
      <c r="C9" s="892"/>
      <c r="D9" s="892"/>
      <c r="E9" s="892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</row>
    <row r="10" spans="1:1014" ht="66.75" customHeight="1" x14ac:dyDescent="0.2">
      <c r="A10" s="758" t="s">
        <v>453</v>
      </c>
      <c r="B10" s="759" t="s">
        <v>454</v>
      </c>
      <c r="C10" s="759" t="s">
        <v>600</v>
      </c>
      <c r="D10" s="759" t="s">
        <v>601</v>
      </c>
      <c r="E10" s="760" t="s">
        <v>602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</row>
    <row r="11" spans="1:1014" ht="14.25" customHeight="1" x14ac:dyDescent="0.2">
      <c r="A11" s="900" t="s">
        <v>462</v>
      </c>
      <c r="B11" s="901"/>
      <c r="C11" s="901"/>
      <c r="D11" s="901"/>
      <c r="E11" s="902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</row>
    <row r="12" spans="1:1014" ht="14.25" customHeight="1" x14ac:dyDescent="0.2">
      <c r="A12" s="698" t="s">
        <v>463</v>
      </c>
      <c r="B12" s="688" t="s">
        <v>464</v>
      </c>
      <c r="C12" s="688" t="s">
        <v>465</v>
      </c>
      <c r="D12" s="688" t="s">
        <v>465</v>
      </c>
      <c r="E12" s="699" t="s">
        <v>465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</row>
    <row r="13" spans="1:1014" ht="14.25" customHeight="1" x14ac:dyDescent="0.2">
      <c r="A13" s="700" t="s">
        <v>466</v>
      </c>
      <c r="B13" s="755"/>
      <c r="C13" s="711">
        <f>C5</f>
        <v>1194.6272727272726</v>
      </c>
      <c r="D13" s="711">
        <f>D5</f>
        <v>895.97045454545446</v>
      </c>
      <c r="E13" s="717">
        <f>E5</f>
        <v>597.31363636363631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</row>
    <row r="14" spans="1:1014" ht="14.25" customHeight="1" x14ac:dyDescent="0.2">
      <c r="A14" s="700" t="s">
        <v>467</v>
      </c>
      <c r="B14" s="761">
        <v>0.2</v>
      </c>
      <c r="C14" s="711">
        <f>C13*$B$14</f>
        <v>238.92545454545453</v>
      </c>
      <c r="D14" s="711">
        <f>D13*$B$14</f>
        <v>179.1940909090909</v>
      </c>
      <c r="E14" s="711">
        <f>E13*$B$14</f>
        <v>119.46272727272726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</row>
    <row r="15" spans="1:1014" ht="14.25" customHeight="1" x14ac:dyDescent="0.2">
      <c r="A15" s="700" t="s">
        <v>470</v>
      </c>
      <c r="B15" s="756"/>
      <c r="C15" s="711"/>
      <c r="D15" s="711"/>
      <c r="E15" s="717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</row>
    <row r="16" spans="1:1014" ht="14.25" customHeight="1" x14ac:dyDescent="0.2">
      <c r="A16" s="700" t="s">
        <v>471</v>
      </c>
      <c r="B16" s="756"/>
      <c r="C16" s="711"/>
      <c r="D16" s="711"/>
      <c r="E16" s="717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</row>
    <row r="17" spans="1:1014" ht="14.25" customHeight="1" x14ac:dyDescent="0.2">
      <c r="A17" s="700" t="s">
        <v>472</v>
      </c>
      <c r="B17" s="756"/>
      <c r="C17" s="711"/>
      <c r="D17" s="711"/>
      <c r="E17" s="7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</row>
    <row r="18" spans="1:1014" ht="14.25" customHeight="1" x14ac:dyDescent="0.2">
      <c r="A18" s="700" t="s">
        <v>473</v>
      </c>
      <c r="B18" s="757"/>
      <c r="C18" s="711"/>
      <c r="D18" s="711"/>
      <c r="E18" s="717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</row>
    <row r="19" spans="1:1014" ht="14.25" customHeight="1" x14ac:dyDescent="0.2">
      <c r="A19" s="737" t="s">
        <v>474</v>
      </c>
      <c r="B19" s="738"/>
      <c r="C19" s="739">
        <f>SUM(C13:C18)</f>
        <v>1433.5527272727272</v>
      </c>
      <c r="D19" s="739">
        <f>SUM(D13:D18)</f>
        <v>1075.1645454545453</v>
      </c>
      <c r="E19" s="740">
        <f>SUM(E13:E18)</f>
        <v>716.77636363636361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</row>
    <row r="20" spans="1:1014" ht="14.25" customHeight="1" x14ac:dyDescent="0.2">
      <c r="A20" s="903"/>
      <c r="B20" s="903"/>
      <c r="C20" s="903"/>
      <c r="D20" s="903"/>
      <c r="E20" s="90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</row>
    <row r="21" spans="1:1014" ht="14.25" customHeight="1" x14ac:dyDescent="0.2">
      <c r="A21" s="904" t="s">
        <v>475</v>
      </c>
      <c r="B21" s="905"/>
      <c r="C21" s="905"/>
      <c r="D21" s="905"/>
      <c r="E21" s="90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</row>
    <row r="22" spans="1:1014" ht="14.25" customHeight="1" x14ac:dyDescent="0.2">
      <c r="A22" s="732" t="s">
        <v>476</v>
      </c>
      <c r="B22" s="725" t="s">
        <v>464</v>
      </c>
      <c r="C22" s="725" t="s">
        <v>465</v>
      </c>
      <c r="D22" s="725" t="s">
        <v>465</v>
      </c>
      <c r="E22" s="733" t="s">
        <v>465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</row>
    <row r="23" spans="1:1014" ht="14.25" customHeight="1" x14ac:dyDescent="0.2">
      <c r="A23" s="716" t="s">
        <v>477</v>
      </c>
      <c r="B23" s="689">
        <f>1/12</f>
        <v>8.3333333333333329E-2</v>
      </c>
      <c r="C23" s="711">
        <f>ROUND($B23*C$19,2)</f>
        <v>119.46</v>
      </c>
      <c r="D23" s="711">
        <f>ROUND($B23*D$19,2)</f>
        <v>89.6</v>
      </c>
      <c r="E23" s="717">
        <f>ROUND($B23*E$19,2)</f>
        <v>59.73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</row>
    <row r="24" spans="1:1014" ht="14.25" customHeight="1" x14ac:dyDescent="0.2">
      <c r="A24" s="716" t="s">
        <v>478</v>
      </c>
      <c r="B24" s="689">
        <f>1/3*1/12</f>
        <v>2.7777777777777776E-2</v>
      </c>
      <c r="C24" s="711">
        <f>C$19*$B$24</f>
        <v>39.82090909090909</v>
      </c>
      <c r="D24" s="711">
        <f>D$19*$B$24</f>
        <v>29.865681818181812</v>
      </c>
      <c r="E24" s="717">
        <f>E$19*$B$24</f>
        <v>19.910454545454545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</row>
    <row r="25" spans="1:1014" ht="14.25" customHeight="1" x14ac:dyDescent="0.2">
      <c r="A25" s="752" t="s">
        <v>474</v>
      </c>
      <c r="B25" s="743">
        <f>SUM(B23:B24)</f>
        <v>0.1111111111111111</v>
      </c>
      <c r="C25" s="731">
        <f>SUM(C23:C24)</f>
        <v>159.28090909090909</v>
      </c>
      <c r="D25" s="731">
        <f>SUM(D23:D24)</f>
        <v>119.46568181818181</v>
      </c>
      <c r="E25" s="753">
        <f>SUM(E23:E24)</f>
        <v>79.640454545454546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</row>
    <row r="26" spans="1:1014" ht="14.25" customHeight="1" x14ac:dyDescent="0.2">
      <c r="A26" s="732" t="s">
        <v>479</v>
      </c>
      <c r="B26" s="725" t="s">
        <v>464</v>
      </c>
      <c r="C26" s="725" t="s">
        <v>465</v>
      </c>
      <c r="D26" s="725" t="s">
        <v>465</v>
      </c>
      <c r="E26" s="733" t="s">
        <v>465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</row>
    <row r="27" spans="1:1014" ht="14.25" customHeight="1" x14ac:dyDescent="0.2">
      <c r="A27" s="732" t="s">
        <v>480</v>
      </c>
      <c r="B27" s="724"/>
      <c r="C27" s="724"/>
      <c r="D27" s="724"/>
      <c r="E27" s="75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</row>
    <row r="28" spans="1:1014" ht="14.25" customHeight="1" x14ac:dyDescent="0.2">
      <c r="A28" s="716" t="s">
        <v>481</v>
      </c>
      <c r="B28" s="689">
        <v>0.2</v>
      </c>
      <c r="C28" s="690">
        <f t="shared" ref="C28:E35" si="0">ROUND((C$19+C$25)*$B28,2)</f>
        <v>318.57</v>
      </c>
      <c r="D28" s="690">
        <f t="shared" si="0"/>
        <v>238.93</v>
      </c>
      <c r="E28" s="701">
        <f t="shared" si="0"/>
        <v>159.28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</row>
    <row r="29" spans="1:1014" ht="14.25" customHeight="1" x14ac:dyDescent="0.2">
      <c r="A29" s="716" t="s">
        <v>482</v>
      </c>
      <c r="B29" s="689">
        <v>2.5000000000000001E-2</v>
      </c>
      <c r="C29" s="690">
        <f t="shared" si="0"/>
        <v>39.82</v>
      </c>
      <c r="D29" s="690">
        <f t="shared" si="0"/>
        <v>29.87</v>
      </c>
      <c r="E29" s="701">
        <f t="shared" si="0"/>
        <v>19.91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</row>
    <row r="30" spans="1:1014" ht="14.25" customHeight="1" x14ac:dyDescent="0.2">
      <c r="A30" s="716" t="s">
        <v>483</v>
      </c>
      <c r="B30" s="689">
        <v>0.03</v>
      </c>
      <c r="C30" s="690">
        <f t="shared" si="0"/>
        <v>47.79</v>
      </c>
      <c r="D30" s="690">
        <f t="shared" si="0"/>
        <v>35.840000000000003</v>
      </c>
      <c r="E30" s="701">
        <f t="shared" si="0"/>
        <v>23.89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</row>
    <row r="31" spans="1:1014" ht="14.25" customHeight="1" x14ac:dyDescent="0.2">
      <c r="A31" s="716" t="s">
        <v>484</v>
      </c>
      <c r="B31" s="689">
        <v>1.4999999999999999E-2</v>
      </c>
      <c r="C31" s="690">
        <f t="shared" si="0"/>
        <v>23.89</v>
      </c>
      <c r="D31" s="690">
        <f t="shared" si="0"/>
        <v>17.920000000000002</v>
      </c>
      <c r="E31" s="701">
        <f t="shared" si="0"/>
        <v>11.95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</row>
    <row r="32" spans="1:1014" ht="14.25" customHeight="1" x14ac:dyDescent="0.2">
      <c r="A32" s="716" t="s">
        <v>485</v>
      </c>
      <c r="B32" s="689">
        <v>0.01</v>
      </c>
      <c r="C32" s="690">
        <f t="shared" si="0"/>
        <v>15.93</v>
      </c>
      <c r="D32" s="690">
        <f t="shared" si="0"/>
        <v>11.95</v>
      </c>
      <c r="E32" s="701">
        <f t="shared" si="0"/>
        <v>7.96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</row>
    <row r="33" spans="1:1014" ht="14.25" customHeight="1" x14ac:dyDescent="0.2">
      <c r="A33" s="716" t="s">
        <v>486</v>
      </c>
      <c r="B33" s="689">
        <v>6.0000000000000001E-3</v>
      </c>
      <c r="C33" s="690">
        <f t="shared" si="0"/>
        <v>9.56</v>
      </c>
      <c r="D33" s="690">
        <f t="shared" si="0"/>
        <v>7.17</v>
      </c>
      <c r="E33" s="701">
        <f t="shared" si="0"/>
        <v>4.78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</row>
    <row r="34" spans="1:1014" ht="14.25" customHeight="1" x14ac:dyDescent="0.2">
      <c r="A34" s="716" t="s">
        <v>487</v>
      </c>
      <c r="B34" s="689">
        <v>2E-3</v>
      </c>
      <c r="C34" s="690">
        <f t="shared" si="0"/>
        <v>3.19</v>
      </c>
      <c r="D34" s="690">
        <f t="shared" si="0"/>
        <v>2.39</v>
      </c>
      <c r="E34" s="701">
        <f t="shared" si="0"/>
        <v>1.59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</row>
    <row r="35" spans="1:1014" ht="14.25" customHeight="1" x14ac:dyDescent="0.2">
      <c r="A35" s="716" t="s">
        <v>488</v>
      </c>
      <c r="B35" s="689">
        <v>0.08</v>
      </c>
      <c r="C35" s="690">
        <f t="shared" si="0"/>
        <v>127.43</v>
      </c>
      <c r="D35" s="690">
        <f t="shared" si="0"/>
        <v>95.57</v>
      </c>
      <c r="E35" s="701">
        <f t="shared" si="0"/>
        <v>63.71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</row>
    <row r="36" spans="1:1014" ht="14.25" customHeight="1" x14ac:dyDescent="0.2">
      <c r="A36" s="752" t="s">
        <v>474</v>
      </c>
      <c r="B36" s="743">
        <f>SUM(B28:B35)</f>
        <v>0.36800000000000005</v>
      </c>
      <c r="C36" s="731">
        <f>SUM(C27:C35)</f>
        <v>586.18000000000006</v>
      </c>
      <c r="D36" s="731">
        <f>SUM(D27:D35)</f>
        <v>439.64</v>
      </c>
      <c r="E36" s="753">
        <f>SUM(E27:E35)</f>
        <v>293.07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</row>
    <row r="37" spans="1:1014" ht="14.25" customHeight="1" x14ac:dyDescent="0.2">
      <c r="A37" s="732" t="s">
        <v>489</v>
      </c>
      <c r="B37" s="725" t="s">
        <v>490</v>
      </c>
      <c r="C37" s="725" t="s">
        <v>465</v>
      </c>
      <c r="D37" s="725" t="s">
        <v>465</v>
      </c>
      <c r="E37" s="733" t="s">
        <v>465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</row>
    <row r="38" spans="1:1014" ht="14.25" customHeight="1" x14ac:dyDescent="0.2">
      <c r="A38" s="716" t="s">
        <v>491</v>
      </c>
      <c r="B38" s="749">
        <f>MC!D85</f>
        <v>3.584848484848485</v>
      </c>
      <c r="C38" s="711">
        <f>ROUND(((2*22*$B$38)-0.06*C$13),2)</f>
        <v>86.06</v>
      </c>
      <c r="D38" s="711">
        <f>ROUND(((2*22*$B$38)-0.06*D$13),2)</f>
        <v>103.98</v>
      </c>
      <c r="E38" s="717">
        <f>ROUND(((2*22*$B$38)-0.06*E$13),2)</f>
        <v>121.89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</row>
    <row r="39" spans="1:1014" ht="14.25" customHeight="1" x14ac:dyDescent="0.2">
      <c r="A39" s="716" t="s">
        <v>492</v>
      </c>
      <c r="B39" s="750"/>
      <c r="C39" s="690">
        <f>MC!E19</f>
        <v>359.61</v>
      </c>
      <c r="D39" s="690">
        <f>MC!E20</f>
        <v>179.8</v>
      </c>
      <c r="E39" s="701">
        <f>MC!E20</f>
        <v>179.8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</row>
    <row r="40" spans="1:1014" ht="14.25" customHeight="1" x14ac:dyDescent="0.2">
      <c r="A40" s="716" t="s">
        <v>493</v>
      </c>
      <c r="B40" s="689">
        <f>MC!C24</f>
        <v>0</v>
      </c>
      <c r="C40" s="690"/>
      <c r="D40" s="690"/>
      <c r="E40" s="70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</row>
    <row r="41" spans="1:1014" ht="14.25" customHeight="1" x14ac:dyDescent="0.2">
      <c r="A41" s="716" t="s">
        <v>603</v>
      </c>
      <c r="B41" s="751">
        <f>MC!E26</f>
        <v>0</v>
      </c>
      <c r="C41" s="690">
        <f>B41</f>
        <v>0</v>
      </c>
      <c r="D41" s="690">
        <f>B41</f>
        <v>0</v>
      </c>
      <c r="E41" s="70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</row>
    <row r="42" spans="1:1014" ht="14.25" customHeight="1" x14ac:dyDescent="0.2">
      <c r="A42" s="716" t="s">
        <v>604</v>
      </c>
      <c r="B42" s="751">
        <f>MC!E27</f>
        <v>17.32</v>
      </c>
      <c r="C42" s="690">
        <f>$B42</f>
        <v>17.32</v>
      </c>
      <c r="D42" s="690">
        <f>$B42</f>
        <v>17.32</v>
      </c>
      <c r="E42" s="701">
        <f>$B42</f>
        <v>17.32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</row>
    <row r="43" spans="1:1014" ht="14.25" customHeight="1" x14ac:dyDescent="0.2">
      <c r="A43" s="716" t="s">
        <v>496</v>
      </c>
      <c r="B43" s="689"/>
      <c r="C43" s="690"/>
      <c r="D43" s="690"/>
      <c r="E43" s="70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</row>
    <row r="44" spans="1:1014" ht="14.25" customHeight="1" x14ac:dyDescent="0.2">
      <c r="A44" s="752" t="s">
        <v>474</v>
      </c>
      <c r="B44" s="730"/>
      <c r="C44" s="731">
        <f>SUM(C38:C43)</f>
        <v>462.99</v>
      </c>
      <c r="D44" s="731">
        <f>SUM(D38:D43)</f>
        <v>301.10000000000002</v>
      </c>
      <c r="E44" s="753">
        <f>SUM(E38:E43)</f>
        <v>319.01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</row>
    <row r="45" spans="1:1014" ht="14.25" customHeight="1" x14ac:dyDescent="0.2">
      <c r="A45" s="698" t="s">
        <v>497</v>
      </c>
      <c r="B45" s="688" t="s">
        <v>464</v>
      </c>
      <c r="C45" s="688" t="s">
        <v>465</v>
      </c>
      <c r="D45" s="688" t="s">
        <v>465</v>
      </c>
      <c r="E45" s="699" t="s">
        <v>465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</row>
    <row r="46" spans="1:1014" ht="14.25" customHeight="1" x14ac:dyDescent="0.2">
      <c r="A46" s="716" t="s">
        <v>476</v>
      </c>
      <c r="B46" s="728">
        <f>B25</f>
        <v>0.1111111111111111</v>
      </c>
      <c r="C46" s="729">
        <f>C25</f>
        <v>159.28090909090909</v>
      </c>
      <c r="D46" s="729">
        <f>D25</f>
        <v>119.46568181818181</v>
      </c>
      <c r="E46" s="736">
        <f>E25</f>
        <v>79.640454545454546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</row>
    <row r="47" spans="1:1014" ht="14.25" customHeight="1" x14ac:dyDescent="0.2">
      <c r="A47" s="716" t="s">
        <v>498</v>
      </c>
      <c r="B47" s="728">
        <f>B36</f>
        <v>0.36800000000000005</v>
      </c>
      <c r="C47" s="729">
        <f>C36</f>
        <v>586.18000000000006</v>
      </c>
      <c r="D47" s="729">
        <f>D36</f>
        <v>439.64</v>
      </c>
      <c r="E47" s="736">
        <f>E36</f>
        <v>293.07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</row>
    <row r="48" spans="1:1014" ht="14.25" customHeight="1" x14ac:dyDescent="0.2">
      <c r="A48" s="716" t="s">
        <v>489</v>
      </c>
      <c r="B48" s="728"/>
      <c r="C48" s="729">
        <f>C44</f>
        <v>462.99</v>
      </c>
      <c r="D48" s="729">
        <f>D44</f>
        <v>301.10000000000002</v>
      </c>
      <c r="E48" s="736">
        <f>E44</f>
        <v>319.01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</row>
    <row r="49" spans="1:1014" ht="14.25" customHeight="1" x14ac:dyDescent="0.2">
      <c r="A49" s="737" t="s">
        <v>474</v>
      </c>
      <c r="B49" s="738"/>
      <c r="C49" s="739">
        <f>SUM(C46:C48)</f>
        <v>1208.4509090909091</v>
      </c>
      <c r="D49" s="739">
        <f>SUM(D46:D48)</f>
        <v>860.2056818181818</v>
      </c>
      <c r="E49" s="740">
        <f>SUM(E46:E48)</f>
        <v>691.72045454545446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</row>
    <row r="50" spans="1:1014" ht="14.25" customHeight="1" x14ac:dyDescent="0.2">
      <c r="A50" s="903"/>
      <c r="B50" s="903"/>
      <c r="C50" s="903"/>
      <c r="D50" s="903"/>
      <c r="E50" s="90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</row>
    <row r="51" spans="1:1014" s="437" customFormat="1" ht="14.25" customHeight="1" x14ac:dyDescent="0.2">
      <c r="A51" s="904" t="s">
        <v>499</v>
      </c>
      <c r="B51" s="905"/>
      <c r="C51" s="905"/>
      <c r="D51" s="905"/>
      <c r="E51" s="906"/>
    </row>
    <row r="52" spans="1:1014" ht="14.25" customHeight="1" x14ac:dyDescent="0.2">
      <c r="A52" s="698" t="s">
        <v>500</v>
      </c>
      <c r="B52" s="688" t="s">
        <v>464</v>
      </c>
      <c r="C52" s="688" t="s">
        <v>465</v>
      </c>
      <c r="D52" s="688" t="s">
        <v>465</v>
      </c>
      <c r="E52" s="699" t="s">
        <v>465</v>
      </c>
    </row>
    <row r="53" spans="1:1014" ht="14.25" customHeight="1" x14ac:dyDescent="0.2">
      <c r="A53" s="732" t="s">
        <v>501</v>
      </c>
      <c r="B53" s="741"/>
      <c r="C53" s="741"/>
      <c r="D53" s="741"/>
      <c r="E53" s="748"/>
    </row>
    <row r="54" spans="1:1014" ht="14.25" customHeight="1" x14ac:dyDescent="0.2">
      <c r="A54" s="716" t="s">
        <v>502</v>
      </c>
      <c r="B54" s="728">
        <f>1/12*0.05</f>
        <v>4.1666666666666666E-3</v>
      </c>
      <c r="C54" s="742">
        <f>C19*$B54</f>
        <v>5.973136363636363</v>
      </c>
      <c r="D54" s="742">
        <f>D19*$B54</f>
        <v>4.479852272727272</v>
      </c>
      <c r="E54" s="744">
        <f>E19*$B54</f>
        <v>2.9865681818181815</v>
      </c>
    </row>
    <row r="55" spans="1:1014" ht="14.25" customHeight="1" x14ac:dyDescent="0.2">
      <c r="A55" s="716" t="s">
        <v>503</v>
      </c>
      <c r="B55" s="728">
        <f>B35*B54</f>
        <v>3.3333333333333332E-4</v>
      </c>
      <c r="C55" s="742">
        <f>$B$55*C19</f>
        <v>0.47785090909090905</v>
      </c>
      <c r="D55" s="742">
        <f>$B$55*D19</f>
        <v>0.35838818181818177</v>
      </c>
      <c r="E55" s="744">
        <f>$B$55*E19</f>
        <v>0.23892545454545452</v>
      </c>
    </row>
    <row r="56" spans="1:1014" ht="14.25" customHeight="1" x14ac:dyDescent="0.2">
      <c r="A56" s="716" t="s">
        <v>504</v>
      </c>
      <c r="B56" s="728">
        <v>0</v>
      </c>
      <c r="C56" s="742">
        <f>C35*$B56</f>
        <v>0</v>
      </c>
      <c r="D56" s="742">
        <f>D35*$B56</f>
        <v>0</v>
      </c>
      <c r="E56" s="744">
        <f>E35*$B56</f>
        <v>0</v>
      </c>
    </row>
    <row r="57" spans="1:1014" ht="14.25" customHeight="1" x14ac:dyDescent="0.2">
      <c r="A57" s="716" t="s">
        <v>505</v>
      </c>
      <c r="B57" s="728">
        <f>1/12*1/30*7</f>
        <v>1.9444444444444441E-2</v>
      </c>
      <c r="C57" s="729">
        <f>C19*$B57</f>
        <v>27.874636363636359</v>
      </c>
      <c r="D57" s="729">
        <f>D19*$B57</f>
        <v>20.905977272727267</v>
      </c>
      <c r="E57" s="736">
        <f>E19*$B57</f>
        <v>13.937318181818179</v>
      </c>
    </row>
    <row r="58" spans="1:1014" ht="14.25" customHeight="1" x14ac:dyDescent="0.2">
      <c r="A58" s="716" t="s">
        <v>506</v>
      </c>
      <c r="B58" s="728">
        <f>B36*B57</f>
        <v>7.1555555555555556E-3</v>
      </c>
      <c r="C58" s="729">
        <f>$B58*C19</f>
        <v>10.257866181818182</v>
      </c>
      <c r="D58" s="729">
        <f>$B58*D19</f>
        <v>7.693399636363635</v>
      </c>
      <c r="E58" s="736">
        <f>$B58*E19</f>
        <v>5.1289330909090909</v>
      </c>
    </row>
    <row r="59" spans="1:1014" ht="14.25" customHeight="1" x14ac:dyDescent="0.2">
      <c r="A59" s="716" t="s">
        <v>507</v>
      </c>
      <c r="B59" s="728">
        <f>B35*40/100*90/100*(1+1/12+1/12+1/3*1/12)</f>
        <v>3.4399999999999993E-2</v>
      </c>
      <c r="C59" s="729">
        <f>C19*$B59</f>
        <v>49.314213818181805</v>
      </c>
      <c r="D59" s="729">
        <f>D19*$B59</f>
        <v>36.985660363636349</v>
      </c>
      <c r="E59" s="736">
        <f>E19*$B59</f>
        <v>24.657106909090903</v>
      </c>
    </row>
    <row r="60" spans="1:1014" ht="14.25" customHeight="1" x14ac:dyDescent="0.2">
      <c r="A60" s="737" t="s">
        <v>474</v>
      </c>
      <c r="B60" s="745">
        <f>SUM(B54:B59)</f>
        <v>6.5499999999999989E-2</v>
      </c>
      <c r="C60" s="746">
        <f>SUM(C54:C59)</f>
        <v>93.897703636363616</v>
      </c>
      <c r="D60" s="746">
        <f>SUM(D54:D59)</f>
        <v>70.423277727272705</v>
      </c>
      <c r="E60" s="747">
        <f>SUM(E54:E59)</f>
        <v>46.948851818181808</v>
      </c>
    </row>
    <row r="61" spans="1:1014" ht="14.25" customHeight="1" x14ac:dyDescent="0.2">
      <c r="A61" s="903"/>
      <c r="B61" s="903"/>
      <c r="C61" s="903"/>
      <c r="D61" s="903"/>
      <c r="E61" s="903"/>
    </row>
    <row r="62" spans="1:1014" ht="14.25" customHeight="1" x14ac:dyDescent="0.2">
      <c r="A62" s="904" t="s">
        <v>508</v>
      </c>
      <c r="B62" s="905"/>
      <c r="C62" s="905"/>
      <c r="D62" s="905"/>
      <c r="E62" s="906"/>
    </row>
    <row r="63" spans="1:1014" ht="14.25" customHeight="1" x14ac:dyDescent="0.2">
      <c r="A63" s="732" t="s">
        <v>46</v>
      </c>
      <c r="B63" s="725" t="s">
        <v>464</v>
      </c>
      <c r="C63" s="725" t="s">
        <v>465</v>
      </c>
      <c r="D63" s="725" t="s">
        <v>465</v>
      </c>
      <c r="E63" s="733" t="s">
        <v>465</v>
      </c>
    </row>
    <row r="64" spans="1:1014" ht="14.25" customHeight="1" x14ac:dyDescent="0.2">
      <c r="A64" s="716" t="s">
        <v>47</v>
      </c>
      <c r="B64" s="689">
        <f>1/12</f>
        <v>8.3333333333333329E-2</v>
      </c>
      <c r="C64" s="690">
        <f t="shared" ref="C64:E67" si="1">$B64*(C$19+C$49+C$60)</f>
        <v>227.99177833333331</v>
      </c>
      <c r="D64" s="690">
        <f t="shared" si="1"/>
        <v>167.14945874999998</v>
      </c>
      <c r="E64" s="701">
        <f t="shared" si="1"/>
        <v>121.28713916666665</v>
      </c>
    </row>
    <row r="65" spans="1:5" ht="14.25" customHeight="1" x14ac:dyDescent="0.2">
      <c r="A65" s="716" t="s">
        <v>509</v>
      </c>
      <c r="B65" s="689">
        <f>MC!E54/30/12</f>
        <v>1.3538888888888885E-2</v>
      </c>
      <c r="C65" s="690">
        <f t="shared" si="1"/>
        <v>37.04106425322221</v>
      </c>
      <c r="D65" s="690">
        <f t="shared" si="1"/>
        <v>27.156215398249991</v>
      </c>
      <c r="E65" s="701">
        <f t="shared" si="1"/>
        <v>19.705117209944436</v>
      </c>
    </row>
    <row r="66" spans="1:5" ht="14.25" customHeight="1" x14ac:dyDescent="0.2">
      <c r="A66" s="716" t="s">
        <v>510</v>
      </c>
      <c r="B66" s="726">
        <f>(5/30)/12*MC!F56*MC!C57</f>
        <v>1.0764583333333333E-4</v>
      </c>
      <c r="C66" s="690">
        <f t="shared" si="1"/>
        <v>0.29450837966208332</v>
      </c>
      <c r="D66" s="690">
        <f t="shared" si="1"/>
        <v>0.21591531334031247</v>
      </c>
      <c r="E66" s="701">
        <f t="shared" si="1"/>
        <v>0.15667266201854166</v>
      </c>
    </row>
    <row r="67" spans="1:5" ht="14.25" customHeight="1" x14ac:dyDescent="0.2">
      <c r="A67" s="716" t="s">
        <v>511</v>
      </c>
      <c r="B67" s="726">
        <f>MC!C59/30/12</f>
        <v>2.6830555555555553E-3</v>
      </c>
      <c r="C67" s="690">
        <f t="shared" si="1"/>
        <v>7.3405752897388883</v>
      </c>
      <c r="D67" s="690">
        <f t="shared" si="1"/>
        <v>5.3816554068874991</v>
      </c>
      <c r="E67" s="701">
        <f t="shared" si="1"/>
        <v>3.9050415907027771</v>
      </c>
    </row>
    <row r="68" spans="1:5" ht="14.25" customHeight="1" x14ac:dyDescent="0.2">
      <c r="A68" s="716" t="s">
        <v>473</v>
      </c>
      <c r="B68" s="689"/>
      <c r="C68" s="690"/>
      <c r="D68" s="690"/>
      <c r="E68" s="701"/>
    </row>
    <row r="69" spans="1:5" ht="14.25" customHeight="1" x14ac:dyDescent="0.2">
      <c r="A69" s="734" t="s">
        <v>512</v>
      </c>
      <c r="B69" s="727">
        <f>SUM(B64:B68)</f>
        <v>9.9662923611111107E-2</v>
      </c>
      <c r="C69" s="715">
        <f>SUM(C64:C68)</f>
        <v>272.6679262559565</v>
      </c>
      <c r="D69" s="715">
        <f>SUM(D64:D68)</f>
        <v>199.90324486847777</v>
      </c>
      <c r="E69" s="735">
        <f>SUM(E64:E68)</f>
        <v>145.05397062933241</v>
      </c>
    </row>
    <row r="70" spans="1:5" ht="14.25" customHeight="1" x14ac:dyDescent="0.2">
      <c r="A70" s="732" t="s">
        <v>513</v>
      </c>
      <c r="B70" s="725" t="s">
        <v>464</v>
      </c>
      <c r="C70" s="725" t="s">
        <v>465</v>
      </c>
      <c r="D70" s="725" t="s">
        <v>465</v>
      </c>
      <c r="E70" s="733" t="s">
        <v>465</v>
      </c>
    </row>
    <row r="71" spans="1:5" ht="14.25" customHeight="1" x14ac:dyDescent="0.2">
      <c r="A71" s="716" t="s">
        <v>514</v>
      </c>
      <c r="B71" s="689"/>
      <c r="C71" s="690"/>
      <c r="D71" s="690"/>
      <c r="E71" s="701"/>
    </row>
    <row r="72" spans="1:5" ht="14.25" customHeight="1" x14ac:dyDescent="0.2">
      <c r="A72" s="734" t="s">
        <v>512</v>
      </c>
      <c r="B72" s="727"/>
      <c r="C72" s="715">
        <f>C71</f>
        <v>0</v>
      </c>
      <c r="D72" s="715"/>
      <c r="E72" s="735"/>
    </row>
    <row r="73" spans="1:5" ht="14.25" customHeight="1" x14ac:dyDescent="0.2">
      <c r="A73" s="732" t="s">
        <v>68</v>
      </c>
      <c r="B73" s="725" t="s">
        <v>464</v>
      </c>
      <c r="C73" s="725" t="s">
        <v>465</v>
      </c>
      <c r="D73" s="725" t="s">
        <v>465</v>
      </c>
      <c r="E73" s="733" t="s">
        <v>465</v>
      </c>
    </row>
    <row r="74" spans="1:5" ht="14.25" customHeight="1" x14ac:dyDescent="0.2">
      <c r="A74" s="716" t="s">
        <v>69</v>
      </c>
      <c r="B74" s="689">
        <f>120/30*MC!C62*MC!C63</f>
        <v>6.18624E-3</v>
      </c>
      <c r="C74" s="690">
        <f>(((C19*2)+ (C19*1/3))+(C36)+(C44-C38-C39))*$B$74</f>
        <v>24.426098694981821</v>
      </c>
      <c r="D74" s="690">
        <f>(((D19*2)+ (D19*1/3))+(D36)+(D44-D38-D39))*$B$74</f>
        <v>18.346391371636361</v>
      </c>
      <c r="E74" s="701">
        <f>(((E19*2)+ (E19*1/3))+(E36)+(E44-E38-E39))*$B$74</f>
        <v>12.266498461090908</v>
      </c>
    </row>
    <row r="75" spans="1:5" ht="14.25" customHeight="1" x14ac:dyDescent="0.2">
      <c r="A75" s="734" t="s">
        <v>474</v>
      </c>
      <c r="B75" s="727"/>
      <c r="C75" s="715"/>
      <c r="D75" s="715"/>
      <c r="E75" s="735"/>
    </row>
    <row r="76" spans="1:5" ht="14.25" customHeight="1" x14ac:dyDescent="0.2">
      <c r="A76" s="698" t="s">
        <v>515</v>
      </c>
      <c r="B76" s="688" t="s">
        <v>464</v>
      </c>
      <c r="C76" s="688" t="s">
        <v>465</v>
      </c>
      <c r="D76" s="688" t="s">
        <v>465</v>
      </c>
      <c r="E76" s="699" t="s">
        <v>465</v>
      </c>
    </row>
    <row r="77" spans="1:5" ht="14.25" customHeight="1" x14ac:dyDescent="0.2">
      <c r="A77" s="716" t="s">
        <v>46</v>
      </c>
      <c r="B77" s="728">
        <f>B69</f>
        <v>9.9662923611111107E-2</v>
      </c>
      <c r="C77" s="729">
        <f>C69</f>
        <v>272.6679262559565</v>
      </c>
      <c r="D77" s="729">
        <f>D69</f>
        <v>199.90324486847777</v>
      </c>
      <c r="E77" s="736">
        <f>E69</f>
        <v>145.05397062933241</v>
      </c>
    </row>
    <row r="78" spans="1:5" ht="14.25" customHeight="1" x14ac:dyDescent="0.2">
      <c r="A78" s="716" t="s">
        <v>513</v>
      </c>
      <c r="B78" s="728">
        <f>B72</f>
        <v>0</v>
      </c>
      <c r="C78" s="729">
        <f>C72</f>
        <v>0</v>
      </c>
      <c r="D78" s="729">
        <f>D72</f>
        <v>0</v>
      </c>
      <c r="E78" s="736">
        <f>E72</f>
        <v>0</v>
      </c>
    </row>
    <row r="79" spans="1:5" ht="14.25" customHeight="1" x14ac:dyDescent="0.2">
      <c r="A79" s="716" t="s">
        <v>68</v>
      </c>
      <c r="B79" s="728">
        <f>B74</f>
        <v>6.18624E-3</v>
      </c>
      <c r="C79" s="729">
        <f>C74</f>
        <v>24.426098694981821</v>
      </c>
      <c r="D79" s="729">
        <f>D74</f>
        <v>18.346391371636361</v>
      </c>
      <c r="E79" s="736">
        <f>E74</f>
        <v>12.266498461090908</v>
      </c>
    </row>
    <row r="80" spans="1:5" ht="14.25" customHeight="1" x14ac:dyDescent="0.2">
      <c r="A80" s="737" t="s">
        <v>474</v>
      </c>
      <c r="B80" s="738"/>
      <c r="C80" s="739">
        <f>SUM(C77:C79)</f>
        <v>297.09402495093832</v>
      </c>
      <c r="D80" s="739">
        <f>SUM(D77:D79)</f>
        <v>218.24963624011414</v>
      </c>
      <c r="E80" s="740">
        <f>SUM(E77:E79)</f>
        <v>157.32046909042333</v>
      </c>
    </row>
    <row r="81" spans="1:5" ht="14.25" customHeight="1" x14ac:dyDescent="0.2">
      <c r="A81" s="903"/>
      <c r="B81" s="903"/>
      <c r="C81" s="903"/>
      <c r="D81" s="903"/>
      <c r="E81" s="903"/>
    </row>
    <row r="82" spans="1:5" ht="14.25" customHeight="1" x14ac:dyDescent="0.2">
      <c r="A82" s="904" t="s">
        <v>516</v>
      </c>
      <c r="B82" s="905"/>
      <c r="C82" s="905"/>
      <c r="D82" s="905"/>
      <c r="E82" s="906"/>
    </row>
    <row r="83" spans="1:5" ht="14.25" customHeight="1" x14ac:dyDescent="0.2">
      <c r="A83" s="698" t="s">
        <v>517</v>
      </c>
      <c r="B83" s="688" t="s">
        <v>490</v>
      </c>
      <c r="C83" s="688" t="s">
        <v>465</v>
      </c>
      <c r="D83" s="688" t="s">
        <v>465</v>
      </c>
      <c r="E83" s="699" t="s">
        <v>465</v>
      </c>
    </row>
    <row r="84" spans="1:5" ht="14.25" customHeight="1" x14ac:dyDescent="0.2">
      <c r="A84" s="716" t="s">
        <v>519</v>
      </c>
      <c r="B84" s="710"/>
      <c r="C84" s="711">
        <f>Insumos!$I118</f>
        <v>27.875416666666666</v>
      </c>
      <c r="D84" s="711">
        <f>Insumos!$I118</f>
        <v>27.875416666666666</v>
      </c>
      <c r="E84" s="717">
        <f>Insumos!$I118</f>
        <v>27.875416666666666</v>
      </c>
    </row>
    <row r="85" spans="1:5" ht="14.25" customHeight="1" x14ac:dyDescent="0.2">
      <c r="A85" s="718" t="s">
        <v>520</v>
      </c>
      <c r="B85" s="710"/>
      <c r="C85" s="711">
        <f>Insumos!$G70</f>
        <v>247.1166666666667</v>
      </c>
      <c r="D85" s="711">
        <f>Insumos!$G70</f>
        <v>247.1166666666667</v>
      </c>
      <c r="E85" s="717">
        <f>Insumos!$G70</f>
        <v>247.1166666666667</v>
      </c>
    </row>
    <row r="86" spans="1:5" ht="14.25" customHeight="1" x14ac:dyDescent="0.2">
      <c r="A86" s="718" t="s">
        <v>521</v>
      </c>
      <c r="B86" s="712"/>
      <c r="C86" s="713" t="s">
        <v>469</v>
      </c>
      <c r="D86" s="713" t="s">
        <v>469</v>
      </c>
      <c r="E86" s="719" t="s">
        <v>469</v>
      </c>
    </row>
    <row r="87" spans="1:5" ht="14.25" customHeight="1" x14ac:dyDescent="0.2">
      <c r="A87" s="718" t="s">
        <v>522</v>
      </c>
      <c r="B87" s="714"/>
      <c r="C87" s="711">
        <f>Insumos!$I123</f>
        <v>142.21333333333334</v>
      </c>
      <c r="D87" s="711">
        <f>Insumos!$H123</f>
        <v>122.52333333333333</v>
      </c>
      <c r="E87" s="717">
        <f>Insumos!$H123</f>
        <v>122.52333333333333</v>
      </c>
    </row>
    <row r="88" spans="1:5" ht="14.25" customHeight="1" x14ac:dyDescent="0.2">
      <c r="A88" s="720" t="s">
        <v>474</v>
      </c>
      <c r="B88" s="721"/>
      <c r="C88" s="722">
        <f>SUM(C84:C87)</f>
        <v>417.20541666666668</v>
      </c>
      <c r="D88" s="722">
        <f>SUM(D84:D87)</f>
        <v>397.51541666666668</v>
      </c>
      <c r="E88" s="723">
        <f>SUM(E84:E87)</f>
        <v>397.51541666666668</v>
      </c>
    </row>
    <row r="89" spans="1:5" ht="14.25" customHeight="1" x14ac:dyDescent="0.2">
      <c r="A89" s="903"/>
      <c r="B89" s="903"/>
      <c r="C89" s="903"/>
      <c r="D89" s="903"/>
      <c r="E89" s="903"/>
    </row>
    <row r="90" spans="1:5" ht="14.25" customHeight="1" x14ac:dyDescent="0.2">
      <c r="A90" s="904" t="s">
        <v>526</v>
      </c>
      <c r="B90" s="905"/>
      <c r="C90" s="905"/>
      <c r="D90" s="905"/>
      <c r="E90" s="906"/>
    </row>
    <row r="91" spans="1:5" ht="14.25" customHeight="1" x14ac:dyDescent="0.2">
      <c r="A91" s="698" t="s">
        <v>527</v>
      </c>
      <c r="B91" s="688" t="s">
        <v>464</v>
      </c>
      <c r="C91" s="688" t="s">
        <v>465</v>
      </c>
      <c r="D91" s="688" t="s">
        <v>465</v>
      </c>
      <c r="E91" s="699" t="s">
        <v>465</v>
      </c>
    </row>
    <row r="92" spans="1:5" ht="14.25" customHeight="1" x14ac:dyDescent="0.2">
      <c r="A92" s="700" t="s">
        <v>74</v>
      </c>
      <c r="B92" s="689">
        <v>0.03</v>
      </c>
      <c r="C92" s="690">
        <f>($C$19+$C$49+$C$60+$C$80+$C$88)*$B$92</f>
        <v>103.50602344852814</v>
      </c>
      <c r="D92" s="690">
        <f>(D$19+D$49+D$60+D$80+D$88)*$B$92</f>
        <v>78.646756737203418</v>
      </c>
      <c r="E92" s="701">
        <f>(E$19+E$49+E$60+E$80+E$88)*$B$92</f>
        <v>60.308446672712691</v>
      </c>
    </row>
    <row r="93" spans="1:5" ht="14.25" customHeight="1" x14ac:dyDescent="0.2">
      <c r="A93" s="700" t="s">
        <v>75</v>
      </c>
      <c r="B93" s="689">
        <v>6.7900000000000002E-2</v>
      </c>
      <c r="C93" s="690">
        <f>($C$19+$C$49+$C$60+$C$80+$C$88+C92)*B93</f>
        <v>241.29669206399043</v>
      </c>
      <c r="D93" s="690">
        <f>(D$19+D$49+D$60+D$80+D$88+D$92)*$B$93</f>
        <v>183.34394086432653</v>
      </c>
      <c r="E93" s="701">
        <f>(E$19+E$49+E$60+E$80+E$88+E$92)*$B$93</f>
        <v>140.5930611649836</v>
      </c>
    </row>
    <row r="94" spans="1:5" ht="14.25" customHeight="1" x14ac:dyDescent="0.2">
      <c r="A94" s="702" t="s">
        <v>528</v>
      </c>
      <c r="B94" s="691">
        <f>B95+B96</f>
        <v>0.1125</v>
      </c>
      <c r="C94" s="692">
        <f>((C19+C49+C60+C80+C88+C92+C93)/(1-($B$94)))*$B$94</f>
        <v>481.0567813263537</v>
      </c>
      <c r="D94" s="692">
        <f>((D19+D49+D60+D80+D88+D92+D93)/(1-($B$94)))*$B$94</f>
        <v>365.52032816302534</v>
      </c>
      <c r="E94" s="703">
        <f>((E19+E49+E60+E80+E88+E92+E93)/(1-($B$94)))*$B$94</f>
        <v>280.29081087821237</v>
      </c>
    </row>
    <row r="95" spans="1:5" ht="14.25" customHeight="1" x14ac:dyDescent="0.2">
      <c r="A95" s="700" t="s">
        <v>529</v>
      </c>
      <c r="B95" s="689">
        <f>0.0165+0.076</f>
        <v>9.2499999999999999E-2</v>
      </c>
      <c r="C95" s="693">
        <f>((C$19+C$49+C$60+C$80+C$88+C$92+C$93)/(1-($B$94)))*$B$95</f>
        <v>395.53557575722414</v>
      </c>
      <c r="D95" s="693">
        <f>((D$19+D$49+D$60+D$80+D$88+D$92+D$93)/(1-($B$94)))*$B$95</f>
        <v>300.5389364895986</v>
      </c>
      <c r="E95" s="704">
        <f>((E$19+E$49+E$60+E$80+E$88+E$92+E$93)/(1-($B$94)))*$B$95</f>
        <v>230.46133338875239</v>
      </c>
    </row>
    <row r="96" spans="1:5" ht="14.25" customHeight="1" x14ac:dyDescent="0.2">
      <c r="A96" s="700" t="s">
        <v>530</v>
      </c>
      <c r="B96" s="689">
        <v>0.02</v>
      </c>
      <c r="C96" s="693">
        <f>((C$19+C$49+C$60+C$80+C$88+C$92+C$93)/(1-($B$94)))*$B$96</f>
        <v>85.521205569129549</v>
      </c>
      <c r="D96" s="693">
        <f>((D$19+D$49+D$60+D$80+D$88+D$92+D$93)/(1-($B$94)))*$B$96</f>
        <v>64.981391673426728</v>
      </c>
      <c r="E96" s="704">
        <f>((E$19+E$49+E$60+E$80+E$88+E$92+E$93)/(1-($B$94)))*$B$96</f>
        <v>49.829477489459975</v>
      </c>
    </row>
    <row r="97" spans="1:5" ht="14.25" customHeight="1" x14ac:dyDescent="0.2">
      <c r="A97" s="702" t="s">
        <v>531</v>
      </c>
      <c r="B97" s="691">
        <f>B98+B99</f>
        <v>0.11749999999999999</v>
      </c>
      <c r="C97" s="692">
        <f>((C19+C49+C60+C80+C88+C92+C93)/(1-($B$97)))*$B$97</f>
        <v>505.28375174253762</v>
      </c>
      <c r="D97" s="692">
        <f>((D19+D49+D60+D80+D88+D92+D93)/(1-($B$97)))*$B$97</f>
        <v>383.92865441612065</v>
      </c>
      <c r="E97" s="703">
        <f>((E19+E49+E60+E80+E88+E92+E93)/(1-($B$97)))*$B$97</f>
        <v>294.40681016701114</v>
      </c>
    </row>
    <row r="98" spans="1:5" ht="14.25" customHeight="1" x14ac:dyDescent="0.2">
      <c r="A98" s="700" t="s">
        <v>529</v>
      </c>
      <c r="B98" s="689">
        <f>0.0165+0.076</f>
        <v>9.2499999999999999E-2</v>
      </c>
      <c r="C98" s="694">
        <f>((C19+C49+C60+C80+C88+C92+C93)/(1-($B$97)))*$B$98</f>
        <v>397.77657052072112</v>
      </c>
      <c r="D98" s="694">
        <f>((D19+D49+D60+D80+D88+D92+D93)/(1-($B$97)))*$B$98</f>
        <v>302.2417066680099</v>
      </c>
      <c r="E98" s="705">
        <f>((E19+E49+E60+E80+E88+E92+E93)/(1-($B$97)))*$B$98</f>
        <v>231.76706332296624</v>
      </c>
    </row>
    <row r="99" spans="1:5" ht="14.25" customHeight="1" x14ac:dyDescent="0.2">
      <c r="A99" s="700" t="s">
        <v>530</v>
      </c>
      <c r="B99" s="689">
        <v>2.5000000000000001E-2</v>
      </c>
      <c r="C99" s="694">
        <f>((C$19+C$49+C$60+C$80+C$88+C$92+C$93)/(1-($B$97)))*$B$99</f>
        <v>107.50718122181652</v>
      </c>
      <c r="D99" s="694">
        <f>((D$19+D$49+D$60+D$80+D$88+D$92+D$93)/(1-($B$97)))*$B$99</f>
        <v>81.686947748110782</v>
      </c>
      <c r="E99" s="705">
        <f>((E$19+E$49+E$60+E$80+E$88+E$92+E$93)/(1-($B$97)))*$B$99</f>
        <v>62.639746844044936</v>
      </c>
    </row>
    <row r="100" spans="1:5" ht="14.25" customHeight="1" x14ac:dyDescent="0.2">
      <c r="A100" s="702" t="s">
        <v>532</v>
      </c>
      <c r="B100" s="691">
        <f>B101+B102</f>
        <v>0.1225</v>
      </c>
      <c r="C100" s="692">
        <f>((C19+C49+C60+C80+C88+C92+C93)/(1-($B$100)))*$B$100</f>
        <v>529.78681298967535</v>
      </c>
      <c r="D100" s="692">
        <f>((D19+D49+D60+D80+D88+D92+D93)/(1-($B$100)))*$B$100</f>
        <v>402.54676216497785</v>
      </c>
      <c r="E100" s="703">
        <f>((E19+E49+E60+E80+E88+E92+E93)/(1-($B$100)))*$B$100</f>
        <v>308.68367554457132</v>
      </c>
    </row>
    <row r="101" spans="1:5" ht="14.25" customHeight="1" x14ac:dyDescent="0.2">
      <c r="A101" s="700" t="s">
        <v>529</v>
      </c>
      <c r="B101" s="689">
        <f>0.0165+0.076</f>
        <v>9.2499999999999999E-2</v>
      </c>
      <c r="C101" s="694">
        <f>((C19+C49+C60+C80+C88+C92+C93)/(1-($B$100)))*$B$101</f>
        <v>400.04310368608139</v>
      </c>
      <c r="D101" s="694">
        <f>((D19+D49+D60+D80+D88+D92+D93)/(1-($B$100)))*$B$101</f>
        <v>303.96388163477923</v>
      </c>
      <c r="E101" s="705">
        <f>((E19+E49+E60+E80+E88+E92+E93)/(1-($B$100)))*$B$101</f>
        <v>233.0876733703906</v>
      </c>
    </row>
    <row r="102" spans="1:5" ht="14.25" customHeight="1" x14ac:dyDescent="0.2">
      <c r="A102" s="700" t="s">
        <v>530</v>
      </c>
      <c r="B102" s="689">
        <v>0.03</v>
      </c>
      <c r="C102" s="694">
        <f>((C19+C49+C60+C80+C88+C92+C93)/(1-($B$100)))*$B$102</f>
        <v>129.74370930359396</v>
      </c>
      <c r="D102" s="694">
        <f>((D19+D49+D60+D80+D88+D92+D93)/(1-($B$100)))*$B$102</f>
        <v>98.582880530198665</v>
      </c>
      <c r="E102" s="705">
        <f>((E19+E49+E60+E80+E88+E92+E93)/(1-($B$100)))*$B$102</f>
        <v>75.596002174180725</v>
      </c>
    </row>
    <row r="103" spans="1:5" ht="14.25" customHeight="1" x14ac:dyDescent="0.2">
      <c r="A103" s="702" t="s">
        <v>533</v>
      </c>
      <c r="B103" s="691">
        <f>B104+B105</f>
        <v>0.1275</v>
      </c>
      <c r="C103" s="692">
        <f>((C19+C49+C60+C80+C88+C92+C93)/(1-($B$103)))*$B$103</f>
        <v>554.57071161500369</v>
      </c>
      <c r="D103" s="692">
        <f t="shared" ref="D103:E103" si="2">((D19+D49+D60+D80+D88+D92+D93)/(1-($B$103)))*$B$103</f>
        <v>421.37825796826314</v>
      </c>
      <c r="E103" s="703">
        <f t="shared" si="2"/>
        <v>323.12417261700313</v>
      </c>
    </row>
    <row r="104" spans="1:5" ht="14.25" customHeight="1" x14ac:dyDescent="0.2">
      <c r="A104" s="700" t="s">
        <v>529</v>
      </c>
      <c r="B104" s="689">
        <f>0.0165+0.076</f>
        <v>9.2499999999999999E-2</v>
      </c>
      <c r="C104" s="694">
        <f>((C19+C49+C60+C80+C88+C92+C93)/(1-($B$103)))*$B$104</f>
        <v>402.33561430892428</v>
      </c>
      <c r="D104" s="694">
        <f t="shared" ref="D104:E104" si="3">((D19+D49+D60+D80+D88+D92+D93)/(1-($B$103)))*$B$104</f>
        <v>305.70579499658305</v>
      </c>
      <c r="E104" s="705">
        <f t="shared" si="3"/>
        <v>234.42341934959049</v>
      </c>
    </row>
    <row r="105" spans="1:5" ht="14.25" customHeight="1" x14ac:dyDescent="0.2">
      <c r="A105" s="700" t="s">
        <v>530</v>
      </c>
      <c r="B105" s="689">
        <v>3.5000000000000003E-2</v>
      </c>
      <c r="C105" s="694">
        <f>((C19+C49+C60+C80+C88+C92+C93)/(1-($B$103)))*$B$105</f>
        <v>152.23509730607947</v>
      </c>
      <c r="D105" s="694">
        <f t="shared" ref="D105:E105" si="4">((D19+D49+D60+D80+D88+D92+D93)/(1-($B$103)))*$B$105</f>
        <v>115.67246297168008</v>
      </c>
      <c r="E105" s="705">
        <f t="shared" si="4"/>
        <v>88.700753267412622</v>
      </c>
    </row>
    <row r="106" spans="1:5" ht="14.25" customHeight="1" x14ac:dyDescent="0.2">
      <c r="A106" s="702" t="s">
        <v>534</v>
      </c>
      <c r="B106" s="691">
        <f>B107+B108</f>
        <v>0.13250000000000001</v>
      </c>
      <c r="C106" s="692">
        <f>((C19+C49+C60+C80+C88+C92+C93)/(1-($B$106)))*$B$106</f>
        <v>579.64030359624371</v>
      </c>
      <c r="D106" s="692">
        <f>((D19+D49+D60+D80+D88+D92+D93)/(1-($B$106)))*$B$106</f>
        <v>440.42683153296969</v>
      </c>
      <c r="E106" s="703">
        <f>((E19+E49+E60+E80+E88+E92+E93)/(1-($B$106)))*$B$106</f>
        <v>337.73113075078874</v>
      </c>
    </row>
    <row r="107" spans="1:5" ht="14.25" customHeight="1" x14ac:dyDescent="0.2">
      <c r="A107" s="700" t="s">
        <v>529</v>
      </c>
      <c r="B107" s="689">
        <f>0.0165+0.076</f>
        <v>9.2499999999999999E-2</v>
      </c>
      <c r="C107" s="694">
        <f>((C19+C49+C60+C80+C88+C92+C93)/(1-($B$106)))*$B$107</f>
        <v>404.654551567189</v>
      </c>
      <c r="D107" s="694">
        <f>((D19+D49+D60+D80+D88+D92+D93)/(1-($B$106)))*$B$107</f>
        <v>307.46778805131845</v>
      </c>
      <c r="E107" s="705">
        <f>((E19+E49+E60+E80+E88+E92+E93)/(1-($B$106)))*$B$107</f>
        <v>235.77456297696571</v>
      </c>
    </row>
    <row r="108" spans="1:5" ht="14.25" customHeight="1" x14ac:dyDescent="0.2">
      <c r="A108" s="700" t="s">
        <v>530</v>
      </c>
      <c r="B108" s="689">
        <v>0.04</v>
      </c>
      <c r="C108" s="694">
        <f>((C19+C49+C60+C80+C88+C92+C93)/(1-($B$106)))*$B$108</f>
        <v>174.98575202905471</v>
      </c>
      <c r="D108" s="694">
        <f>((D19+D49+D60+D80+D88+D92+D93)/(1-($B$106)))*$B$108</f>
        <v>132.95904348165124</v>
      </c>
      <c r="E108" s="705">
        <f>((E19+E49+E60+E80+E88+E92+E93)/(1-($B$106)))*$B$108</f>
        <v>101.95656777382301</v>
      </c>
    </row>
    <row r="109" spans="1:5" ht="14.25" customHeight="1" x14ac:dyDescent="0.2">
      <c r="A109" s="702" t="s">
        <v>535</v>
      </c>
      <c r="B109" s="691">
        <f>B110+B111</f>
        <v>0.14250000000000002</v>
      </c>
      <c r="C109" s="692">
        <f>((C19+C49+C60+C80+C88+C92+C93)/(1-($B$109)))*$B$109</f>
        <v>630.6565578321198</v>
      </c>
      <c r="D109" s="692">
        <f>((D19+D49+D60+D80+D88+D92+D93)/(1-($B$109)))*$B$109</f>
        <v>479.1904010611479</v>
      </c>
      <c r="E109" s="703">
        <f>((E19+E49+E60+E80+E88+E92+E93)/(1-($B$109)))*$B$109</f>
        <v>367.45607762362346</v>
      </c>
    </row>
    <row r="110" spans="1:5" ht="14.25" customHeight="1" x14ac:dyDescent="0.2">
      <c r="A110" s="700" t="s">
        <v>529</v>
      </c>
      <c r="B110" s="689">
        <f>0.0165+0.076</f>
        <v>9.2499999999999999E-2</v>
      </c>
      <c r="C110" s="693">
        <f>((C19+C49+C60+C80+C88+C92+C93)/(1-($B$109)))*$B$110</f>
        <v>409.37355508400753</v>
      </c>
      <c r="D110" s="693">
        <f>((D19+D49+D60+D80+D88+D92+D93)/(1-($B$109)))*$B$110</f>
        <v>311.05341823267491</v>
      </c>
      <c r="E110" s="704">
        <f>((E19+E49+E60+E80+E88+E92+E93)/(1-($B$109)))*$B$110</f>
        <v>238.5241205627029</v>
      </c>
    </row>
    <row r="111" spans="1:5" ht="14.25" customHeight="1" x14ac:dyDescent="0.2">
      <c r="A111" s="706" t="s">
        <v>530</v>
      </c>
      <c r="B111" s="707">
        <v>0.05</v>
      </c>
      <c r="C111" s="708">
        <f>((C19+C49+C60+C80+C88+C92+C93)/(1-($B$109)))*$B$111</f>
        <v>221.28300274811218</v>
      </c>
      <c r="D111" s="708">
        <f>((D19+D49+D60+D80+D88+D92+D93)/(1-($B$109)))*$B$111</f>
        <v>168.13698282847292</v>
      </c>
      <c r="E111" s="709">
        <f>((E19+E49+E60+E80+E88+E92+E93)/(1-($B$109)))*$B$111</f>
        <v>128.9319570609205</v>
      </c>
    </row>
    <row r="112" spans="1:5" ht="14.25" customHeight="1" x14ac:dyDescent="0.2">
      <c r="A112" s="907" t="s">
        <v>536</v>
      </c>
      <c r="B112" s="695">
        <v>0.02</v>
      </c>
      <c r="C112" s="696">
        <f>C92+C93+C94</f>
        <v>825.85949683887225</v>
      </c>
      <c r="D112" s="696">
        <f>D92+D93+D94</f>
        <v>627.51102576455537</v>
      </c>
      <c r="E112" s="697">
        <f>E92+E93+E94</f>
        <v>481.19231871590864</v>
      </c>
    </row>
    <row r="113" spans="1:5" ht="14.25" customHeight="1" x14ac:dyDescent="0.2">
      <c r="A113" s="908"/>
      <c r="B113" s="682">
        <v>2.5000000000000001E-2</v>
      </c>
      <c r="C113" s="683">
        <f>C92+C93+C97</f>
        <v>850.08646725505628</v>
      </c>
      <c r="D113" s="683">
        <f>D92+D93+D97</f>
        <v>645.91935201765068</v>
      </c>
      <c r="E113" s="684">
        <f>E92+E93+E97</f>
        <v>495.30831800470742</v>
      </c>
    </row>
    <row r="114" spans="1:5" ht="14.25" customHeight="1" x14ac:dyDescent="0.2">
      <c r="A114" s="908"/>
      <c r="B114" s="682">
        <v>0.03</v>
      </c>
      <c r="C114" s="683">
        <f>C92+C93+C100</f>
        <v>874.58952850219396</v>
      </c>
      <c r="D114" s="683">
        <f>D92+D93+D100</f>
        <v>664.53745976650782</v>
      </c>
      <c r="E114" s="684">
        <f>E92+E93+E100</f>
        <v>509.58518338226759</v>
      </c>
    </row>
    <row r="115" spans="1:5" ht="14.25" customHeight="1" x14ac:dyDescent="0.2">
      <c r="A115" s="908"/>
      <c r="B115" s="682">
        <v>3.5000000000000003E-2</v>
      </c>
      <c r="C115" s="683">
        <f>C92+C93+C103</f>
        <v>899.37342712752229</v>
      </c>
      <c r="D115" s="683">
        <f t="shared" ref="D115:E115" si="5">D92+D93+D103</f>
        <v>683.36895556979312</v>
      </c>
      <c r="E115" s="684">
        <f t="shared" si="5"/>
        <v>524.02568045469934</v>
      </c>
    </row>
    <row r="116" spans="1:5" ht="14.25" customHeight="1" x14ac:dyDescent="0.2">
      <c r="A116" s="908"/>
      <c r="B116" s="682">
        <v>0.04</v>
      </c>
      <c r="C116" s="683">
        <f>C92+C93+C106</f>
        <v>924.44301910876231</v>
      </c>
      <c r="D116" s="683">
        <f>D92+D93+D106</f>
        <v>702.41752913449966</v>
      </c>
      <c r="E116" s="684">
        <f>E92+E93+E106</f>
        <v>538.63263858848495</v>
      </c>
    </row>
    <row r="117" spans="1:5" ht="14.25" customHeight="1" x14ac:dyDescent="0.2">
      <c r="A117" s="909"/>
      <c r="B117" s="685">
        <v>0.05</v>
      </c>
      <c r="C117" s="686">
        <f>C92+C93+C109</f>
        <v>975.4592733446384</v>
      </c>
      <c r="D117" s="686">
        <f>D92+D93+D109</f>
        <v>741.18109866267787</v>
      </c>
      <c r="E117" s="687">
        <f>E92+E93+E109</f>
        <v>568.35758546131979</v>
      </c>
    </row>
    <row r="118" spans="1:5" ht="14.25" customHeight="1" x14ac:dyDescent="0.2">
      <c r="A118" s="892"/>
      <c r="B118" s="892"/>
      <c r="C118" s="892"/>
      <c r="D118" s="892"/>
      <c r="E118" s="892"/>
    </row>
    <row r="119" spans="1:5" ht="14.25" customHeight="1" x14ac:dyDescent="0.2">
      <c r="A119" s="892"/>
      <c r="B119" s="892"/>
      <c r="C119" s="892"/>
      <c r="D119" s="892"/>
      <c r="E119" s="892"/>
    </row>
    <row r="120" spans="1:5" ht="35.25" customHeight="1" x14ac:dyDescent="0.2">
      <c r="A120" s="893" t="s">
        <v>538</v>
      </c>
      <c r="B120" s="893"/>
      <c r="C120" s="497" t="str">
        <f>C10</f>
        <v>Servente 40h
COVID</v>
      </c>
      <c r="D120" s="568" t="str">
        <f>D10</f>
        <v>Servente 30h
COVID</v>
      </c>
      <c r="E120" s="569" t="str">
        <f>E10</f>
        <v>Servente 20h
COVID</v>
      </c>
    </row>
    <row r="121" spans="1:5" ht="14.25" customHeight="1" x14ac:dyDescent="0.2">
      <c r="A121" s="894" t="s">
        <v>539</v>
      </c>
      <c r="B121" s="894"/>
      <c r="C121" s="500" t="s">
        <v>465</v>
      </c>
      <c r="D121" s="570" t="s">
        <v>465</v>
      </c>
      <c r="E121" s="571" t="s">
        <v>465</v>
      </c>
    </row>
    <row r="122" spans="1:5" ht="15.75" customHeight="1" x14ac:dyDescent="0.2">
      <c r="A122" s="895" t="s">
        <v>540</v>
      </c>
      <c r="B122" s="895"/>
      <c r="C122" s="502">
        <f>C19</f>
        <v>1433.5527272727272</v>
      </c>
      <c r="D122" s="572">
        <f>D19</f>
        <v>1075.1645454545453</v>
      </c>
      <c r="E122" s="573">
        <f>E19</f>
        <v>716.77636363636361</v>
      </c>
    </row>
    <row r="123" spans="1:5" ht="15.75" customHeight="1" x14ac:dyDescent="0.2">
      <c r="A123" s="874" t="s">
        <v>541</v>
      </c>
      <c r="B123" s="874"/>
      <c r="C123" s="504">
        <f>C49</f>
        <v>1208.4509090909091</v>
      </c>
      <c r="D123" s="574">
        <f>D49</f>
        <v>860.2056818181818</v>
      </c>
      <c r="E123" s="575">
        <f>E49</f>
        <v>691.72045454545446</v>
      </c>
    </row>
    <row r="124" spans="1:5" ht="15.75" customHeight="1" x14ac:dyDescent="0.2">
      <c r="A124" s="874" t="s">
        <v>542</v>
      </c>
      <c r="B124" s="874"/>
      <c r="C124" s="504">
        <f>C60</f>
        <v>93.897703636363616</v>
      </c>
      <c r="D124" s="574">
        <f>D60</f>
        <v>70.423277727272705</v>
      </c>
      <c r="E124" s="575">
        <f>E60</f>
        <v>46.948851818181808</v>
      </c>
    </row>
    <row r="125" spans="1:5" ht="15.75" customHeight="1" x14ac:dyDescent="0.2">
      <c r="A125" s="874" t="s">
        <v>543</v>
      </c>
      <c r="B125" s="874"/>
      <c r="C125" s="504">
        <f>C80</f>
        <v>297.09402495093832</v>
      </c>
      <c r="D125" s="574">
        <f>D80</f>
        <v>218.24963624011414</v>
      </c>
      <c r="E125" s="575">
        <f>E80</f>
        <v>157.32046909042333</v>
      </c>
    </row>
    <row r="126" spans="1:5" ht="15.75" customHeight="1" x14ac:dyDescent="0.2">
      <c r="A126" s="874" t="s">
        <v>544</v>
      </c>
      <c r="B126" s="874"/>
      <c r="C126" s="504">
        <f>C88</f>
        <v>417.20541666666668</v>
      </c>
      <c r="D126" s="574">
        <f>D88</f>
        <v>397.51541666666668</v>
      </c>
      <c r="E126" s="575">
        <f>E88</f>
        <v>397.51541666666668</v>
      </c>
    </row>
    <row r="127" spans="1:5" ht="15.75" customHeight="1" x14ac:dyDescent="0.2">
      <c r="A127" s="896" t="s">
        <v>545</v>
      </c>
      <c r="B127" s="896"/>
      <c r="C127" s="506">
        <f>SUM(C122:C126)</f>
        <v>3450.2007816176047</v>
      </c>
      <c r="D127" s="576">
        <f>SUM(D122:D126)</f>
        <v>2621.5585579067806</v>
      </c>
      <c r="E127" s="577">
        <f>SUM(E122:E126)</f>
        <v>2010.2815557570898</v>
      </c>
    </row>
    <row r="128" spans="1:5" ht="15.75" customHeight="1" x14ac:dyDescent="0.2">
      <c r="A128" s="877" t="s">
        <v>546</v>
      </c>
      <c r="B128" s="877"/>
      <c r="C128" s="509">
        <f t="shared" ref="C128:E130" si="6">C112</f>
        <v>825.85949683887225</v>
      </c>
      <c r="D128" s="576">
        <f t="shared" si="6"/>
        <v>627.51102576455537</v>
      </c>
      <c r="E128" s="577">
        <f t="shared" si="6"/>
        <v>481.19231871590864</v>
      </c>
    </row>
    <row r="129" spans="1:5" ht="15.75" customHeight="1" x14ac:dyDescent="0.2">
      <c r="A129" s="874" t="s">
        <v>547</v>
      </c>
      <c r="B129" s="874"/>
      <c r="C129" s="511">
        <f t="shared" si="6"/>
        <v>850.08646725505628</v>
      </c>
      <c r="D129" s="576">
        <f t="shared" si="6"/>
        <v>645.91935201765068</v>
      </c>
      <c r="E129" s="577">
        <f t="shared" si="6"/>
        <v>495.30831800470742</v>
      </c>
    </row>
    <row r="130" spans="1:5" ht="15.75" customHeight="1" x14ac:dyDescent="0.2">
      <c r="A130" s="874" t="s">
        <v>548</v>
      </c>
      <c r="B130" s="874"/>
      <c r="C130" s="511">
        <f t="shared" si="6"/>
        <v>874.58952850219396</v>
      </c>
      <c r="D130" s="576">
        <f t="shared" si="6"/>
        <v>664.53745976650782</v>
      </c>
      <c r="E130" s="577">
        <f t="shared" si="6"/>
        <v>509.58518338226759</v>
      </c>
    </row>
    <row r="131" spans="1:5" ht="15.75" customHeight="1" x14ac:dyDescent="0.2">
      <c r="A131" s="874" t="s">
        <v>549</v>
      </c>
      <c r="B131" s="874"/>
      <c r="C131" s="511">
        <f>C115</f>
        <v>899.37342712752229</v>
      </c>
      <c r="D131" s="511">
        <f t="shared" ref="D131:E131" si="7">D115</f>
        <v>683.36895556979312</v>
      </c>
      <c r="E131" s="511">
        <f t="shared" si="7"/>
        <v>524.02568045469934</v>
      </c>
    </row>
    <row r="132" spans="1:5" ht="15.75" customHeight="1" x14ac:dyDescent="0.2">
      <c r="A132" s="874" t="s">
        <v>550</v>
      </c>
      <c r="B132" s="874"/>
      <c r="C132" s="511">
        <f>C116</f>
        <v>924.44301910876231</v>
      </c>
      <c r="D132" s="576">
        <f>D116</f>
        <v>702.41752913449966</v>
      </c>
      <c r="E132" s="577">
        <f>E116</f>
        <v>538.63263858848495</v>
      </c>
    </row>
    <row r="133" spans="1:5" ht="15.75" customHeight="1" x14ac:dyDescent="0.2">
      <c r="A133" s="877" t="s">
        <v>551</v>
      </c>
      <c r="B133" s="877"/>
      <c r="C133" s="511">
        <f>C117</f>
        <v>975.4592733446384</v>
      </c>
      <c r="D133" s="578">
        <f>D117</f>
        <v>741.18109866267787</v>
      </c>
      <c r="E133" s="579">
        <f>E117</f>
        <v>568.35758546131979</v>
      </c>
    </row>
    <row r="134" spans="1:5" ht="15.75" customHeight="1" x14ac:dyDescent="0.2">
      <c r="A134" s="513" t="s">
        <v>552</v>
      </c>
      <c r="B134" s="514"/>
      <c r="C134" s="515">
        <f>C127+C128</f>
        <v>4276.0602784564771</v>
      </c>
      <c r="D134" s="515">
        <f>D127+D128</f>
        <v>3249.0695836713357</v>
      </c>
      <c r="E134" s="516">
        <f>E127+E128</f>
        <v>2491.4738744729984</v>
      </c>
    </row>
    <row r="135" spans="1:5" ht="15.75" customHeight="1" x14ac:dyDescent="0.2">
      <c r="A135" s="517" t="s">
        <v>553</v>
      </c>
      <c r="B135" s="518"/>
      <c r="C135" s="519">
        <f>C127+C129</f>
        <v>4300.2872488726607</v>
      </c>
      <c r="D135" s="519">
        <f>D127+D129</f>
        <v>3267.4779099244315</v>
      </c>
      <c r="E135" s="520">
        <f>E127+E129</f>
        <v>2505.5898737617972</v>
      </c>
    </row>
    <row r="136" spans="1:5" ht="15.75" customHeight="1" x14ac:dyDescent="0.2">
      <c r="A136" s="517" t="s">
        <v>554</v>
      </c>
      <c r="B136" s="518"/>
      <c r="C136" s="519">
        <f>C127+C130</f>
        <v>4324.790310119799</v>
      </c>
      <c r="D136" s="519">
        <f>D127+D130</f>
        <v>3286.0960176732883</v>
      </c>
      <c r="E136" s="520">
        <f>E127+E130</f>
        <v>2519.8667391393574</v>
      </c>
    </row>
    <row r="137" spans="1:5" ht="15.75" customHeight="1" x14ac:dyDescent="0.2">
      <c r="A137" s="517" t="s">
        <v>555</v>
      </c>
      <c r="B137" s="518"/>
      <c r="C137" s="519">
        <f>C127+C131</f>
        <v>4349.5742087451272</v>
      </c>
      <c r="D137" s="519">
        <f t="shared" ref="D137:E137" si="8">D127+D131</f>
        <v>3304.9275134765739</v>
      </c>
      <c r="E137" s="519">
        <f t="shared" si="8"/>
        <v>2534.3072362117891</v>
      </c>
    </row>
    <row r="138" spans="1:5" ht="15.75" customHeight="1" x14ac:dyDescent="0.2">
      <c r="A138" s="517" t="s">
        <v>556</v>
      </c>
      <c r="B138" s="518"/>
      <c r="C138" s="519">
        <f>C127+C132</f>
        <v>4374.6438007263669</v>
      </c>
      <c r="D138" s="519">
        <f>D127+D132</f>
        <v>3323.9760870412802</v>
      </c>
      <c r="E138" s="520">
        <f>E127+E132</f>
        <v>2548.9141943455747</v>
      </c>
    </row>
    <row r="139" spans="1:5" ht="13.9" customHeight="1" x14ac:dyDescent="0.2">
      <c r="A139" s="517" t="s">
        <v>557</v>
      </c>
      <c r="B139" s="518"/>
      <c r="C139" s="519">
        <f>C127+C133</f>
        <v>4425.6600549622435</v>
      </c>
      <c r="D139" s="580">
        <f>D127+D133</f>
        <v>3362.7396565694585</v>
      </c>
      <c r="E139" s="581">
        <f>E127+E133</f>
        <v>2578.6391412184093</v>
      </c>
    </row>
    <row r="140" spans="1:5" ht="13.9" customHeight="1" x14ac:dyDescent="0.2">
      <c r="A140" s="521" t="s">
        <v>558</v>
      </c>
      <c r="B140" s="522"/>
      <c r="C140" s="523">
        <f t="shared" ref="C140:C145" si="9">C134/200</f>
        <v>21.380301392282387</v>
      </c>
      <c r="D140" s="523"/>
      <c r="E140" s="582"/>
    </row>
    <row r="141" spans="1:5" ht="13.9" customHeight="1" x14ac:dyDescent="0.2">
      <c r="A141" s="526" t="s">
        <v>559</v>
      </c>
      <c r="B141" s="527"/>
      <c r="C141" s="528">
        <f t="shared" si="9"/>
        <v>21.501436244363305</v>
      </c>
      <c r="D141" s="528"/>
      <c r="E141" s="583"/>
    </row>
    <row r="142" spans="1:5" ht="13.9" customHeight="1" x14ac:dyDescent="0.2">
      <c r="A142" s="526" t="s">
        <v>560</v>
      </c>
      <c r="B142" s="527"/>
      <c r="C142" s="528">
        <f t="shared" si="9"/>
        <v>21.623951550598996</v>
      </c>
      <c r="D142" s="528"/>
      <c r="E142" s="583"/>
    </row>
    <row r="143" spans="1:5" ht="13.9" customHeight="1" x14ac:dyDescent="0.2">
      <c r="A143" s="526" t="s">
        <v>560</v>
      </c>
      <c r="B143" s="527"/>
      <c r="C143" s="528">
        <f t="shared" si="9"/>
        <v>21.747871043725635</v>
      </c>
      <c r="D143" s="528"/>
      <c r="E143" s="583"/>
    </row>
    <row r="144" spans="1:5" ht="13.9" customHeight="1" x14ac:dyDescent="0.2">
      <c r="A144" s="526" t="s">
        <v>562</v>
      </c>
      <c r="B144" s="527"/>
      <c r="C144" s="528">
        <f t="shared" si="9"/>
        <v>21.873219003631835</v>
      </c>
      <c r="D144" s="528"/>
      <c r="E144" s="583"/>
    </row>
    <row r="145" spans="1:5" ht="13.9" customHeight="1" x14ac:dyDescent="0.2">
      <c r="A145" s="531" t="s">
        <v>563</v>
      </c>
      <c r="B145" s="532"/>
      <c r="C145" s="533">
        <f t="shared" si="9"/>
        <v>22.128300274811217</v>
      </c>
      <c r="D145" s="533"/>
      <c r="E145" s="584"/>
    </row>
  </sheetData>
  <mergeCells count="32">
    <mergeCell ref="A128:B128"/>
    <mergeCell ref="A123:B123"/>
    <mergeCell ref="A124:B124"/>
    <mergeCell ref="A125:B125"/>
    <mergeCell ref="A126:B126"/>
    <mergeCell ref="A127:B127"/>
    <mergeCell ref="A112:A117"/>
    <mergeCell ref="A120:B120"/>
    <mergeCell ref="A121:B121"/>
    <mergeCell ref="A122:B122"/>
    <mergeCell ref="A118:E118"/>
    <mergeCell ref="A119:E119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  <mergeCell ref="A129:B129"/>
    <mergeCell ref="A130:B130"/>
    <mergeCell ref="A131:B131"/>
    <mergeCell ref="A132:B132"/>
    <mergeCell ref="A133:B13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J147"/>
  <sheetViews>
    <sheetView showGridLines="0" topLeftCell="A130" zoomScaleNormal="100" workbookViewId="0">
      <pane xSplit="2" topLeftCell="F1" activePane="topRight" state="frozen"/>
      <selection activeCell="A115" sqref="A115"/>
      <selection pane="topRight" activeCell="A99" sqref="A99:H99"/>
    </sheetView>
  </sheetViews>
  <sheetFormatPr defaultColWidth="9" defaultRowHeight="14.25" x14ac:dyDescent="0.2"/>
  <cols>
    <col min="1" max="1" width="51.125" style="85" customWidth="1"/>
    <col min="2" max="2" width="15.5" style="85" customWidth="1"/>
    <col min="3" max="4" width="15.625" style="85" customWidth="1"/>
    <col min="5" max="5" width="16" style="85" customWidth="1"/>
    <col min="6" max="6" width="17.375" style="85" customWidth="1"/>
    <col min="7" max="7" width="16.5" style="85" customWidth="1"/>
    <col min="8" max="9" width="15.25" style="85" customWidth="1"/>
    <col min="10" max="11" width="16" style="85" customWidth="1"/>
    <col min="12" max="12" width="10.5" style="85" customWidth="1"/>
    <col min="13" max="1024" width="9" style="85"/>
  </cols>
  <sheetData>
    <row r="1" spans="1:1024" s="86" customFormat="1" ht="20.25" customHeight="1" x14ac:dyDescent="0.2">
      <c r="A1" s="823" t="s">
        <v>128</v>
      </c>
      <c r="B1" s="823"/>
      <c r="C1" s="823"/>
      <c r="D1" s="823"/>
      <c r="E1" s="823"/>
      <c r="F1" s="823"/>
      <c r="G1" s="823"/>
      <c r="H1" s="823"/>
      <c r="J1" s="87" t="s">
        <v>129</v>
      </c>
      <c r="K1" s="88"/>
      <c r="L1" s="89"/>
      <c r="M1" s="88"/>
      <c r="N1" s="88"/>
      <c r="O1" s="88"/>
      <c r="P1" s="88"/>
      <c r="Q1" s="88"/>
      <c r="R1" s="88"/>
      <c r="S1" s="90"/>
    </row>
    <row r="2" spans="1:1024" ht="52.5" customHeight="1" x14ac:dyDescent="0.2">
      <c r="A2" s="91" t="s">
        <v>130</v>
      </c>
      <c r="B2" s="92" t="s">
        <v>131</v>
      </c>
      <c r="C2" s="92" t="s">
        <v>132</v>
      </c>
      <c r="D2" s="92" t="s">
        <v>133</v>
      </c>
      <c r="E2" s="92" t="s">
        <v>134</v>
      </c>
      <c r="F2" s="93" t="s">
        <v>135</v>
      </c>
      <c r="G2" s="94" t="s">
        <v>136</v>
      </c>
      <c r="H2" s="95" t="s">
        <v>137</v>
      </c>
      <c r="I2"/>
      <c r="J2" s="96" t="s">
        <v>138</v>
      </c>
      <c r="K2" s="97"/>
      <c r="L2" s="97"/>
      <c r="M2" s="97"/>
      <c r="N2" s="97"/>
      <c r="O2" s="97"/>
      <c r="P2" s="97"/>
      <c r="Q2" s="97"/>
      <c r="R2" s="97"/>
      <c r="S2" s="98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" customHeight="1" x14ac:dyDescent="0.2">
      <c r="A3" s="99" t="s">
        <v>139</v>
      </c>
      <c r="B3" s="100" t="s">
        <v>140</v>
      </c>
      <c r="C3" s="101">
        <v>0.31</v>
      </c>
      <c r="D3" s="102">
        <v>6.61</v>
      </c>
      <c r="E3" s="102">
        <v>7.33</v>
      </c>
      <c r="F3" s="103">
        <f t="shared" ref="F3:F36" si="0">(D3+E3)/2</f>
        <v>6.9700000000000006</v>
      </c>
      <c r="G3" s="104">
        <f t="shared" ref="G3:G36" si="1">C3*F3</f>
        <v>2.1607000000000003</v>
      </c>
      <c r="H3" s="105" t="s">
        <v>141</v>
      </c>
      <c r="I3"/>
      <c r="J3" s="106" t="s">
        <v>142</v>
      </c>
      <c r="K3" s="107"/>
      <c r="L3" s="107"/>
      <c r="M3" s="107"/>
      <c r="N3" s="107"/>
      <c r="O3" s="107"/>
      <c r="P3" s="107"/>
      <c r="Q3" s="107"/>
      <c r="R3" s="107"/>
      <c r="S3" s="108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" customHeight="1" x14ac:dyDescent="0.2">
      <c r="A4" s="99" t="s">
        <v>143</v>
      </c>
      <c r="B4" s="100" t="s">
        <v>140</v>
      </c>
      <c r="C4" s="101">
        <v>4.74</v>
      </c>
      <c r="D4" s="102">
        <v>2.2000000000000002</v>
      </c>
      <c r="E4" s="102">
        <v>2.0099999999999998</v>
      </c>
      <c r="F4" s="103">
        <f t="shared" si="0"/>
        <v>2.105</v>
      </c>
      <c r="G4" s="104">
        <f t="shared" si="1"/>
        <v>9.9777000000000005</v>
      </c>
      <c r="H4" s="109" t="s">
        <v>144</v>
      </c>
      <c r="I4"/>
      <c r="J4" s="106" t="s">
        <v>145</v>
      </c>
      <c r="K4" s="107"/>
      <c r="L4" s="107"/>
      <c r="M4" s="107"/>
      <c r="N4" s="107"/>
      <c r="O4" s="107"/>
      <c r="P4" s="107"/>
      <c r="Q4" s="107"/>
      <c r="R4" s="107"/>
      <c r="S4" s="108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" customHeight="1" x14ac:dyDescent="0.2">
      <c r="A5" s="99" t="s">
        <v>146</v>
      </c>
      <c r="B5" s="100" t="s">
        <v>147</v>
      </c>
      <c r="C5" s="101">
        <v>2.02</v>
      </c>
      <c r="D5" s="102">
        <v>7.37</v>
      </c>
      <c r="E5" s="102">
        <v>8.2100000000000009</v>
      </c>
      <c r="F5" s="103">
        <f t="shared" si="0"/>
        <v>7.7900000000000009</v>
      </c>
      <c r="G5" s="104">
        <f t="shared" si="1"/>
        <v>15.735800000000001</v>
      </c>
      <c r="H5" s="109" t="s">
        <v>148</v>
      </c>
      <c r="I5"/>
      <c r="J5" s="106" t="s">
        <v>149</v>
      </c>
      <c r="K5" s="107"/>
      <c r="L5" s="107"/>
      <c r="M5" s="107"/>
      <c r="N5" s="107"/>
      <c r="O5" s="107"/>
      <c r="P5" s="107"/>
      <c r="Q5" s="107"/>
      <c r="R5" s="107"/>
      <c r="S5" s="108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5" customHeight="1" x14ac:dyDescent="0.2">
      <c r="A6" s="99" t="s">
        <v>150</v>
      </c>
      <c r="B6" s="100" t="s">
        <v>140</v>
      </c>
      <c r="C6" s="101">
        <v>2.52</v>
      </c>
      <c r="D6" s="102">
        <v>7.25</v>
      </c>
      <c r="E6" s="102">
        <v>6.84</v>
      </c>
      <c r="F6" s="103">
        <f t="shared" si="0"/>
        <v>7.0449999999999999</v>
      </c>
      <c r="G6" s="104">
        <f t="shared" si="1"/>
        <v>17.753399999999999</v>
      </c>
      <c r="H6" s="109" t="s">
        <v>148</v>
      </c>
      <c r="I6"/>
      <c r="J6" s="110" t="s">
        <v>151</v>
      </c>
      <c r="K6" s="111"/>
      <c r="L6" s="111"/>
      <c r="M6" s="111"/>
      <c r="N6" s="111"/>
      <c r="O6" s="111"/>
      <c r="P6" s="111"/>
      <c r="Q6" s="111"/>
      <c r="R6" s="111"/>
      <c r="S6" s="112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" customHeight="1" x14ac:dyDescent="0.2">
      <c r="A7" s="99" t="s">
        <v>152</v>
      </c>
      <c r="B7" s="100" t="s">
        <v>153</v>
      </c>
      <c r="C7" s="101">
        <v>0.3</v>
      </c>
      <c r="D7" s="102">
        <v>18.54</v>
      </c>
      <c r="E7" s="102">
        <v>24.19</v>
      </c>
      <c r="F7" s="103">
        <f t="shared" si="0"/>
        <v>21.365000000000002</v>
      </c>
      <c r="G7" s="104">
        <f t="shared" si="1"/>
        <v>6.4095000000000004</v>
      </c>
      <c r="H7" s="109" t="s">
        <v>154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customHeight="1" x14ac:dyDescent="0.2">
      <c r="A8" s="99" t="s">
        <v>155</v>
      </c>
      <c r="B8" s="100" t="s">
        <v>153</v>
      </c>
      <c r="C8" s="101">
        <v>1.35</v>
      </c>
      <c r="D8" s="102">
        <v>5.46</v>
      </c>
      <c r="E8" s="102">
        <v>11.8</v>
      </c>
      <c r="F8" s="103">
        <f t="shared" si="0"/>
        <v>8.6300000000000008</v>
      </c>
      <c r="G8" s="104">
        <f t="shared" si="1"/>
        <v>11.650500000000001</v>
      </c>
      <c r="H8" s="109" t="s">
        <v>156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" customHeight="1" x14ac:dyDescent="0.2">
      <c r="A9" s="99" t="s">
        <v>157</v>
      </c>
      <c r="B9" s="100" t="s">
        <v>153</v>
      </c>
      <c r="C9" s="101">
        <v>0.2</v>
      </c>
      <c r="D9" s="102">
        <v>47.92</v>
      </c>
      <c r="E9" s="102">
        <v>50.74</v>
      </c>
      <c r="F9" s="103">
        <f t="shared" si="0"/>
        <v>49.33</v>
      </c>
      <c r="G9" s="104">
        <f t="shared" si="1"/>
        <v>9.8659999999999997</v>
      </c>
      <c r="H9" s="109" t="s">
        <v>158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" customHeight="1" x14ac:dyDescent="0.2">
      <c r="A10" s="99" t="s">
        <v>159</v>
      </c>
      <c r="B10" s="100" t="s">
        <v>153</v>
      </c>
      <c r="C10" s="101">
        <v>0.5</v>
      </c>
      <c r="D10" s="102">
        <v>12.32</v>
      </c>
      <c r="E10" s="102">
        <v>14.65</v>
      </c>
      <c r="F10" s="103">
        <f t="shared" si="0"/>
        <v>13.484999999999999</v>
      </c>
      <c r="G10" s="104">
        <f t="shared" si="1"/>
        <v>6.7424999999999997</v>
      </c>
      <c r="H10" s="109" t="s">
        <v>160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5" customHeight="1" x14ac:dyDescent="0.2">
      <c r="A11" s="99" t="s">
        <v>161</v>
      </c>
      <c r="B11" s="100" t="s">
        <v>147</v>
      </c>
      <c r="C11" s="101">
        <v>1.43</v>
      </c>
      <c r="D11" s="102">
        <v>1.44</v>
      </c>
      <c r="E11" s="102">
        <v>1.82</v>
      </c>
      <c r="F11" s="103">
        <f t="shared" si="0"/>
        <v>1.63</v>
      </c>
      <c r="G11" s="104">
        <f t="shared" si="1"/>
        <v>2.3308999999999997</v>
      </c>
      <c r="H11" s="109" t="s">
        <v>162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" customHeight="1" x14ac:dyDescent="0.2">
      <c r="A12" s="99" t="s">
        <v>163</v>
      </c>
      <c r="B12" s="100" t="s">
        <v>164</v>
      </c>
      <c r="C12" s="101">
        <v>1.0900000000000001</v>
      </c>
      <c r="D12" s="102">
        <v>6.86</v>
      </c>
      <c r="E12" s="102">
        <v>7.94</v>
      </c>
      <c r="F12" s="103">
        <f t="shared" si="0"/>
        <v>7.4</v>
      </c>
      <c r="G12" s="104">
        <f t="shared" si="1"/>
        <v>8.0660000000000007</v>
      </c>
      <c r="H12" s="109" t="s">
        <v>165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5" customHeight="1" x14ac:dyDescent="0.2">
      <c r="A13" s="99" t="s">
        <v>166</v>
      </c>
      <c r="B13" s="100" t="s">
        <v>164</v>
      </c>
      <c r="C13" s="101">
        <v>1.27</v>
      </c>
      <c r="D13" s="102">
        <v>2.0699999999999998</v>
      </c>
      <c r="E13" s="102">
        <v>2.86</v>
      </c>
      <c r="F13" s="103">
        <f t="shared" si="0"/>
        <v>2.4649999999999999</v>
      </c>
      <c r="G13" s="104">
        <f t="shared" si="1"/>
        <v>3.1305499999999999</v>
      </c>
      <c r="H13" s="109" t="s">
        <v>167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" customHeight="1" x14ac:dyDescent="0.2">
      <c r="A14" s="99" t="s">
        <v>168</v>
      </c>
      <c r="B14" s="100" t="s">
        <v>164</v>
      </c>
      <c r="C14" s="101">
        <v>2.2200000000000002</v>
      </c>
      <c r="D14" s="102">
        <v>0.69</v>
      </c>
      <c r="E14" s="102">
        <v>0.83</v>
      </c>
      <c r="F14" s="103">
        <f t="shared" si="0"/>
        <v>0.76</v>
      </c>
      <c r="G14" s="104">
        <f t="shared" si="1"/>
        <v>1.6872000000000003</v>
      </c>
      <c r="H14" s="109" t="s">
        <v>156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" customHeight="1" x14ac:dyDescent="0.2">
      <c r="A15" s="99" t="s">
        <v>169</v>
      </c>
      <c r="B15" s="100" t="s">
        <v>164</v>
      </c>
      <c r="C15" s="101">
        <v>2.41</v>
      </c>
      <c r="D15" s="102">
        <v>1.64</v>
      </c>
      <c r="E15" s="102">
        <v>2.9</v>
      </c>
      <c r="F15" s="103">
        <f t="shared" si="0"/>
        <v>2.27</v>
      </c>
      <c r="G15" s="104">
        <f t="shared" si="1"/>
        <v>5.4707000000000008</v>
      </c>
      <c r="H15" s="109" t="s">
        <v>170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" customHeight="1" x14ac:dyDescent="0.2">
      <c r="A16" s="99" t="s">
        <v>171</v>
      </c>
      <c r="B16" s="100" t="s">
        <v>164</v>
      </c>
      <c r="C16" s="101">
        <v>0.25</v>
      </c>
      <c r="D16" s="102">
        <v>7.21</v>
      </c>
      <c r="E16" s="102">
        <v>8.66</v>
      </c>
      <c r="F16" s="103">
        <f t="shared" si="0"/>
        <v>7.9350000000000005</v>
      </c>
      <c r="G16" s="104">
        <f t="shared" si="1"/>
        <v>1.9837500000000001</v>
      </c>
      <c r="H16" s="109" t="s">
        <v>172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" customHeight="1" x14ac:dyDescent="0.2">
      <c r="A17" s="99" t="s">
        <v>173</v>
      </c>
      <c r="B17" s="100" t="s">
        <v>174</v>
      </c>
      <c r="C17" s="101">
        <v>0.65</v>
      </c>
      <c r="D17" s="102">
        <v>1.38</v>
      </c>
      <c r="E17" s="102">
        <v>2.37</v>
      </c>
      <c r="F17" s="103">
        <f t="shared" si="0"/>
        <v>1.875</v>
      </c>
      <c r="G17" s="104">
        <f t="shared" si="1"/>
        <v>1.21875</v>
      </c>
      <c r="H17" s="109" t="s">
        <v>162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" customHeight="1" x14ac:dyDescent="0.2">
      <c r="A18" s="99" t="s">
        <v>175</v>
      </c>
      <c r="B18" s="100" t="s">
        <v>147</v>
      </c>
      <c r="C18" s="101">
        <v>0.22</v>
      </c>
      <c r="D18" s="102">
        <v>2.41</v>
      </c>
      <c r="E18" s="102">
        <v>4.2300000000000004</v>
      </c>
      <c r="F18" s="103">
        <f t="shared" si="0"/>
        <v>3.3200000000000003</v>
      </c>
      <c r="G18" s="104">
        <f t="shared" si="1"/>
        <v>0.73040000000000005</v>
      </c>
      <c r="H18" s="109" t="s">
        <v>176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" customHeight="1" x14ac:dyDescent="0.2">
      <c r="A19" s="99" t="s">
        <v>177</v>
      </c>
      <c r="B19" s="100" t="s">
        <v>178</v>
      </c>
      <c r="C19" s="101">
        <v>1.61</v>
      </c>
      <c r="D19" s="102">
        <v>3.57</v>
      </c>
      <c r="E19" s="102">
        <v>3.76</v>
      </c>
      <c r="F19" s="103">
        <f t="shared" si="0"/>
        <v>3.665</v>
      </c>
      <c r="G19" s="104">
        <f t="shared" si="1"/>
        <v>5.9006500000000006</v>
      </c>
      <c r="H19" s="109" t="s">
        <v>179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" customHeight="1" x14ac:dyDescent="0.2">
      <c r="A20" s="99" t="s">
        <v>180</v>
      </c>
      <c r="B20" s="100" t="s">
        <v>147</v>
      </c>
      <c r="C20" s="101">
        <v>2.2000000000000002</v>
      </c>
      <c r="D20" s="102">
        <v>2.5299999999999998</v>
      </c>
      <c r="E20" s="102">
        <v>3.51</v>
      </c>
      <c r="F20" s="103">
        <f t="shared" si="0"/>
        <v>3.0199999999999996</v>
      </c>
      <c r="G20" s="104">
        <f t="shared" si="1"/>
        <v>6.6439999999999992</v>
      </c>
      <c r="H20" s="109" t="s">
        <v>160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" customHeight="1" x14ac:dyDescent="0.2">
      <c r="A21" s="99" t="s">
        <v>181</v>
      </c>
      <c r="B21" s="100" t="s">
        <v>182</v>
      </c>
      <c r="C21" s="101">
        <v>0.3</v>
      </c>
      <c r="D21" s="102">
        <v>1.87</v>
      </c>
      <c r="E21" s="102">
        <v>2.73</v>
      </c>
      <c r="F21" s="103">
        <f t="shared" si="0"/>
        <v>2.2999999999999998</v>
      </c>
      <c r="G21" s="104">
        <f t="shared" si="1"/>
        <v>0.69</v>
      </c>
      <c r="H21" s="109" t="s">
        <v>148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5" customHeight="1" x14ac:dyDescent="0.2">
      <c r="A22" s="99" t="s">
        <v>183</v>
      </c>
      <c r="B22" s="100" t="s">
        <v>184</v>
      </c>
      <c r="C22" s="101">
        <v>2.2999999999999998</v>
      </c>
      <c r="D22" s="102">
        <v>4.3</v>
      </c>
      <c r="E22" s="102">
        <v>5.1100000000000003</v>
      </c>
      <c r="F22" s="103">
        <f t="shared" si="0"/>
        <v>4.7050000000000001</v>
      </c>
      <c r="G22" s="104">
        <f t="shared" si="1"/>
        <v>10.821499999999999</v>
      </c>
      <c r="H22" s="109" t="s">
        <v>160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" customHeight="1" x14ac:dyDescent="0.2">
      <c r="A23" s="99" t="s">
        <v>185</v>
      </c>
      <c r="B23" s="100" t="s">
        <v>164</v>
      </c>
      <c r="C23" s="101">
        <v>1.48</v>
      </c>
      <c r="D23" s="102">
        <v>7.44</v>
      </c>
      <c r="E23" s="102">
        <v>7.96</v>
      </c>
      <c r="F23" s="103">
        <f t="shared" si="0"/>
        <v>7.7</v>
      </c>
      <c r="G23" s="104">
        <f t="shared" si="1"/>
        <v>11.396000000000001</v>
      </c>
      <c r="H23" s="109" t="s">
        <v>162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" customHeight="1" x14ac:dyDescent="0.2">
      <c r="A24" s="99" t="s">
        <v>186</v>
      </c>
      <c r="B24" s="100" t="s">
        <v>164</v>
      </c>
      <c r="C24" s="101">
        <v>2.58</v>
      </c>
      <c r="D24" s="102">
        <v>3.37</v>
      </c>
      <c r="E24" s="102">
        <v>4.33</v>
      </c>
      <c r="F24" s="103">
        <f t="shared" si="0"/>
        <v>3.85</v>
      </c>
      <c r="G24" s="104">
        <f t="shared" si="1"/>
        <v>9.9329999999999998</v>
      </c>
      <c r="H24" s="109" t="s">
        <v>160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" customHeight="1" x14ac:dyDescent="0.2">
      <c r="A25" s="99" t="s">
        <v>187</v>
      </c>
      <c r="B25" s="100" t="s">
        <v>188</v>
      </c>
      <c r="C25" s="101">
        <v>0.62</v>
      </c>
      <c r="D25" s="102">
        <v>59.32</v>
      </c>
      <c r="E25" s="102">
        <v>74.08</v>
      </c>
      <c r="F25" s="103">
        <f t="shared" si="0"/>
        <v>66.7</v>
      </c>
      <c r="G25" s="104">
        <f t="shared" si="1"/>
        <v>41.353999999999999</v>
      </c>
      <c r="H25" s="109" t="s">
        <v>162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" customHeight="1" x14ac:dyDescent="0.2">
      <c r="A26" s="99" t="s">
        <v>189</v>
      </c>
      <c r="B26" s="100" t="s">
        <v>190</v>
      </c>
      <c r="C26" s="101">
        <v>2.41</v>
      </c>
      <c r="D26" s="102">
        <v>27.95</v>
      </c>
      <c r="E26" s="102">
        <v>26.37</v>
      </c>
      <c r="F26" s="103">
        <f t="shared" si="0"/>
        <v>27.16</v>
      </c>
      <c r="G26" s="104">
        <f t="shared" si="1"/>
        <v>65.455600000000004</v>
      </c>
      <c r="H26" s="109" t="s">
        <v>162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" customHeight="1" x14ac:dyDescent="0.2">
      <c r="A27" s="99" t="s">
        <v>191</v>
      </c>
      <c r="B27" s="100" t="s">
        <v>192</v>
      </c>
      <c r="C27" s="101">
        <v>5.88</v>
      </c>
      <c r="D27" s="102">
        <v>10.61</v>
      </c>
      <c r="E27" s="102">
        <v>9.8000000000000007</v>
      </c>
      <c r="F27" s="103">
        <f t="shared" si="0"/>
        <v>10.205</v>
      </c>
      <c r="G27" s="104">
        <f t="shared" si="1"/>
        <v>60.005400000000002</v>
      </c>
      <c r="H27" s="109" t="s">
        <v>162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" customHeight="1" x14ac:dyDescent="0.2">
      <c r="A28" s="99" t="s">
        <v>193</v>
      </c>
      <c r="B28" s="100" t="s">
        <v>194</v>
      </c>
      <c r="C28" s="101">
        <v>2.75</v>
      </c>
      <c r="D28" s="102">
        <v>1.37</v>
      </c>
      <c r="E28" s="102">
        <v>1.22</v>
      </c>
      <c r="F28" s="103">
        <f t="shared" si="0"/>
        <v>1.2949999999999999</v>
      </c>
      <c r="G28" s="104">
        <f t="shared" si="1"/>
        <v>3.5612499999999998</v>
      </c>
      <c r="H28" s="109" t="s">
        <v>162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" customHeight="1" x14ac:dyDescent="0.2">
      <c r="A29" s="99" t="s">
        <v>195</v>
      </c>
      <c r="B29" s="100" t="s">
        <v>153</v>
      </c>
      <c r="C29" s="101">
        <v>0.67</v>
      </c>
      <c r="D29" s="102">
        <v>19.739999999999998</v>
      </c>
      <c r="E29" s="102">
        <v>20.96</v>
      </c>
      <c r="F29" s="103">
        <f t="shared" si="0"/>
        <v>20.350000000000001</v>
      </c>
      <c r="G29" s="104">
        <f t="shared" si="1"/>
        <v>13.634500000000001</v>
      </c>
      <c r="H29" s="109" t="s">
        <v>160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" customHeight="1" x14ac:dyDescent="0.2">
      <c r="A30" s="99" t="s">
        <v>196</v>
      </c>
      <c r="B30" s="100" t="s">
        <v>164</v>
      </c>
      <c r="C30" s="101">
        <v>1.2</v>
      </c>
      <c r="D30" s="102">
        <v>1.19</v>
      </c>
      <c r="E30" s="102">
        <v>2.75</v>
      </c>
      <c r="F30" s="103">
        <f t="shared" si="0"/>
        <v>1.97</v>
      </c>
      <c r="G30" s="104">
        <f t="shared" si="1"/>
        <v>2.3639999999999999</v>
      </c>
      <c r="H30" s="109" t="s">
        <v>160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5" customHeight="1" x14ac:dyDescent="0.2">
      <c r="A31" s="99" t="s">
        <v>197</v>
      </c>
      <c r="B31" s="100" t="s">
        <v>198</v>
      </c>
      <c r="C31" s="101">
        <v>0.79</v>
      </c>
      <c r="D31" s="102">
        <v>4.72</v>
      </c>
      <c r="E31" s="102">
        <v>4.93</v>
      </c>
      <c r="F31" s="103">
        <f t="shared" si="0"/>
        <v>4.8249999999999993</v>
      </c>
      <c r="G31" s="104">
        <f t="shared" si="1"/>
        <v>3.8117499999999995</v>
      </c>
      <c r="H31" s="109" t="s">
        <v>160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5" customHeight="1" x14ac:dyDescent="0.2">
      <c r="A32" s="99" t="s">
        <v>199</v>
      </c>
      <c r="B32" s="100" t="s">
        <v>153</v>
      </c>
      <c r="C32" s="101">
        <v>0.77</v>
      </c>
      <c r="D32" s="102">
        <v>16.22</v>
      </c>
      <c r="E32" s="102">
        <v>25.11</v>
      </c>
      <c r="F32" s="103">
        <f t="shared" si="0"/>
        <v>20.664999999999999</v>
      </c>
      <c r="G32" s="104">
        <f t="shared" si="1"/>
        <v>15.912049999999999</v>
      </c>
      <c r="H32" s="109" t="s">
        <v>162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5" customHeight="1" x14ac:dyDescent="0.2">
      <c r="A33" s="99" t="s">
        <v>200</v>
      </c>
      <c r="B33" s="100" t="s">
        <v>164</v>
      </c>
      <c r="C33" s="101">
        <v>1.53</v>
      </c>
      <c r="D33" s="102">
        <v>3.47</v>
      </c>
      <c r="E33" s="102">
        <v>4.25</v>
      </c>
      <c r="F33" s="103">
        <f t="shared" si="0"/>
        <v>3.8600000000000003</v>
      </c>
      <c r="G33" s="104">
        <f t="shared" si="1"/>
        <v>5.9058000000000002</v>
      </c>
      <c r="H33" s="109" t="s">
        <v>201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5" customHeight="1" x14ac:dyDescent="0.2">
      <c r="A34" s="99" t="s">
        <v>202</v>
      </c>
      <c r="B34" s="100" t="s">
        <v>203</v>
      </c>
      <c r="C34" s="101">
        <v>0.68</v>
      </c>
      <c r="D34" s="102">
        <v>14.06</v>
      </c>
      <c r="E34" s="102">
        <v>17.690000000000001</v>
      </c>
      <c r="F34" s="103">
        <f t="shared" si="0"/>
        <v>15.875</v>
      </c>
      <c r="G34" s="104">
        <f t="shared" si="1"/>
        <v>10.795</v>
      </c>
      <c r="H34" s="109" t="s">
        <v>204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5" customHeight="1" x14ac:dyDescent="0.2">
      <c r="A35" s="99" t="s">
        <v>205</v>
      </c>
      <c r="B35" s="100" t="s">
        <v>203</v>
      </c>
      <c r="C35" s="101">
        <v>0.65</v>
      </c>
      <c r="D35" s="102">
        <v>14.34</v>
      </c>
      <c r="E35" s="102">
        <v>19.29</v>
      </c>
      <c r="F35" s="103">
        <f t="shared" si="0"/>
        <v>16.814999999999998</v>
      </c>
      <c r="G35" s="104">
        <f t="shared" si="1"/>
        <v>10.929749999999999</v>
      </c>
      <c r="H35" s="109" t="s">
        <v>204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" customHeight="1" x14ac:dyDescent="0.2">
      <c r="A36" s="113" t="s">
        <v>206</v>
      </c>
      <c r="B36" s="114" t="s">
        <v>203</v>
      </c>
      <c r="C36" s="115">
        <v>1.02</v>
      </c>
      <c r="D36" s="116">
        <v>24.89</v>
      </c>
      <c r="E36" s="116">
        <v>25.63</v>
      </c>
      <c r="F36" s="117">
        <f t="shared" si="0"/>
        <v>25.259999999999998</v>
      </c>
      <c r="G36" s="118">
        <f t="shared" si="1"/>
        <v>25.7652</v>
      </c>
      <c r="H36" s="119" t="s">
        <v>160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20.25" customHeight="1" x14ac:dyDescent="0.2">
      <c r="A37" s="824" t="s">
        <v>207</v>
      </c>
      <c r="B37" s="824"/>
      <c r="C37" s="824"/>
      <c r="D37" s="824"/>
      <c r="E37" s="824"/>
      <c r="F37" s="824"/>
      <c r="G37" s="120">
        <f>SUM(G3:G36)</f>
        <v>409.79379999999998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0.25" customHeight="1" x14ac:dyDescent="0.2">
      <c r="A38" s="823" t="s">
        <v>208</v>
      </c>
      <c r="B38" s="823"/>
      <c r="C38" s="823"/>
      <c r="D38" s="823"/>
      <c r="E38" s="823"/>
      <c r="F38" s="823"/>
      <c r="G38" s="823"/>
      <c r="H38" s="82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45.75" customHeight="1" x14ac:dyDescent="0.2">
      <c r="A39" s="91" t="s">
        <v>130</v>
      </c>
      <c r="B39" s="92" t="s">
        <v>131</v>
      </c>
      <c r="C39" s="92" t="s">
        <v>209</v>
      </c>
      <c r="D39" s="92" t="s">
        <v>133</v>
      </c>
      <c r="E39" s="92" t="s">
        <v>134</v>
      </c>
      <c r="F39" s="93" t="s">
        <v>135</v>
      </c>
      <c r="G39" s="121" t="s">
        <v>210</v>
      </c>
      <c r="H39" s="122" t="s">
        <v>137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" customHeight="1" x14ac:dyDescent="0.2">
      <c r="A40" s="123" t="s">
        <v>211</v>
      </c>
      <c r="B40" s="124" t="s">
        <v>164</v>
      </c>
      <c r="C40" s="101">
        <v>3.19</v>
      </c>
      <c r="D40" s="125">
        <v>9.91</v>
      </c>
      <c r="E40" s="125">
        <v>7.95</v>
      </c>
      <c r="F40" s="103">
        <f t="shared" ref="F40:F58" si="2">(D40+E40)/2</f>
        <v>8.93</v>
      </c>
      <c r="G40" s="126">
        <f t="shared" ref="G40:G58" si="3">C40*F40/12</f>
        <v>2.3738916666666667</v>
      </c>
      <c r="H40" s="127" t="s">
        <v>160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" customHeight="1" x14ac:dyDescent="0.2">
      <c r="A41" s="128" t="s">
        <v>212</v>
      </c>
      <c r="B41" s="129" t="s">
        <v>164</v>
      </c>
      <c r="C41" s="101">
        <v>0.75</v>
      </c>
      <c r="D41" s="125">
        <v>5.96</v>
      </c>
      <c r="E41" s="125">
        <v>3.96</v>
      </c>
      <c r="F41" s="103">
        <f t="shared" si="2"/>
        <v>4.96</v>
      </c>
      <c r="G41" s="126">
        <f t="shared" si="3"/>
        <v>0.31</v>
      </c>
      <c r="H41" s="130" t="s">
        <v>162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" customHeight="1" x14ac:dyDescent="0.2">
      <c r="A42" s="128" t="s">
        <v>213</v>
      </c>
      <c r="B42" s="129" t="s">
        <v>164</v>
      </c>
      <c r="C42" s="101">
        <v>0.75</v>
      </c>
      <c r="D42" s="125">
        <v>7.93</v>
      </c>
      <c r="E42" s="125">
        <v>5.84</v>
      </c>
      <c r="F42" s="103">
        <f t="shared" si="2"/>
        <v>6.8849999999999998</v>
      </c>
      <c r="G42" s="126">
        <f t="shared" si="3"/>
        <v>0.43031250000000004</v>
      </c>
      <c r="H42" s="130" t="s">
        <v>162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" customHeight="1" x14ac:dyDescent="0.2">
      <c r="A43" s="128" t="s">
        <v>214</v>
      </c>
      <c r="B43" s="129" t="s">
        <v>164</v>
      </c>
      <c r="C43" s="101">
        <v>1.94</v>
      </c>
      <c r="D43" s="125">
        <v>22.32</v>
      </c>
      <c r="E43" s="125">
        <v>19.21</v>
      </c>
      <c r="F43" s="103">
        <f t="shared" si="2"/>
        <v>20.765000000000001</v>
      </c>
      <c r="G43" s="126">
        <f t="shared" si="3"/>
        <v>3.3570083333333334</v>
      </c>
      <c r="H43" s="130" t="s">
        <v>160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" customHeight="1" x14ac:dyDescent="0.2">
      <c r="A44" s="128" t="s">
        <v>215</v>
      </c>
      <c r="B44" s="129" t="s">
        <v>164</v>
      </c>
      <c r="C44" s="101">
        <v>2.85</v>
      </c>
      <c r="D44" s="125">
        <v>4.12</v>
      </c>
      <c r="E44" s="125">
        <v>6.08</v>
      </c>
      <c r="F44" s="103">
        <f t="shared" si="2"/>
        <v>5.0999999999999996</v>
      </c>
      <c r="G44" s="126">
        <f t="shared" si="3"/>
        <v>1.2112499999999999</v>
      </c>
      <c r="H44" s="130" t="s">
        <v>162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5" customHeight="1" x14ac:dyDescent="0.2">
      <c r="A45" s="128" t="s">
        <v>216</v>
      </c>
      <c r="B45" s="129" t="s">
        <v>164</v>
      </c>
      <c r="C45" s="101">
        <v>0.64</v>
      </c>
      <c r="D45" s="125">
        <v>47.9</v>
      </c>
      <c r="E45" s="125">
        <v>50.35</v>
      </c>
      <c r="F45" s="103">
        <f t="shared" si="2"/>
        <v>49.125</v>
      </c>
      <c r="G45" s="126">
        <f t="shared" si="3"/>
        <v>2.62</v>
      </c>
      <c r="H45" s="130" t="s">
        <v>160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" customHeight="1" x14ac:dyDescent="0.2">
      <c r="A46" s="128" t="s">
        <v>217</v>
      </c>
      <c r="B46" s="129" t="s">
        <v>164</v>
      </c>
      <c r="C46" s="101">
        <v>1.6</v>
      </c>
      <c r="D46" s="125">
        <v>2.4500000000000002</v>
      </c>
      <c r="E46" s="125">
        <v>4.96</v>
      </c>
      <c r="F46" s="103">
        <f t="shared" si="2"/>
        <v>3.7050000000000001</v>
      </c>
      <c r="G46" s="126">
        <f t="shared" si="3"/>
        <v>0.49400000000000005</v>
      </c>
      <c r="H46" s="130" t="s">
        <v>201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" customHeight="1" x14ac:dyDescent="0.2">
      <c r="A47" s="128" t="s">
        <v>218</v>
      </c>
      <c r="B47" s="129" t="s">
        <v>164</v>
      </c>
      <c r="C47" s="101">
        <v>0.92</v>
      </c>
      <c r="D47" s="125">
        <v>14.49</v>
      </c>
      <c r="E47" s="125">
        <v>14.32</v>
      </c>
      <c r="F47" s="103">
        <f t="shared" si="2"/>
        <v>14.405000000000001</v>
      </c>
      <c r="G47" s="126">
        <f t="shared" si="3"/>
        <v>1.1043833333333335</v>
      </c>
      <c r="H47" s="130" t="s">
        <v>160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" customHeight="1" x14ac:dyDescent="0.2">
      <c r="A48" s="128" t="s">
        <v>219</v>
      </c>
      <c r="B48" s="129" t="s">
        <v>164</v>
      </c>
      <c r="C48" s="101">
        <v>1</v>
      </c>
      <c r="D48" s="125">
        <v>57.07</v>
      </c>
      <c r="E48" s="125">
        <v>56.66</v>
      </c>
      <c r="F48" s="103">
        <f t="shared" si="2"/>
        <v>56.864999999999995</v>
      </c>
      <c r="G48" s="126">
        <f t="shared" si="3"/>
        <v>4.7387499999999996</v>
      </c>
      <c r="H48" s="130" t="s">
        <v>204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" customHeight="1" x14ac:dyDescent="0.2">
      <c r="A49" s="128" t="s">
        <v>220</v>
      </c>
      <c r="B49" s="129" t="s">
        <v>164</v>
      </c>
      <c r="C49" s="101">
        <v>2.6</v>
      </c>
      <c r="D49" s="125">
        <v>60.51</v>
      </c>
      <c r="E49" s="125">
        <v>70.319999999999993</v>
      </c>
      <c r="F49" s="103">
        <f t="shared" si="2"/>
        <v>65.414999999999992</v>
      </c>
      <c r="G49" s="126">
        <f t="shared" si="3"/>
        <v>14.173249999999998</v>
      </c>
      <c r="H49" s="130" t="s">
        <v>204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5" customHeight="1" x14ac:dyDescent="0.25">
      <c r="A50" s="131" t="s">
        <v>221</v>
      </c>
      <c r="B50" s="132" t="s">
        <v>164</v>
      </c>
      <c r="C50" s="101">
        <v>4</v>
      </c>
      <c r="D50" s="125">
        <v>17.62</v>
      </c>
      <c r="E50" s="125">
        <v>15.64</v>
      </c>
      <c r="F50" s="103">
        <f t="shared" si="2"/>
        <v>16.630000000000003</v>
      </c>
      <c r="G50" s="126">
        <f t="shared" si="3"/>
        <v>5.5433333333333339</v>
      </c>
      <c r="H50" s="133" t="s">
        <v>204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5" customHeight="1" x14ac:dyDescent="0.2">
      <c r="A51" s="128" t="s">
        <v>222</v>
      </c>
      <c r="B51" s="129" t="s">
        <v>164</v>
      </c>
      <c r="C51" s="101">
        <v>1</v>
      </c>
      <c r="D51" s="125">
        <v>3.44</v>
      </c>
      <c r="E51" s="125">
        <v>5.94</v>
      </c>
      <c r="F51" s="103">
        <f t="shared" si="2"/>
        <v>4.6900000000000004</v>
      </c>
      <c r="G51" s="126">
        <f t="shared" si="3"/>
        <v>0.39083333333333337</v>
      </c>
      <c r="H51" s="130" t="s">
        <v>160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5" customHeight="1" x14ac:dyDescent="0.2">
      <c r="A52" s="128" t="s">
        <v>223</v>
      </c>
      <c r="B52" s="129" t="s">
        <v>164</v>
      </c>
      <c r="C52" s="101">
        <v>1.24</v>
      </c>
      <c r="D52" s="125">
        <v>8.2799999999999994</v>
      </c>
      <c r="E52" s="125">
        <v>11.02</v>
      </c>
      <c r="F52" s="103">
        <f t="shared" si="2"/>
        <v>9.6499999999999986</v>
      </c>
      <c r="G52" s="126">
        <f t="shared" si="3"/>
        <v>0.99716666666666642</v>
      </c>
      <c r="H52" s="130" t="s">
        <v>179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5" customHeight="1" x14ac:dyDescent="0.2">
      <c r="A53" s="128" t="s">
        <v>224</v>
      </c>
      <c r="B53" s="129" t="s">
        <v>164</v>
      </c>
      <c r="C53" s="101">
        <v>3.85</v>
      </c>
      <c r="D53" s="125">
        <v>9.34</v>
      </c>
      <c r="E53" s="125">
        <v>11.3</v>
      </c>
      <c r="F53" s="103">
        <f t="shared" si="2"/>
        <v>10.32</v>
      </c>
      <c r="G53" s="126">
        <f t="shared" si="3"/>
        <v>3.3109999999999999</v>
      </c>
      <c r="H53" s="130" t="s">
        <v>204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5" customHeight="1" x14ac:dyDescent="0.2">
      <c r="A54" s="128" t="s">
        <v>225</v>
      </c>
      <c r="B54" s="129" t="s">
        <v>226</v>
      </c>
      <c r="C54" s="101">
        <v>0.64</v>
      </c>
      <c r="D54" s="125">
        <v>25.29</v>
      </c>
      <c r="E54" s="125">
        <v>18.899999999999999</v>
      </c>
      <c r="F54" s="103">
        <f t="shared" si="2"/>
        <v>22.094999999999999</v>
      </c>
      <c r="G54" s="126">
        <f t="shared" si="3"/>
        <v>1.1783999999999999</v>
      </c>
      <c r="H54" s="130" t="s">
        <v>160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5" customHeight="1" x14ac:dyDescent="0.2">
      <c r="A55" s="128" t="s">
        <v>227</v>
      </c>
      <c r="B55" s="129" t="s">
        <v>164</v>
      </c>
      <c r="C55" s="101">
        <v>1.28</v>
      </c>
      <c r="D55" s="125">
        <v>24.28</v>
      </c>
      <c r="E55" s="125">
        <v>27.24</v>
      </c>
      <c r="F55" s="103">
        <f t="shared" si="2"/>
        <v>25.759999999999998</v>
      </c>
      <c r="G55" s="126">
        <f t="shared" si="3"/>
        <v>2.7477333333333331</v>
      </c>
      <c r="H55" s="130" t="s">
        <v>228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5" customHeight="1" x14ac:dyDescent="0.2">
      <c r="A56" s="128" t="s">
        <v>229</v>
      </c>
      <c r="B56" s="129" t="s">
        <v>164</v>
      </c>
      <c r="C56" s="101">
        <v>0.99</v>
      </c>
      <c r="D56" s="125">
        <v>14.99</v>
      </c>
      <c r="E56" s="125">
        <v>18.84</v>
      </c>
      <c r="F56" s="103">
        <f t="shared" si="2"/>
        <v>16.914999999999999</v>
      </c>
      <c r="G56" s="126">
        <f t="shared" si="3"/>
        <v>1.3954874999999998</v>
      </c>
      <c r="H56" s="130" t="s">
        <v>230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5" customHeight="1" x14ac:dyDescent="0.2">
      <c r="A57" s="128" t="s">
        <v>231</v>
      </c>
      <c r="B57" s="129" t="s">
        <v>164</v>
      </c>
      <c r="C57" s="101">
        <v>3.9</v>
      </c>
      <c r="D57" s="125">
        <v>7.91</v>
      </c>
      <c r="E57" s="125">
        <v>8.61</v>
      </c>
      <c r="F57" s="103">
        <f t="shared" si="2"/>
        <v>8.26</v>
      </c>
      <c r="G57" s="126">
        <f t="shared" si="3"/>
        <v>2.6844999999999999</v>
      </c>
      <c r="H57" s="130" t="s">
        <v>232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5" customHeight="1" x14ac:dyDescent="0.2">
      <c r="A58" s="134" t="s">
        <v>233</v>
      </c>
      <c r="B58" s="135" t="s">
        <v>164</v>
      </c>
      <c r="C58" s="101">
        <v>1.48</v>
      </c>
      <c r="D58" s="136">
        <v>16.07</v>
      </c>
      <c r="E58" s="136">
        <v>22.46</v>
      </c>
      <c r="F58" s="117">
        <f t="shared" si="2"/>
        <v>19.265000000000001</v>
      </c>
      <c r="G58" s="137">
        <f t="shared" si="3"/>
        <v>2.3760166666666667</v>
      </c>
      <c r="H58" s="138" t="s">
        <v>160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0.25" customHeight="1" x14ac:dyDescent="0.2">
      <c r="A59" s="824" t="s">
        <v>234</v>
      </c>
      <c r="B59" s="824"/>
      <c r="C59" s="824"/>
      <c r="D59" s="824"/>
      <c r="E59" s="824"/>
      <c r="F59" s="824"/>
      <c r="G59" s="120">
        <f>SUM(G40:G58)</f>
        <v>51.437316666666661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20.25" customHeight="1" x14ac:dyDescent="0.2">
      <c r="A60" s="824" t="s">
        <v>235</v>
      </c>
      <c r="B60" s="824"/>
      <c r="C60" s="824"/>
      <c r="D60" s="824"/>
      <c r="E60" s="824"/>
      <c r="F60" s="824"/>
      <c r="G60" s="139">
        <f>G59+G37</f>
        <v>461.23111666666665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">
      <c r="A61" s="140"/>
      <c r="B61" s="141"/>
      <c r="C61" s="141"/>
      <c r="D61" s="141"/>
      <c r="E61" s="141"/>
      <c r="F61" s="141"/>
      <c r="G61" s="141"/>
      <c r="H61" s="142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20.25" customHeight="1" x14ac:dyDescent="0.2">
      <c r="A62" s="823" t="s">
        <v>236</v>
      </c>
      <c r="B62" s="823"/>
      <c r="C62" s="823"/>
      <c r="D62" s="823"/>
      <c r="E62" s="823"/>
      <c r="F62" s="823"/>
      <c r="G62" s="823"/>
      <c r="H62" s="82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54.75" customHeight="1" x14ac:dyDescent="0.2">
      <c r="A63" s="143" t="s">
        <v>130</v>
      </c>
      <c r="B63" s="144" t="s">
        <v>131</v>
      </c>
      <c r="C63" s="144" t="s">
        <v>237</v>
      </c>
      <c r="D63" s="92" t="s">
        <v>238</v>
      </c>
      <c r="E63" s="92" t="s">
        <v>134</v>
      </c>
      <c r="F63" s="93" t="s">
        <v>135</v>
      </c>
      <c r="G63" s="94" t="s">
        <v>239</v>
      </c>
      <c r="H63" s="145" t="s">
        <v>137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5" customHeight="1" x14ac:dyDescent="0.2">
      <c r="A64" s="131" t="s">
        <v>240</v>
      </c>
      <c r="B64" s="129" t="s">
        <v>140</v>
      </c>
      <c r="C64" s="146">
        <f>0.1*22</f>
        <v>2.2000000000000002</v>
      </c>
      <c r="D64" s="125">
        <v>36.18</v>
      </c>
      <c r="E64" s="125">
        <v>34.57</v>
      </c>
      <c r="F64" s="103">
        <f>(D64+E64)/2</f>
        <v>35.375</v>
      </c>
      <c r="G64" s="104">
        <f>C64*F64</f>
        <v>77.825000000000003</v>
      </c>
      <c r="H64" s="109" t="s">
        <v>241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5" customHeight="1" x14ac:dyDescent="0.2">
      <c r="A65" s="147" t="s">
        <v>150</v>
      </c>
      <c r="B65" s="129" t="s">
        <v>140</v>
      </c>
      <c r="C65" s="146">
        <f>0.5*22</f>
        <v>11</v>
      </c>
      <c r="D65" s="125">
        <v>7.25</v>
      </c>
      <c r="E65" s="125">
        <v>6.84</v>
      </c>
      <c r="F65" s="103">
        <f>(D65+E65)/2</f>
        <v>7.0449999999999999</v>
      </c>
      <c r="G65" s="104">
        <f>C65*F65</f>
        <v>77.495000000000005</v>
      </c>
      <c r="H65" s="109" t="s">
        <v>148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5" customHeight="1" x14ac:dyDescent="0.2">
      <c r="A66" s="148" t="s">
        <v>169</v>
      </c>
      <c r="B66" s="135" t="s">
        <v>164</v>
      </c>
      <c r="C66" s="146">
        <v>4</v>
      </c>
      <c r="D66" s="125">
        <v>1.64</v>
      </c>
      <c r="E66" s="125">
        <v>2.9</v>
      </c>
      <c r="F66" s="103">
        <f>(D66+E66)/2</f>
        <v>2.27</v>
      </c>
      <c r="G66" s="104">
        <f>C66*F66</f>
        <v>9.08</v>
      </c>
      <c r="H66" s="149" t="s">
        <v>242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5" customHeight="1" x14ac:dyDescent="0.2">
      <c r="A67" s="150" t="s">
        <v>243</v>
      </c>
      <c r="B67" s="129" t="s">
        <v>203</v>
      </c>
      <c r="C67" s="146">
        <f>4*2*22</f>
        <v>176</v>
      </c>
      <c r="D67" s="136">
        <v>0.44</v>
      </c>
      <c r="E67" s="136">
        <v>0.46</v>
      </c>
      <c r="F67" s="103">
        <f>(D67+E67)/2</f>
        <v>0.45</v>
      </c>
      <c r="G67" s="104">
        <f>C67*F67</f>
        <v>79.2</v>
      </c>
      <c r="H67" s="149" t="s">
        <v>244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5.25" customHeight="1" x14ac:dyDescent="0.2">
      <c r="A68" s="143" t="s">
        <v>130</v>
      </c>
      <c r="B68" s="144" t="s">
        <v>131</v>
      </c>
      <c r="C68" s="144" t="s">
        <v>245</v>
      </c>
      <c r="D68" s="144" t="s">
        <v>238</v>
      </c>
      <c r="E68" s="144" t="s">
        <v>134</v>
      </c>
      <c r="F68" s="151" t="s">
        <v>135</v>
      </c>
      <c r="G68" s="94" t="s">
        <v>239</v>
      </c>
      <c r="H68" s="145" t="s">
        <v>137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5" customHeight="1" x14ac:dyDescent="0.2">
      <c r="A69" s="123" t="s">
        <v>246</v>
      </c>
      <c r="B69" s="124" t="s">
        <v>164</v>
      </c>
      <c r="C69" s="146">
        <f>2*4</f>
        <v>8</v>
      </c>
      <c r="D69" s="125">
        <v>5.0999999999999996</v>
      </c>
      <c r="E69" s="125">
        <v>5.45</v>
      </c>
      <c r="F69" s="103">
        <f>(D69+E69)/2</f>
        <v>5.2750000000000004</v>
      </c>
      <c r="G69" s="137">
        <f>C69*F69/12</f>
        <v>3.5166666666666671</v>
      </c>
      <c r="H69" s="138" t="s">
        <v>244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20.25" customHeight="1" x14ac:dyDescent="0.2">
      <c r="A70" s="825" t="s">
        <v>247</v>
      </c>
      <c r="B70" s="825"/>
      <c r="C70" s="825"/>
      <c r="D70" s="825"/>
      <c r="E70" s="825"/>
      <c r="F70" s="825"/>
      <c r="G70" s="152">
        <f>G64+G65+G66+G67+G69</f>
        <v>247.1166666666667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">
      <c r="A71" s="140"/>
      <c r="B71" s="141"/>
      <c r="C71" s="141"/>
      <c r="D71" s="141"/>
      <c r="E71" s="141"/>
      <c r="F71" s="141"/>
      <c r="G71" s="141"/>
      <c r="H71" s="141"/>
      <c r="I71" s="14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">
      <c r="A72" s="141" t="s">
        <v>248</v>
      </c>
      <c r="B72" s="141"/>
      <c r="C72" s="141"/>
      <c r="D72" s="141"/>
      <c r="E72" s="153"/>
      <c r="F72" s="141"/>
      <c r="G72" s="141"/>
      <c r="H72" s="142"/>
      <c r="I72" s="14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">
      <c r="A73" s="141"/>
      <c r="B73" s="141"/>
      <c r="C73" s="141"/>
      <c r="D73" s="141"/>
      <c r="E73" s="153"/>
      <c r="F73" s="141"/>
      <c r="G73" s="153"/>
      <c r="H73" s="142"/>
      <c r="I73" s="142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">
      <c r="A74" s="141" t="s">
        <v>249</v>
      </c>
      <c r="B74" s="141"/>
      <c r="C74" s="141"/>
      <c r="D74" s="141"/>
      <c r="E74" s="141"/>
      <c r="F74" s="141"/>
      <c r="G74" s="141"/>
      <c r="H74" s="141"/>
      <c r="I74" s="141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">
      <c r="A75" s="141" t="s">
        <v>250</v>
      </c>
      <c r="B75" s="141"/>
      <c r="C75" s="141"/>
      <c r="D75" s="141"/>
      <c r="E75" s="141"/>
      <c r="F75" s="141"/>
      <c r="G75" s="141"/>
      <c r="H75" s="153"/>
      <c r="I75" s="153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">
      <c r="A76" s="141" t="s">
        <v>251</v>
      </c>
      <c r="B76" s="141"/>
      <c r="C76" s="141"/>
      <c r="D76" s="141"/>
      <c r="E76" s="141"/>
      <c r="F76" s="141"/>
      <c r="G76" s="141"/>
      <c r="H76" s="154"/>
      <c r="I76" s="154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2">
      <c r="A77" s="141" t="s">
        <v>252</v>
      </c>
      <c r="B77" s="141"/>
      <c r="C77" s="141"/>
      <c r="D77" s="141"/>
      <c r="E77" s="141"/>
      <c r="F77" s="141"/>
      <c r="G77" s="141"/>
      <c r="H77" s="153"/>
      <c r="I77" s="153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2">
      <c r="A78" s="141" t="s">
        <v>253</v>
      </c>
      <c r="B78" s="141"/>
      <c r="C78" s="141"/>
      <c r="D78" s="141"/>
      <c r="E78" s="141"/>
      <c r="F78" s="141"/>
      <c r="G78" s="141"/>
      <c r="H78" s="141"/>
      <c r="I78" s="141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">
      <c r="A79" s="141" t="s">
        <v>254</v>
      </c>
      <c r="B79" s="141"/>
      <c r="C79" s="141"/>
      <c r="D79" s="141"/>
      <c r="E79" s="141"/>
      <c r="F79" s="141"/>
      <c r="G79" s="141"/>
      <c r="H79" s="141"/>
      <c r="I79" s="141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">
      <c r="A80" s="141" t="s">
        <v>255</v>
      </c>
      <c r="B80" s="141"/>
      <c r="C80" s="141"/>
      <c r="D80" s="141"/>
      <c r="E80" s="141"/>
      <c r="F80" s="141"/>
      <c r="G80" s="141"/>
      <c r="H80" s="141"/>
      <c r="I80" s="141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">
      <c r="A81" s="141" t="s">
        <v>256</v>
      </c>
      <c r="B81" s="141"/>
      <c r="C81" s="141"/>
      <c r="D81" s="141"/>
      <c r="E81" s="141"/>
      <c r="F81" s="141"/>
      <c r="G81" s="141"/>
      <c r="H81" s="141"/>
      <c r="I81" s="14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">
      <c r="A82" s="141" t="s">
        <v>257</v>
      </c>
      <c r="B82" s="141"/>
      <c r="C82" s="141"/>
      <c r="D82" s="141"/>
      <c r="E82" s="141"/>
      <c r="F82" s="141"/>
      <c r="G82" s="141"/>
      <c r="H82" s="141"/>
      <c r="I82" s="141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">
      <c r="A83" s="141" t="s">
        <v>258</v>
      </c>
      <c r="B83" s="141"/>
      <c r="C83" s="141"/>
      <c r="D83" s="141"/>
      <c r="E83" s="141"/>
      <c r="F83" s="141"/>
      <c r="G83" s="141"/>
      <c r="H83" s="141"/>
      <c r="I83" s="141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">
      <c r="A84" s="140"/>
      <c r="B84" s="141"/>
      <c r="C84" s="141"/>
      <c r="D84" s="141"/>
      <c r="E84" s="141"/>
      <c r="F84" s="141"/>
      <c r="G84" s="141"/>
      <c r="H84" s="141"/>
      <c r="I84" s="141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">
      <c r="A85" s="140"/>
      <c r="B85" s="141"/>
      <c r="C85" s="141"/>
      <c r="D85" s="141"/>
      <c r="E85" s="141"/>
      <c r="F85" s="141"/>
      <c r="G85" s="141"/>
      <c r="H85" s="141"/>
      <c r="I85" s="141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20.25" customHeight="1" x14ac:dyDescent="0.2">
      <c r="A86" s="826" t="s">
        <v>259</v>
      </c>
      <c r="B86" s="826"/>
      <c r="C86" s="826"/>
      <c r="D86" s="826"/>
      <c r="E86" s="826"/>
      <c r="F86" s="826"/>
      <c r="G86" s="826"/>
      <c r="H86" s="826"/>
      <c r="I86" s="826"/>
      <c r="J86" s="826"/>
      <c r="K86" s="82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s="159" customFormat="1" ht="36" x14ac:dyDescent="0.2">
      <c r="A87" s="155" t="s">
        <v>130</v>
      </c>
      <c r="B87" s="156" t="s">
        <v>131</v>
      </c>
      <c r="C87" s="156" t="s">
        <v>260</v>
      </c>
      <c r="D87" s="156" t="s">
        <v>261</v>
      </c>
      <c r="E87" s="156" t="s">
        <v>262</v>
      </c>
      <c r="F87" s="156" t="s">
        <v>238</v>
      </c>
      <c r="G87" s="157" t="s">
        <v>134</v>
      </c>
      <c r="H87" s="157" t="s">
        <v>135</v>
      </c>
      <c r="I87" s="158" t="s">
        <v>263</v>
      </c>
      <c r="J87" s="158" t="s">
        <v>264</v>
      </c>
      <c r="K87" s="158" t="s">
        <v>265</v>
      </c>
    </row>
    <row r="88" spans="1:1024" ht="15" customHeight="1" x14ac:dyDescent="0.2">
      <c r="A88" s="147" t="s">
        <v>266</v>
      </c>
      <c r="B88" s="124" t="s">
        <v>164</v>
      </c>
      <c r="C88" s="124">
        <v>13</v>
      </c>
      <c r="D88" s="124">
        <v>14</v>
      </c>
      <c r="E88" s="124">
        <v>10</v>
      </c>
      <c r="F88" s="125">
        <v>397.54</v>
      </c>
      <c r="G88" s="160">
        <v>249.3</v>
      </c>
      <c r="H88" s="103">
        <f t="shared" ref="H88:H96" si="4">(F88+G88)/2</f>
        <v>323.42</v>
      </c>
      <c r="I88" s="104">
        <f t="shared" ref="I88:I97" si="5">(C88*H88)</f>
        <v>4204.46</v>
      </c>
      <c r="J88" s="104">
        <f t="shared" ref="J88:J97" si="6">(D88*H88)</f>
        <v>4527.88</v>
      </c>
      <c r="K88" s="104">
        <f t="shared" ref="K88:K97" si="7">(E88*H88)</f>
        <v>3234.2000000000003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5" customHeight="1" x14ac:dyDescent="0.2">
      <c r="A89" s="147" t="s">
        <v>267</v>
      </c>
      <c r="B89" s="129" t="s">
        <v>164</v>
      </c>
      <c r="C89" s="124">
        <f>C88</f>
        <v>13</v>
      </c>
      <c r="D89" s="124">
        <f>D88</f>
        <v>14</v>
      </c>
      <c r="E89" s="124">
        <f>E88</f>
        <v>10</v>
      </c>
      <c r="F89" s="125">
        <v>89.63</v>
      </c>
      <c r="G89" s="160">
        <v>94.72</v>
      </c>
      <c r="H89" s="103">
        <f t="shared" si="4"/>
        <v>92.174999999999997</v>
      </c>
      <c r="I89" s="104">
        <f t="shared" si="5"/>
        <v>1198.2749999999999</v>
      </c>
      <c r="J89" s="104">
        <f t="shared" si="6"/>
        <v>1290.45</v>
      </c>
      <c r="K89" s="104">
        <f t="shared" si="7"/>
        <v>921.75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5" customHeight="1" x14ac:dyDescent="0.2">
      <c r="A90" s="147" t="s">
        <v>268</v>
      </c>
      <c r="B90" s="129" t="s">
        <v>164</v>
      </c>
      <c r="C90" s="124">
        <f>C88</f>
        <v>13</v>
      </c>
      <c r="D90" s="124">
        <f>D88</f>
        <v>14</v>
      </c>
      <c r="E90" s="124">
        <f>E88</f>
        <v>10</v>
      </c>
      <c r="F90" s="125">
        <v>762.14</v>
      </c>
      <c r="G90" s="160">
        <v>710.18</v>
      </c>
      <c r="H90" s="103">
        <f t="shared" si="4"/>
        <v>736.16</v>
      </c>
      <c r="I90" s="104">
        <f t="shared" si="5"/>
        <v>9570.08</v>
      </c>
      <c r="J90" s="104">
        <f t="shared" si="6"/>
        <v>10306.24</v>
      </c>
      <c r="K90" s="104">
        <f t="shared" si="7"/>
        <v>7361.5999999999995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5" customHeight="1" x14ac:dyDescent="0.2">
      <c r="A91" s="147" t="s">
        <v>269</v>
      </c>
      <c r="B91" s="129" t="s">
        <v>164</v>
      </c>
      <c r="C91" s="124">
        <f>C88</f>
        <v>13</v>
      </c>
      <c r="D91" s="124">
        <f>D88</f>
        <v>14</v>
      </c>
      <c r="E91" s="124">
        <f>E88</f>
        <v>10</v>
      </c>
      <c r="F91" s="125">
        <v>1854.64</v>
      </c>
      <c r="G91" s="160">
        <v>1694.57</v>
      </c>
      <c r="H91" s="103">
        <f t="shared" si="4"/>
        <v>1774.605</v>
      </c>
      <c r="I91" s="104">
        <f t="shared" si="5"/>
        <v>23069.865000000002</v>
      </c>
      <c r="J91" s="104">
        <f t="shared" si="6"/>
        <v>24844.47</v>
      </c>
      <c r="K91" s="104">
        <f t="shared" si="7"/>
        <v>17746.05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5" customHeight="1" x14ac:dyDescent="0.2">
      <c r="A92" s="147" t="s">
        <v>270</v>
      </c>
      <c r="B92" s="129" t="s">
        <v>164</v>
      </c>
      <c r="C92" s="124">
        <f>C88</f>
        <v>13</v>
      </c>
      <c r="D92" s="124">
        <f>D88</f>
        <v>14</v>
      </c>
      <c r="E92" s="124">
        <f>E88</f>
        <v>10</v>
      </c>
      <c r="F92" s="125">
        <v>198.83</v>
      </c>
      <c r="G92" s="160">
        <v>181.11</v>
      </c>
      <c r="H92" s="103">
        <f t="shared" si="4"/>
        <v>189.97000000000003</v>
      </c>
      <c r="I92" s="104">
        <f t="shared" si="5"/>
        <v>2469.6100000000006</v>
      </c>
      <c r="J92" s="104">
        <f t="shared" si="6"/>
        <v>2659.5800000000004</v>
      </c>
      <c r="K92" s="104">
        <f t="shared" si="7"/>
        <v>1899.7000000000003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5" customHeight="1" x14ac:dyDescent="0.2">
      <c r="A93" s="147" t="s">
        <v>271</v>
      </c>
      <c r="B93" s="129" t="s">
        <v>164</v>
      </c>
      <c r="C93" s="124">
        <f>C88</f>
        <v>13</v>
      </c>
      <c r="D93" s="124">
        <f>D88</f>
        <v>14</v>
      </c>
      <c r="E93" s="124">
        <f>E88</f>
        <v>10</v>
      </c>
      <c r="F93" s="125">
        <v>79.3</v>
      </c>
      <c r="G93" s="160">
        <v>91.34</v>
      </c>
      <c r="H93" s="103">
        <f t="shared" si="4"/>
        <v>85.32</v>
      </c>
      <c r="I93" s="104">
        <f t="shared" si="5"/>
        <v>1109.1599999999999</v>
      </c>
      <c r="J93" s="104">
        <f t="shared" si="6"/>
        <v>1194.48</v>
      </c>
      <c r="K93" s="104">
        <f t="shared" si="7"/>
        <v>853.19999999999993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15" customHeight="1" x14ac:dyDescent="0.2">
      <c r="A94" s="147" t="s">
        <v>272</v>
      </c>
      <c r="B94" s="129" t="s">
        <v>164</v>
      </c>
      <c r="C94" s="124">
        <f>C88</f>
        <v>13</v>
      </c>
      <c r="D94" s="124">
        <f>D88</f>
        <v>14</v>
      </c>
      <c r="E94" s="124">
        <f>E88</f>
        <v>10</v>
      </c>
      <c r="F94" s="125">
        <v>751.56</v>
      </c>
      <c r="G94" s="160">
        <v>452.92</v>
      </c>
      <c r="H94" s="103">
        <f t="shared" si="4"/>
        <v>602.24</v>
      </c>
      <c r="I94" s="104">
        <f t="shared" si="5"/>
        <v>7829.12</v>
      </c>
      <c r="J94" s="104">
        <f t="shared" si="6"/>
        <v>8431.36</v>
      </c>
      <c r="K94" s="104">
        <f t="shared" si="7"/>
        <v>6022.4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5" customHeight="1" x14ac:dyDescent="0.2">
      <c r="A95" s="147" t="s">
        <v>273</v>
      </c>
      <c r="B95" s="129" t="s">
        <v>164</v>
      </c>
      <c r="C95" s="124">
        <f>C88</f>
        <v>13</v>
      </c>
      <c r="D95" s="124">
        <f>D88</f>
        <v>14</v>
      </c>
      <c r="E95" s="124">
        <f>E88</f>
        <v>10</v>
      </c>
      <c r="F95" s="125">
        <v>71.430000000000007</v>
      </c>
      <c r="G95" s="160">
        <v>69.900000000000006</v>
      </c>
      <c r="H95" s="103">
        <f t="shared" si="4"/>
        <v>70.665000000000006</v>
      </c>
      <c r="I95" s="104">
        <f t="shared" si="5"/>
        <v>918.6450000000001</v>
      </c>
      <c r="J95" s="104">
        <f t="shared" si="6"/>
        <v>989.31000000000006</v>
      </c>
      <c r="K95" s="104">
        <f t="shared" si="7"/>
        <v>706.65000000000009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5" customHeight="1" x14ac:dyDescent="0.2">
      <c r="A96" s="147" t="s">
        <v>274</v>
      </c>
      <c r="B96" s="129" t="s">
        <v>164</v>
      </c>
      <c r="C96" s="124">
        <f>C88*2</f>
        <v>26</v>
      </c>
      <c r="D96" s="124">
        <f>D88*2</f>
        <v>28</v>
      </c>
      <c r="E96" s="124">
        <f>E88*2</f>
        <v>20</v>
      </c>
      <c r="F96" s="125">
        <v>39.53</v>
      </c>
      <c r="G96" s="160">
        <v>40.409999999999997</v>
      </c>
      <c r="H96" s="117">
        <f t="shared" si="4"/>
        <v>39.97</v>
      </c>
      <c r="I96" s="104">
        <f t="shared" si="5"/>
        <v>1039.22</v>
      </c>
      <c r="J96" s="104">
        <f t="shared" si="6"/>
        <v>1119.1599999999999</v>
      </c>
      <c r="K96" s="104">
        <f t="shared" si="7"/>
        <v>799.4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5" customHeight="1" x14ac:dyDescent="0.2">
      <c r="A97" s="161" t="s">
        <v>275</v>
      </c>
      <c r="B97" s="129" t="s">
        <v>164</v>
      </c>
      <c r="C97" s="124">
        <v>4</v>
      </c>
      <c r="D97" s="124">
        <v>0</v>
      </c>
      <c r="E97" s="124">
        <v>3</v>
      </c>
      <c r="F97" s="162">
        <v>23.07</v>
      </c>
      <c r="G97" s="163">
        <v>25.51</v>
      </c>
      <c r="H97" s="162">
        <v>24.29</v>
      </c>
      <c r="I97" s="104">
        <f t="shared" si="5"/>
        <v>97.16</v>
      </c>
      <c r="J97" s="104">
        <f t="shared" si="6"/>
        <v>0</v>
      </c>
      <c r="K97" s="104">
        <f t="shared" si="7"/>
        <v>72.87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0.25" customHeight="1" x14ac:dyDescent="0.2">
      <c r="A98" s="827" t="s">
        <v>276</v>
      </c>
      <c r="B98" s="827"/>
      <c r="C98" s="827"/>
      <c r="D98" s="827"/>
      <c r="E98" s="827"/>
      <c r="F98" s="827"/>
      <c r="G98" s="827"/>
      <c r="H98" s="827"/>
      <c r="I98" s="164">
        <f>SUM(I88:I97)</f>
        <v>51505.595000000001</v>
      </c>
      <c r="J98" s="164">
        <f>SUM(J88:J97)</f>
        <v>55362.930000000008</v>
      </c>
      <c r="K98" s="164">
        <f>SUM(K88:K97)</f>
        <v>39617.820000000007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20.25" customHeight="1" x14ac:dyDescent="0.2">
      <c r="A99" s="827" t="s">
        <v>277</v>
      </c>
      <c r="B99" s="827"/>
      <c r="C99" s="827"/>
      <c r="D99" s="827"/>
      <c r="E99" s="827"/>
      <c r="F99" s="827"/>
      <c r="G99" s="827"/>
      <c r="H99" s="827"/>
      <c r="I99" s="165">
        <f>I98/120</f>
        <v>429.21329166666669</v>
      </c>
      <c r="J99" s="165">
        <f>J98/120</f>
        <v>461.35775000000007</v>
      </c>
      <c r="K99" s="165">
        <f>K98/120</f>
        <v>330.14850000000007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0.25" customHeight="1" x14ac:dyDescent="0.2">
      <c r="A100" s="828" t="s">
        <v>278</v>
      </c>
      <c r="B100" s="828"/>
      <c r="C100" s="828"/>
      <c r="D100" s="828"/>
      <c r="E100" s="828"/>
      <c r="F100" s="828"/>
      <c r="G100" s="828"/>
      <c r="H100" s="828"/>
      <c r="I100" s="164">
        <f>I99/'Prod. GEXPEL'!Q18</f>
        <v>21.460664583333333</v>
      </c>
      <c r="J100" s="164">
        <f>J99/'Prod. GEXSTM'!Q19</f>
        <v>20.970806818181821</v>
      </c>
      <c r="K100" s="164">
        <f>K99/'Prod. GEXURG'!Q15</f>
        <v>22.009900000000005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">
      <c r="A101" s="140"/>
      <c r="B101" s="141"/>
      <c r="C101" s="141"/>
      <c r="D101" s="141"/>
      <c r="E101" s="141"/>
      <c r="F101" s="141"/>
      <c r="G101" s="153"/>
      <c r="H101" s="141"/>
      <c r="I101" s="141"/>
      <c r="J101" s="14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x14ac:dyDescent="0.2">
      <c r="A102" s="140"/>
      <c r="B102" s="141"/>
      <c r="C102" s="141"/>
      <c r="D102" s="141"/>
      <c r="E102" s="141"/>
      <c r="F102" s="141"/>
      <c r="G102" s="141"/>
      <c r="H102" s="141"/>
      <c r="I102" s="141"/>
      <c r="J102" s="141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x14ac:dyDescent="0.2">
      <c r="A103" s="140"/>
      <c r="B103" s="141"/>
      <c r="C103" s="141"/>
      <c r="D103" s="141"/>
      <c r="E103" s="141"/>
      <c r="F103" s="141"/>
      <c r="G103" s="141"/>
      <c r="H103" s="141"/>
      <c r="I103" s="141"/>
      <c r="J103" s="141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ht="20.25" customHeight="1" x14ac:dyDescent="0.2">
      <c r="A104" s="829" t="s">
        <v>279</v>
      </c>
      <c r="B104" s="829"/>
      <c r="C104" s="829"/>
      <c r="D104" s="829"/>
      <c r="E104" s="829"/>
      <c r="F104" s="829"/>
      <c r="G104" s="829"/>
      <c r="H104" s="829"/>
      <c r="I104" s="829"/>
      <c r="J104" s="829"/>
      <c r="K104" s="829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s="159" customFormat="1" ht="47.25" customHeight="1" x14ac:dyDescent="0.2">
      <c r="A105" s="166" t="s">
        <v>130</v>
      </c>
      <c r="B105" s="167" t="s">
        <v>131</v>
      </c>
      <c r="C105" s="167" t="s">
        <v>280</v>
      </c>
      <c r="D105" s="167" t="s">
        <v>281</v>
      </c>
      <c r="E105" s="167" t="s">
        <v>282</v>
      </c>
      <c r="F105" s="167" t="s">
        <v>283</v>
      </c>
      <c r="G105" s="168" t="s">
        <v>284</v>
      </c>
      <c r="H105" s="168" t="s">
        <v>285</v>
      </c>
      <c r="I105" s="169" t="s">
        <v>286</v>
      </c>
      <c r="J105" s="169" t="s">
        <v>287</v>
      </c>
      <c r="K105" s="169" t="s">
        <v>288</v>
      </c>
    </row>
    <row r="106" spans="1:1024" ht="20.25" customHeight="1" x14ac:dyDescent="0.2">
      <c r="A106" s="830" t="s">
        <v>289</v>
      </c>
      <c r="B106" s="830"/>
      <c r="C106" s="830"/>
      <c r="D106" s="830"/>
      <c r="E106" s="830"/>
      <c r="F106" s="830"/>
      <c r="G106" s="830"/>
      <c r="H106" s="830"/>
      <c r="I106" s="170">
        <f>SUM(I107:I112)</f>
        <v>27.875416666666666</v>
      </c>
      <c r="J106" s="170">
        <f>SUM(J107:J112)</f>
        <v>27.875416666666666</v>
      </c>
      <c r="K106" s="170">
        <f>SUM(K107:K112)</f>
        <v>27.875416666666666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5" customHeight="1" x14ac:dyDescent="0.2">
      <c r="A107" s="123" t="s">
        <v>290</v>
      </c>
      <c r="B107" s="124" t="s">
        <v>164</v>
      </c>
      <c r="C107" s="124">
        <v>2</v>
      </c>
      <c r="D107" s="124">
        <v>2</v>
      </c>
      <c r="E107" s="124">
        <v>2</v>
      </c>
      <c r="F107" s="162">
        <v>17.809999999999999</v>
      </c>
      <c r="G107" s="171">
        <v>24.93</v>
      </c>
      <c r="H107" s="103">
        <f t="shared" ref="H107:H112" si="8">(F107+G107)/2</f>
        <v>21.369999999999997</v>
      </c>
      <c r="I107" s="104">
        <f t="shared" ref="I107:K112" si="9">(C107*$H107)/12</f>
        <v>3.5616666666666661</v>
      </c>
      <c r="J107" s="104">
        <f t="shared" si="9"/>
        <v>3.5616666666666661</v>
      </c>
      <c r="K107" s="104">
        <f t="shared" si="9"/>
        <v>3.5616666666666661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5" customHeight="1" x14ac:dyDescent="0.2">
      <c r="A108" s="128" t="s">
        <v>291</v>
      </c>
      <c r="B108" s="129" t="s">
        <v>164</v>
      </c>
      <c r="C108" s="129">
        <v>1</v>
      </c>
      <c r="D108" s="129">
        <v>1</v>
      </c>
      <c r="E108" s="129">
        <v>1</v>
      </c>
      <c r="F108" s="162">
        <v>38.08</v>
      </c>
      <c r="G108" s="171">
        <v>40.880000000000003</v>
      </c>
      <c r="H108" s="103">
        <f t="shared" si="8"/>
        <v>39.480000000000004</v>
      </c>
      <c r="I108" s="104">
        <f t="shared" si="9"/>
        <v>3.2900000000000005</v>
      </c>
      <c r="J108" s="104">
        <f t="shared" si="9"/>
        <v>3.2900000000000005</v>
      </c>
      <c r="K108" s="104">
        <f t="shared" si="9"/>
        <v>3.2900000000000005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15" customHeight="1" x14ac:dyDescent="0.2">
      <c r="A109" s="128" t="s">
        <v>292</v>
      </c>
      <c r="B109" s="129" t="s">
        <v>164</v>
      </c>
      <c r="C109" s="129">
        <v>2</v>
      </c>
      <c r="D109" s="129">
        <v>2</v>
      </c>
      <c r="E109" s="129">
        <v>2</v>
      </c>
      <c r="F109" s="162">
        <v>48.63</v>
      </c>
      <c r="G109" s="171">
        <v>58.87</v>
      </c>
      <c r="H109" s="103">
        <f t="shared" si="8"/>
        <v>53.75</v>
      </c>
      <c r="I109" s="104">
        <f t="shared" si="9"/>
        <v>8.9583333333333339</v>
      </c>
      <c r="J109" s="104">
        <f t="shared" si="9"/>
        <v>8.9583333333333339</v>
      </c>
      <c r="K109" s="104">
        <f t="shared" si="9"/>
        <v>8.9583333333333339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15" customHeight="1" x14ac:dyDescent="0.2">
      <c r="A110" s="128" t="s">
        <v>293</v>
      </c>
      <c r="B110" s="129" t="s">
        <v>164</v>
      </c>
      <c r="C110" s="129">
        <v>2</v>
      </c>
      <c r="D110" s="129">
        <v>2</v>
      </c>
      <c r="E110" s="129">
        <v>2</v>
      </c>
      <c r="F110" s="162">
        <v>19.149999999999999</v>
      </c>
      <c r="G110" s="171">
        <v>28.23</v>
      </c>
      <c r="H110" s="103">
        <f t="shared" si="8"/>
        <v>23.689999999999998</v>
      </c>
      <c r="I110" s="104">
        <f t="shared" si="9"/>
        <v>3.9483333333333328</v>
      </c>
      <c r="J110" s="104">
        <f t="shared" si="9"/>
        <v>3.9483333333333328</v>
      </c>
      <c r="K110" s="104">
        <f t="shared" si="9"/>
        <v>3.9483333333333328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5" customHeight="1" x14ac:dyDescent="0.2">
      <c r="A111" s="134" t="s">
        <v>294</v>
      </c>
      <c r="B111" s="135" t="s">
        <v>164</v>
      </c>
      <c r="C111" s="135">
        <v>1</v>
      </c>
      <c r="D111" s="135">
        <v>1</v>
      </c>
      <c r="E111" s="135">
        <v>1</v>
      </c>
      <c r="F111" s="172">
        <v>9.18</v>
      </c>
      <c r="G111" s="173">
        <v>9.3699999999999992</v>
      </c>
      <c r="H111" s="103">
        <f t="shared" si="8"/>
        <v>9.2749999999999986</v>
      </c>
      <c r="I111" s="104">
        <f t="shared" si="9"/>
        <v>0.77291666666666659</v>
      </c>
      <c r="J111" s="104">
        <f t="shared" si="9"/>
        <v>0.77291666666666659</v>
      </c>
      <c r="K111" s="104">
        <f t="shared" si="9"/>
        <v>0.77291666666666659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5" customHeight="1" x14ac:dyDescent="0.2">
      <c r="A112" s="174" t="s">
        <v>295</v>
      </c>
      <c r="B112" s="175" t="s">
        <v>184</v>
      </c>
      <c r="C112" s="175">
        <v>2</v>
      </c>
      <c r="D112" s="175">
        <v>2</v>
      </c>
      <c r="E112" s="175">
        <v>2</v>
      </c>
      <c r="F112" s="176">
        <v>47.88</v>
      </c>
      <c r="G112" s="177">
        <v>40.25</v>
      </c>
      <c r="H112" s="178">
        <f t="shared" si="8"/>
        <v>44.064999999999998</v>
      </c>
      <c r="I112" s="104">
        <f t="shared" si="9"/>
        <v>7.3441666666666663</v>
      </c>
      <c r="J112" s="104">
        <f t="shared" si="9"/>
        <v>7.3441666666666663</v>
      </c>
      <c r="K112" s="104">
        <f t="shared" si="9"/>
        <v>7.3441666666666663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20.25" customHeight="1" x14ac:dyDescent="0.2">
      <c r="A113" s="830" t="s">
        <v>296</v>
      </c>
      <c r="B113" s="830"/>
      <c r="C113" s="830"/>
      <c r="D113" s="830"/>
      <c r="E113" s="830"/>
      <c r="F113" s="830"/>
      <c r="G113" s="830"/>
      <c r="H113" s="830"/>
      <c r="I113" s="170">
        <f>SUM(I114:I117)</f>
        <v>34.030416666666667</v>
      </c>
      <c r="J113" s="170">
        <f>SUM(J114:J117)</f>
        <v>34.030416666666667</v>
      </c>
      <c r="K113" s="170">
        <f>SUM(K114:K117)</f>
        <v>34.030416666666667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15" customHeight="1" x14ac:dyDescent="0.2">
      <c r="A114" s="147" t="s">
        <v>297</v>
      </c>
      <c r="B114" s="124" t="s">
        <v>164</v>
      </c>
      <c r="C114" s="124">
        <v>2</v>
      </c>
      <c r="D114" s="124">
        <v>2</v>
      </c>
      <c r="E114" s="124">
        <v>2</v>
      </c>
      <c r="F114" s="162">
        <v>52.12</v>
      </c>
      <c r="G114" s="171">
        <v>57.27</v>
      </c>
      <c r="H114" s="103">
        <f>(F114+G114)/2</f>
        <v>54.695</v>
      </c>
      <c r="I114" s="104">
        <f t="shared" ref="I114:K117" si="10">(C114*$H114)/12</f>
        <v>9.1158333333333328</v>
      </c>
      <c r="J114" s="104">
        <f t="shared" si="10"/>
        <v>9.1158333333333328</v>
      </c>
      <c r="K114" s="104">
        <f t="shared" si="10"/>
        <v>9.1158333333333328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5" customHeight="1" x14ac:dyDescent="0.2">
      <c r="A115" s="147" t="s">
        <v>298</v>
      </c>
      <c r="B115" s="129" t="s">
        <v>164</v>
      </c>
      <c r="C115" s="129">
        <v>2</v>
      </c>
      <c r="D115" s="129">
        <v>2</v>
      </c>
      <c r="E115" s="129">
        <v>2</v>
      </c>
      <c r="F115" s="162">
        <v>58.38</v>
      </c>
      <c r="G115" s="171">
        <v>63.97</v>
      </c>
      <c r="H115" s="103">
        <f>(F115+G115)/2</f>
        <v>61.174999999999997</v>
      </c>
      <c r="I115" s="104">
        <f t="shared" si="10"/>
        <v>10.195833333333333</v>
      </c>
      <c r="J115" s="104">
        <f t="shared" si="10"/>
        <v>10.195833333333333</v>
      </c>
      <c r="K115" s="104">
        <f t="shared" si="10"/>
        <v>10.195833333333333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15" customHeight="1" x14ac:dyDescent="0.2">
      <c r="A116" s="147" t="s">
        <v>299</v>
      </c>
      <c r="B116" s="129" t="s">
        <v>164</v>
      </c>
      <c r="C116" s="129">
        <v>1</v>
      </c>
      <c r="D116" s="129">
        <v>1</v>
      </c>
      <c r="E116" s="129">
        <v>1</v>
      </c>
      <c r="F116" s="162">
        <v>9.18</v>
      </c>
      <c r="G116" s="171">
        <v>9.3699999999999992</v>
      </c>
      <c r="H116" s="103">
        <f>(F116+G116)/2</f>
        <v>9.2749999999999986</v>
      </c>
      <c r="I116" s="104">
        <f t="shared" si="10"/>
        <v>0.77291666666666659</v>
      </c>
      <c r="J116" s="104">
        <f t="shared" si="10"/>
        <v>0.77291666666666659</v>
      </c>
      <c r="K116" s="104">
        <f t="shared" si="10"/>
        <v>0.77291666666666659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15" customHeight="1" x14ac:dyDescent="0.2">
      <c r="A117" s="148" t="s">
        <v>300</v>
      </c>
      <c r="B117" s="135" t="s">
        <v>184</v>
      </c>
      <c r="C117" s="135">
        <v>2</v>
      </c>
      <c r="D117" s="135">
        <v>2</v>
      </c>
      <c r="E117" s="135">
        <v>2</v>
      </c>
      <c r="F117" s="172">
        <v>82.38</v>
      </c>
      <c r="G117" s="173">
        <v>84.97</v>
      </c>
      <c r="H117" s="103">
        <f>(F117+G117)/2</f>
        <v>83.674999999999997</v>
      </c>
      <c r="I117" s="104">
        <f t="shared" si="10"/>
        <v>13.945833333333333</v>
      </c>
      <c r="J117" s="104">
        <f t="shared" si="10"/>
        <v>13.945833333333333</v>
      </c>
      <c r="K117" s="104">
        <f t="shared" si="10"/>
        <v>13.945833333333333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20.25" customHeight="1" x14ac:dyDescent="0.2">
      <c r="A118" s="831" t="s">
        <v>301</v>
      </c>
      <c r="B118" s="831"/>
      <c r="C118" s="831"/>
      <c r="D118" s="831"/>
      <c r="E118" s="831"/>
      <c r="F118" s="831"/>
      <c r="G118" s="831"/>
      <c r="H118" s="831"/>
      <c r="I118" s="179">
        <f>I106</f>
        <v>27.875416666666666</v>
      </c>
      <c r="J118" s="179">
        <f>J106</f>
        <v>27.875416666666666</v>
      </c>
      <c r="K118" s="179">
        <f>K106</f>
        <v>27.875416666666666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20.25" customHeight="1" x14ac:dyDescent="0.2">
      <c r="A119" s="831" t="s">
        <v>302</v>
      </c>
      <c r="B119" s="831"/>
      <c r="C119" s="831"/>
      <c r="D119" s="831"/>
      <c r="E119" s="831"/>
      <c r="F119" s="831"/>
      <c r="G119" s="831"/>
      <c r="H119" s="831"/>
      <c r="I119" s="179">
        <f>I113</f>
        <v>34.030416666666667</v>
      </c>
      <c r="J119" s="179">
        <f>J113</f>
        <v>34.030416666666667</v>
      </c>
      <c r="K119" s="179">
        <f>K113</f>
        <v>34.030416666666667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x14ac:dyDescent="0.2">
      <c r="A120" s="140"/>
      <c r="B120" s="141"/>
      <c r="C120" s="141"/>
      <c r="D120" s="141"/>
      <c r="E120" s="141"/>
      <c r="F120" s="141"/>
      <c r="G120" s="141"/>
      <c r="H120" s="141"/>
      <c r="I120" s="141"/>
      <c r="J120" s="141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20.25" customHeight="1" x14ac:dyDescent="0.2">
      <c r="A121" s="832" t="s">
        <v>303</v>
      </c>
      <c r="B121" s="832"/>
      <c r="C121" s="832"/>
      <c r="D121" s="832"/>
      <c r="E121" s="832"/>
      <c r="F121" s="832"/>
      <c r="G121" s="832"/>
      <c r="H121" s="832"/>
      <c r="I121" s="832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s="159" customFormat="1" ht="59.25" customHeight="1" x14ac:dyDescent="0.2">
      <c r="A122" s="180" t="s">
        <v>130</v>
      </c>
      <c r="B122" s="181" t="s">
        <v>131</v>
      </c>
      <c r="C122" s="181" t="s">
        <v>304</v>
      </c>
      <c r="D122" s="181" t="s">
        <v>305</v>
      </c>
      <c r="E122" s="181" t="s">
        <v>238</v>
      </c>
      <c r="F122" s="182" t="s">
        <v>306</v>
      </c>
      <c r="G122" s="182" t="s">
        <v>285</v>
      </c>
      <c r="H122" s="183" t="s">
        <v>307</v>
      </c>
      <c r="I122" s="183" t="s">
        <v>308</v>
      </c>
    </row>
    <row r="123" spans="1:1024" ht="20.25" customHeight="1" x14ac:dyDescent="0.2">
      <c r="A123" s="833" t="s">
        <v>309</v>
      </c>
      <c r="B123" s="833"/>
      <c r="C123" s="833"/>
      <c r="D123" s="833"/>
      <c r="E123" s="833"/>
      <c r="F123" s="833"/>
      <c r="G123" s="833"/>
      <c r="H123" s="184">
        <f>SUM(H124:H128)</f>
        <v>122.52333333333333</v>
      </c>
      <c r="I123" s="184">
        <f>SUM(I124:I128)</f>
        <v>142.21333333333334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15" customHeight="1" x14ac:dyDescent="0.2">
      <c r="A124" s="147" t="s">
        <v>310</v>
      </c>
      <c r="B124" s="185" t="s">
        <v>164</v>
      </c>
      <c r="C124" s="124">
        <f>22</f>
        <v>22</v>
      </c>
      <c r="D124" s="124">
        <f>22</f>
        <v>22</v>
      </c>
      <c r="E124" s="162">
        <v>2.83</v>
      </c>
      <c r="F124" s="125">
        <v>4.34</v>
      </c>
      <c r="G124" s="103">
        <f>(E124+F124)/2</f>
        <v>3.585</v>
      </c>
      <c r="H124" s="186">
        <f>C124*G124</f>
        <v>78.87</v>
      </c>
      <c r="I124" s="187">
        <f>D124*G124</f>
        <v>78.87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15" customHeight="1" x14ac:dyDescent="0.2">
      <c r="A125" s="147" t="s">
        <v>311</v>
      </c>
      <c r="B125" s="188" t="s">
        <v>164</v>
      </c>
      <c r="C125" s="189">
        <f>1/6</f>
        <v>0.16666666666666666</v>
      </c>
      <c r="D125" s="190">
        <f>1/6</f>
        <v>0.16666666666666666</v>
      </c>
      <c r="E125" s="162">
        <v>9.4499999999999993</v>
      </c>
      <c r="F125" s="125">
        <v>7.51</v>
      </c>
      <c r="G125" s="191">
        <f>(E125+F125)/2</f>
        <v>8.48</v>
      </c>
      <c r="H125" s="192">
        <f>C125*G125</f>
        <v>1.4133333333333333</v>
      </c>
      <c r="I125" s="187">
        <f>D125*G125</f>
        <v>1.4133333333333333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ht="15" customHeight="1" x14ac:dyDescent="0.2">
      <c r="A126" s="147" t="s">
        <v>312</v>
      </c>
      <c r="B126" s="188" t="s">
        <v>184</v>
      </c>
      <c r="C126" s="129">
        <f>2*22</f>
        <v>44</v>
      </c>
      <c r="D126" s="124">
        <f>3*22</f>
        <v>66</v>
      </c>
      <c r="E126" s="162">
        <v>0.61</v>
      </c>
      <c r="F126" s="125">
        <v>0.54</v>
      </c>
      <c r="G126" s="191">
        <f>(E126+F126)/2</f>
        <v>0.57499999999999996</v>
      </c>
      <c r="H126" s="192">
        <f>C126*G126</f>
        <v>25.299999999999997</v>
      </c>
      <c r="I126" s="187">
        <f>D126*G126</f>
        <v>37.949999999999996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ht="15" customHeight="1" x14ac:dyDescent="0.2">
      <c r="A127" s="147" t="s">
        <v>313</v>
      </c>
      <c r="B127" s="188" t="s">
        <v>164</v>
      </c>
      <c r="C127" s="135">
        <f>2*22</f>
        <v>44</v>
      </c>
      <c r="D127" s="193">
        <f>3*22</f>
        <v>66</v>
      </c>
      <c r="E127" s="172">
        <v>0.23</v>
      </c>
      <c r="F127" s="125">
        <v>0.41</v>
      </c>
      <c r="G127" s="191">
        <f>(E127+F127)/2</f>
        <v>0.32</v>
      </c>
      <c r="H127" s="192">
        <f>C127*G127</f>
        <v>14.08</v>
      </c>
      <c r="I127" s="187">
        <f>D127*G127</f>
        <v>21.12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ht="15" customHeight="1" x14ac:dyDescent="0.2">
      <c r="A128" s="148" t="s">
        <v>314</v>
      </c>
      <c r="B128" s="194" t="s">
        <v>164</v>
      </c>
      <c r="C128" s="135">
        <f>22</f>
        <v>22</v>
      </c>
      <c r="D128" s="135">
        <f>22</f>
        <v>22</v>
      </c>
      <c r="E128" s="195">
        <v>0.13</v>
      </c>
      <c r="F128" s="136">
        <v>0.13</v>
      </c>
      <c r="G128" s="196">
        <f>(E128+F128)/2</f>
        <v>0.13</v>
      </c>
      <c r="H128" s="197">
        <f>C128*G128</f>
        <v>2.8600000000000003</v>
      </c>
      <c r="I128" s="187">
        <f>D128*G128</f>
        <v>2.8600000000000003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9" s="159" customFormat="1" ht="56.25" customHeight="1" x14ac:dyDescent="0.2">
      <c r="A129" s="198" t="s">
        <v>130</v>
      </c>
      <c r="B129" s="199" t="s">
        <v>131</v>
      </c>
      <c r="C129" s="199" t="s">
        <v>315</v>
      </c>
      <c r="D129" s="199" t="s">
        <v>316</v>
      </c>
      <c r="E129" s="199" t="s">
        <v>317</v>
      </c>
      <c r="F129" s="200" t="s">
        <v>306</v>
      </c>
      <c r="G129" s="200" t="s">
        <v>285</v>
      </c>
      <c r="H129" s="201" t="s">
        <v>307</v>
      </c>
      <c r="I129" s="201" t="s">
        <v>308</v>
      </c>
    </row>
    <row r="130" spans="1:9" ht="20.25" customHeight="1" x14ac:dyDescent="0.2">
      <c r="A130" s="834" t="s">
        <v>318</v>
      </c>
      <c r="B130" s="834"/>
      <c r="C130" s="834"/>
      <c r="D130" s="834"/>
      <c r="E130" s="834"/>
      <c r="F130" s="834"/>
      <c r="G130" s="834"/>
      <c r="H130" s="202">
        <f>SUM(H131:H134)</f>
        <v>25.446666666666665</v>
      </c>
      <c r="I130" s="202">
        <f>SUM(I131:I134)</f>
        <v>36.666666666666671</v>
      </c>
    </row>
    <row r="131" spans="1:9" ht="15" customHeight="1" x14ac:dyDescent="0.2">
      <c r="A131" s="147" t="s">
        <v>319</v>
      </c>
      <c r="B131" s="124" t="s">
        <v>164</v>
      </c>
      <c r="C131" s="190">
        <v>1</v>
      </c>
      <c r="D131" s="190">
        <v>1</v>
      </c>
      <c r="E131" s="162">
        <v>11.69</v>
      </c>
      <c r="F131" s="125">
        <v>10</v>
      </c>
      <c r="G131" s="103">
        <f>(E131+F131)/2</f>
        <v>10.844999999999999</v>
      </c>
      <c r="H131" s="186">
        <f>(C131*G131)/12</f>
        <v>0.90374999999999994</v>
      </c>
      <c r="I131" s="186">
        <f>(D131*G131)/12</f>
        <v>0.90374999999999994</v>
      </c>
    </row>
    <row r="132" spans="1:9" ht="15" customHeight="1" x14ac:dyDescent="0.2">
      <c r="A132" s="147" t="s">
        <v>320</v>
      </c>
      <c r="B132" s="129" t="s">
        <v>184</v>
      </c>
      <c r="C132" s="189">
        <v>2</v>
      </c>
      <c r="D132" s="189">
        <v>2</v>
      </c>
      <c r="E132" s="162">
        <v>10.07</v>
      </c>
      <c r="F132" s="125">
        <v>10.98</v>
      </c>
      <c r="G132" s="191">
        <f>(E132+F132)/2</f>
        <v>10.525</v>
      </c>
      <c r="H132" s="186">
        <f>(C132*G132)/12</f>
        <v>1.7541666666666667</v>
      </c>
      <c r="I132" s="186">
        <f>(D132*G132)/12</f>
        <v>1.7541666666666667</v>
      </c>
    </row>
    <row r="133" spans="1:9" ht="15" customHeight="1" x14ac:dyDescent="0.2">
      <c r="A133" s="147" t="s">
        <v>313</v>
      </c>
      <c r="B133" s="129" t="s">
        <v>164</v>
      </c>
      <c r="C133" s="129">
        <f>2*22*12</f>
        <v>528</v>
      </c>
      <c r="D133" s="129">
        <f>3*22*12</f>
        <v>792</v>
      </c>
      <c r="E133" s="162">
        <v>0.61</v>
      </c>
      <c r="F133" s="125">
        <v>0.41</v>
      </c>
      <c r="G133" s="191">
        <f>(E133+F133)/2</f>
        <v>0.51</v>
      </c>
      <c r="H133" s="186">
        <f>(C133*G133)/12</f>
        <v>22.44</v>
      </c>
      <c r="I133" s="186">
        <f>(D133*G133)/12</f>
        <v>33.660000000000004</v>
      </c>
    </row>
    <row r="134" spans="1:9" ht="15" customHeight="1" x14ac:dyDescent="0.2">
      <c r="A134" s="147" t="s">
        <v>321</v>
      </c>
      <c r="B134" s="129" t="s">
        <v>164</v>
      </c>
      <c r="C134" s="189">
        <v>1</v>
      </c>
      <c r="D134" s="189">
        <v>1</v>
      </c>
      <c r="E134" s="162">
        <v>4.62</v>
      </c>
      <c r="F134" s="125">
        <v>3.75</v>
      </c>
      <c r="G134" s="191">
        <f>(E134+F134)/2</f>
        <v>4.1850000000000005</v>
      </c>
      <c r="H134" s="186">
        <f>(C134*G134)/12</f>
        <v>0.34875000000000006</v>
      </c>
      <c r="I134" s="186">
        <f>(D134*G134)/12</f>
        <v>0.34875000000000006</v>
      </c>
    </row>
    <row r="135" spans="1:9" x14ac:dyDescent="0.2">
      <c r="A135" s="140"/>
      <c r="B135" s="141"/>
      <c r="C135" s="141"/>
      <c r="D135" s="141"/>
      <c r="E135" s="141"/>
      <c r="F135" s="141"/>
      <c r="G135" s="141"/>
      <c r="H135"/>
    </row>
    <row r="136" spans="1:9" ht="12.75" customHeight="1" x14ac:dyDescent="0.2">
      <c r="A136" s="835" t="s">
        <v>322</v>
      </c>
      <c r="B136" s="835"/>
      <c r="C136" s="835"/>
      <c r="D136" s="835"/>
      <c r="E136" s="835"/>
      <c r="F136" s="835"/>
      <c r="G136" s="141"/>
      <c r="H136"/>
    </row>
    <row r="137" spans="1:9" ht="12.75" customHeight="1" x14ac:dyDescent="0.2">
      <c r="A137" s="203" t="s">
        <v>310</v>
      </c>
      <c r="B137" s="836" t="s">
        <v>323</v>
      </c>
      <c r="C137" s="836"/>
      <c r="D137" s="836"/>
      <c r="E137" s="836"/>
      <c r="F137" s="836"/>
      <c r="G137" s="141"/>
      <c r="H137"/>
    </row>
    <row r="138" spans="1:9" ht="12.75" customHeight="1" x14ac:dyDescent="0.2">
      <c r="A138" s="203" t="s">
        <v>311</v>
      </c>
      <c r="B138" s="836" t="s">
        <v>324</v>
      </c>
      <c r="C138" s="836"/>
      <c r="D138" s="836"/>
      <c r="E138" s="836"/>
      <c r="F138" s="836"/>
      <c r="G138" s="141"/>
      <c r="H138"/>
    </row>
    <row r="139" spans="1:9" ht="12.75" customHeight="1" x14ac:dyDescent="0.2">
      <c r="A139" s="203" t="s">
        <v>312</v>
      </c>
      <c r="B139" s="836" t="s">
        <v>325</v>
      </c>
      <c r="C139" s="836"/>
      <c r="D139" s="836"/>
      <c r="E139" s="836"/>
      <c r="F139" s="836"/>
      <c r="G139" s="141"/>
      <c r="H139"/>
    </row>
    <row r="140" spans="1:9" ht="12.75" customHeight="1" x14ac:dyDescent="0.2">
      <c r="A140" s="203" t="s">
        <v>313</v>
      </c>
      <c r="B140" s="836" t="s">
        <v>326</v>
      </c>
      <c r="C140" s="836"/>
      <c r="D140" s="836"/>
      <c r="E140" s="836"/>
      <c r="F140" s="836"/>
      <c r="G140" s="141"/>
      <c r="H140"/>
    </row>
    <row r="141" spans="1:9" ht="12.75" customHeight="1" x14ac:dyDescent="0.2">
      <c r="A141" s="203" t="s">
        <v>314</v>
      </c>
      <c r="B141" s="836" t="s">
        <v>323</v>
      </c>
      <c r="C141" s="836"/>
      <c r="D141" s="836"/>
      <c r="E141" s="836"/>
      <c r="F141" s="836"/>
      <c r="G141" s="141"/>
      <c r="H141"/>
    </row>
    <row r="142" spans="1:9" ht="12.75" customHeight="1" x14ac:dyDescent="0.2">
      <c r="A142" s="203" t="s">
        <v>327</v>
      </c>
      <c r="B142" s="836" t="s">
        <v>328</v>
      </c>
      <c r="C142" s="836"/>
      <c r="D142" s="836"/>
      <c r="E142" s="836"/>
      <c r="F142" s="836"/>
      <c r="G142" s="141"/>
      <c r="H142"/>
    </row>
    <row r="143" spans="1:9" ht="12.75" customHeight="1" x14ac:dyDescent="0.2">
      <c r="A143" s="203" t="s">
        <v>329</v>
      </c>
      <c r="B143" s="836" t="s">
        <v>330</v>
      </c>
      <c r="C143" s="836"/>
      <c r="D143" s="836"/>
      <c r="E143" s="836"/>
      <c r="F143" s="836"/>
      <c r="G143" s="141"/>
      <c r="H143" s="141"/>
    </row>
    <row r="144" spans="1:9" ht="12.75" customHeight="1" x14ac:dyDescent="0.2">
      <c r="A144" s="203" t="s">
        <v>331</v>
      </c>
      <c r="B144" s="836" t="s">
        <v>332</v>
      </c>
      <c r="C144" s="836"/>
      <c r="D144" s="836"/>
      <c r="E144" s="836"/>
      <c r="F144" s="836"/>
      <c r="G144" s="141"/>
      <c r="H144" s="141"/>
    </row>
    <row r="145" spans="1:8" x14ac:dyDescent="0.2">
      <c r="A145" s="140"/>
      <c r="B145" s="141"/>
      <c r="C145" s="141"/>
      <c r="D145" s="141"/>
      <c r="E145" s="141"/>
      <c r="F145" s="141"/>
      <c r="G145" s="141"/>
      <c r="H145" s="141"/>
    </row>
    <row r="146" spans="1:8" ht="20.25" customHeight="1" x14ac:dyDescent="0.2">
      <c r="A146" s="837" t="s">
        <v>333</v>
      </c>
      <c r="B146" s="837"/>
      <c r="C146" s="837"/>
      <c r="D146" s="837"/>
      <c r="E146" s="837"/>
      <c r="F146" s="837"/>
      <c r="G146" s="837"/>
      <c r="H146" s="204">
        <f>SUM(H147:H147)</f>
        <v>50.323333333333331</v>
      </c>
    </row>
    <row r="147" spans="1:8" ht="15" customHeight="1" x14ac:dyDescent="0.2">
      <c r="A147" s="205" t="s">
        <v>334</v>
      </c>
      <c r="B147" s="206" t="s">
        <v>164</v>
      </c>
      <c r="C147" s="206">
        <v>1</v>
      </c>
      <c r="D147" s="838">
        <f>(54.99+39.99+55.99)/3</f>
        <v>50.323333333333331</v>
      </c>
      <c r="E147" s="838"/>
      <c r="F147" s="838"/>
      <c r="G147" s="838"/>
      <c r="H147" s="207">
        <f>D147</f>
        <v>50.323333333333331</v>
      </c>
    </row>
  </sheetData>
  <mergeCells count="30">
    <mergeCell ref="B142:F142"/>
    <mergeCell ref="B143:F143"/>
    <mergeCell ref="B144:F144"/>
    <mergeCell ref="A146:G146"/>
    <mergeCell ref="D147:G147"/>
    <mergeCell ref="B137:F137"/>
    <mergeCell ref="B138:F138"/>
    <mergeCell ref="B139:F139"/>
    <mergeCell ref="B140:F140"/>
    <mergeCell ref="B141:F141"/>
    <mergeCell ref="A119:H119"/>
    <mergeCell ref="A121:I121"/>
    <mergeCell ref="A123:G123"/>
    <mergeCell ref="A130:G130"/>
    <mergeCell ref="A136:F136"/>
    <mergeCell ref="A100:H100"/>
    <mergeCell ref="A104:K104"/>
    <mergeCell ref="A106:H106"/>
    <mergeCell ref="A113:H113"/>
    <mergeCell ref="A118:H118"/>
    <mergeCell ref="A62:H62"/>
    <mergeCell ref="A70:F70"/>
    <mergeCell ref="A86:K86"/>
    <mergeCell ref="A98:H98"/>
    <mergeCell ref="A99:H99"/>
    <mergeCell ref="A1:H1"/>
    <mergeCell ref="A37:F37"/>
    <mergeCell ref="A38:H38"/>
    <mergeCell ref="A59:F59"/>
    <mergeCell ref="A60:F6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LZ51"/>
  <sheetViews>
    <sheetView showGridLines="0" tabSelected="1" topLeftCell="A21" zoomScaleNormal="100" workbookViewId="0">
      <pane xSplit="4" topLeftCell="V1" activePane="topRight" state="frozen"/>
      <selection activeCell="A16" sqref="A16"/>
      <selection pane="topRight" activeCell="AE47" sqref="AE47"/>
    </sheetView>
  </sheetViews>
  <sheetFormatPr defaultColWidth="10.625" defaultRowHeight="14.25" x14ac:dyDescent="0.2"/>
  <cols>
    <col min="1" max="1" width="31" customWidth="1"/>
    <col min="2" max="2" width="29.375" customWidth="1"/>
    <col min="3" max="3" width="22.625" customWidth="1"/>
    <col min="4" max="5" width="8.625" customWidth="1"/>
    <col min="6" max="6" width="8" customWidth="1"/>
    <col min="7" max="7" width="9.125" customWidth="1"/>
    <col min="8" max="9" width="8.5" customWidth="1"/>
    <col min="10" max="10" width="6.625" customWidth="1"/>
    <col min="11" max="11" width="7.875" customWidth="1"/>
    <col min="12" max="12" width="7.375" customWidth="1"/>
    <col min="13" max="13" width="9.25" customWidth="1"/>
    <col min="14" max="14" width="7" customWidth="1"/>
    <col min="15" max="15" width="8.25" customWidth="1"/>
    <col min="16" max="16" width="7.375" customWidth="1"/>
    <col min="17" max="17" width="7.5" customWidth="1"/>
    <col min="18" max="18" width="7.375" customWidth="1"/>
    <col min="19" max="19" width="8.625" customWidth="1"/>
    <col min="20" max="20" width="6.875" customWidth="1"/>
    <col min="21" max="21" width="7.5" customWidth="1"/>
    <col min="22" max="22" width="7.375" customWidth="1"/>
    <col min="23" max="23" width="7.5" customWidth="1"/>
    <col min="24" max="24" width="7.375" customWidth="1"/>
    <col min="25" max="25" width="8.875" customWidth="1"/>
    <col min="26" max="26" width="7.25" customWidth="1"/>
    <col min="27" max="27" width="12.375" customWidth="1"/>
    <col min="28" max="29" width="11.5" customWidth="1"/>
    <col min="30" max="30" width="13.375" customWidth="1"/>
    <col min="31" max="31" width="12.625" customWidth="1"/>
    <col min="32" max="32" width="15.625" bestFit="1" customWidth="1"/>
  </cols>
  <sheetData>
    <row r="1" spans="1:31" ht="23.25" x14ac:dyDescent="0.2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</row>
    <row r="2" spans="1:31" ht="15" customHeight="1" x14ac:dyDescent="0.2">
      <c r="A2" s="209"/>
      <c r="B2" s="209"/>
      <c r="C2" s="209"/>
      <c r="D2" s="210"/>
      <c r="E2" s="839" t="s">
        <v>335</v>
      </c>
      <c r="F2" s="839"/>
      <c r="G2" s="839"/>
      <c r="H2" s="839"/>
      <c r="I2" s="839"/>
      <c r="J2" s="839"/>
      <c r="K2" s="839"/>
      <c r="L2" s="839"/>
      <c r="M2" s="839"/>
      <c r="N2" s="839"/>
      <c r="O2" s="840" t="s">
        <v>336</v>
      </c>
      <c r="P2" s="840"/>
      <c r="Q2" s="840"/>
      <c r="R2" s="840"/>
      <c r="S2" s="840"/>
      <c r="T2" s="840"/>
      <c r="U2" s="841" t="s">
        <v>337</v>
      </c>
      <c r="V2" s="841"/>
      <c r="W2" s="841"/>
      <c r="X2" s="841"/>
      <c r="Y2" s="841"/>
      <c r="Z2" s="841"/>
      <c r="AA2" s="211" t="s">
        <v>338</v>
      </c>
      <c r="AB2" s="211" t="s">
        <v>339</v>
      </c>
      <c r="AC2" s="211" t="s">
        <v>340</v>
      </c>
      <c r="AD2" s="211" t="s">
        <v>341</v>
      </c>
      <c r="AE2" s="211" t="s">
        <v>342</v>
      </c>
    </row>
    <row r="3" spans="1:31" ht="59.25" customHeight="1" x14ac:dyDescent="0.2">
      <c r="A3" s="842" t="s">
        <v>343</v>
      </c>
      <c r="B3" s="842"/>
      <c r="C3" s="842"/>
      <c r="D3" s="843" t="s">
        <v>344</v>
      </c>
      <c r="E3" s="844" t="s">
        <v>345</v>
      </c>
      <c r="F3" s="844"/>
      <c r="G3" s="845" t="s">
        <v>346</v>
      </c>
      <c r="H3" s="845"/>
      <c r="I3" s="846" t="s">
        <v>347</v>
      </c>
      <c r="J3" s="846"/>
      <c r="K3" s="846" t="s">
        <v>348</v>
      </c>
      <c r="L3" s="846"/>
      <c r="M3" s="846" t="s">
        <v>349</v>
      </c>
      <c r="N3" s="846"/>
      <c r="O3" s="847" t="s">
        <v>350</v>
      </c>
      <c r="P3" s="847"/>
      <c r="Q3" s="848" t="s">
        <v>351</v>
      </c>
      <c r="R3" s="848"/>
      <c r="S3" s="847" t="s">
        <v>352</v>
      </c>
      <c r="T3" s="847"/>
      <c r="U3" s="849" t="s">
        <v>353</v>
      </c>
      <c r="V3" s="849"/>
      <c r="W3" s="849" t="s">
        <v>354</v>
      </c>
      <c r="X3" s="849"/>
      <c r="Y3" s="850" t="s">
        <v>355</v>
      </c>
      <c r="Z3" s="850"/>
      <c r="AA3" s="851" t="s">
        <v>356</v>
      </c>
      <c r="AB3" s="852" t="s">
        <v>357</v>
      </c>
      <c r="AC3" s="853" t="s">
        <v>358</v>
      </c>
      <c r="AD3" s="854" t="s">
        <v>359</v>
      </c>
      <c r="AE3" s="855" t="s">
        <v>360</v>
      </c>
    </row>
    <row r="4" spans="1:31" ht="33.6" customHeight="1" x14ac:dyDescent="0.2">
      <c r="A4" s="842"/>
      <c r="B4" s="842"/>
      <c r="C4" s="842"/>
      <c r="D4" s="843"/>
      <c r="E4" s="844"/>
      <c r="F4" s="844"/>
      <c r="G4" s="845"/>
      <c r="H4" s="845"/>
      <c r="I4" s="846"/>
      <c r="J4" s="846"/>
      <c r="K4" s="846"/>
      <c r="L4" s="846"/>
      <c r="M4" s="846"/>
      <c r="N4" s="846"/>
      <c r="O4" s="847"/>
      <c r="P4" s="847"/>
      <c r="Q4" s="848"/>
      <c r="R4" s="848"/>
      <c r="S4" s="847"/>
      <c r="T4" s="847"/>
      <c r="U4" s="849"/>
      <c r="V4" s="849"/>
      <c r="W4" s="849"/>
      <c r="X4" s="849"/>
      <c r="Y4" s="850"/>
      <c r="Z4" s="850"/>
      <c r="AA4" s="851"/>
      <c r="AB4" s="852"/>
      <c r="AC4" s="853"/>
      <c r="AD4" s="854"/>
      <c r="AE4" s="855"/>
    </row>
    <row r="5" spans="1:31" ht="31.7" customHeight="1" x14ac:dyDescent="0.2">
      <c r="A5" s="842"/>
      <c r="B5" s="842"/>
      <c r="C5" s="842"/>
      <c r="D5" s="843"/>
      <c r="E5" s="216" t="s">
        <v>363</v>
      </c>
      <c r="F5" s="217" t="s">
        <v>364</v>
      </c>
      <c r="G5" s="212" t="s">
        <v>363</v>
      </c>
      <c r="H5" s="217" t="s">
        <v>364</v>
      </c>
      <c r="I5" s="212" t="s">
        <v>363</v>
      </c>
      <c r="J5" s="213" t="s">
        <v>364</v>
      </c>
      <c r="K5" s="212" t="s">
        <v>363</v>
      </c>
      <c r="L5" s="213" t="s">
        <v>364</v>
      </c>
      <c r="M5" s="212" t="s">
        <v>363</v>
      </c>
      <c r="N5" s="213" t="s">
        <v>364</v>
      </c>
      <c r="O5" s="214" t="s">
        <v>363</v>
      </c>
      <c r="P5" s="214" t="s">
        <v>364</v>
      </c>
      <c r="Q5" s="214" t="s">
        <v>363</v>
      </c>
      <c r="R5" s="214" t="s">
        <v>364</v>
      </c>
      <c r="S5" s="214" t="s">
        <v>363</v>
      </c>
      <c r="T5" s="214" t="s">
        <v>364</v>
      </c>
      <c r="U5" s="215" t="s">
        <v>363</v>
      </c>
      <c r="V5" s="215" t="s">
        <v>364</v>
      </c>
      <c r="W5" s="215" t="s">
        <v>363</v>
      </c>
      <c r="X5" s="215" t="s">
        <v>364</v>
      </c>
      <c r="Y5" s="215" t="s">
        <v>363</v>
      </c>
      <c r="Z5" s="218" t="s">
        <v>364</v>
      </c>
      <c r="AA5" s="219" t="s">
        <v>365</v>
      </c>
      <c r="AB5" s="619" t="s">
        <v>365</v>
      </c>
      <c r="AC5" s="220" t="s">
        <v>365</v>
      </c>
      <c r="AD5" s="221" t="s">
        <v>365</v>
      </c>
      <c r="AE5" s="222" t="s">
        <v>365</v>
      </c>
    </row>
    <row r="6" spans="1:31" x14ac:dyDescent="0.2">
      <c r="A6" s="778" t="s">
        <v>83</v>
      </c>
      <c r="B6" s="779" t="s">
        <v>373</v>
      </c>
      <c r="C6" s="780"/>
      <c r="D6" s="781">
        <f>MC!C71</f>
        <v>3.5000000000000003E-2</v>
      </c>
      <c r="E6" s="226">
        <f>'Prod. GEXPEL'!D4</f>
        <v>2166.5006666666668</v>
      </c>
      <c r="F6" s="227">
        <f>'GEXPEL Limp.Ord.'!J156</f>
        <v>5.7877429908821076</v>
      </c>
      <c r="G6" s="613">
        <f>'Prod. GEXPEL'!E4</f>
        <v>537.61933333333332</v>
      </c>
      <c r="H6" s="614">
        <f>'GEXPEL Limp.Ord.'!J162</f>
        <v>6.434370333955223</v>
      </c>
      <c r="I6" s="228">
        <f>'Prod. GEXPEL'!F4</f>
        <v>398.36</v>
      </c>
      <c r="J6" s="614">
        <f>'GEXPEL Limp.Ord.'!J168</f>
        <v>1.8983797010093315</v>
      </c>
      <c r="K6" s="230">
        <f>'Prod. GEXPEL'!G4</f>
        <v>0</v>
      </c>
      <c r="L6" s="614">
        <f>'GEXPEL Limp.Ord.'!J174</f>
        <v>3.1639661683488853</v>
      </c>
      <c r="M6" s="230">
        <f>'Prod. GEXPEL'!H4</f>
        <v>103.31</v>
      </c>
      <c r="N6" s="614">
        <f>'GEXPEL Limp.Ord.'!J180</f>
        <v>17.587278912810941</v>
      </c>
      <c r="O6" s="226">
        <f>'Prod. GEXPEL'!I4</f>
        <v>283.36</v>
      </c>
      <c r="P6" s="614">
        <f>'GEXPEL Limp.Ord.'!H186</f>
        <v>1.7482070181097285</v>
      </c>
      <c r="Q6" s="226">
        <f>'Prod. GEXPEL'!J4</f>
        <v>0</v>
      </c>
      <c r="R6" s="614"/>
      <c r="S6" s="226">
        <f>'Prod. GEXPEL'!K4</f>
        <v>0</v>
      </c>
      <c r="T6" s="614"/>
      <c r="U6" s="226">
        <f>'Prod. GEXPEL'!L4</f>
        <v>0</v>
      </c>
      <c r="V6" s="229"/>
      <c r="W6" s="226">
        <f>'Prod. GEXPEL'!M4</f>
        <v>0</v>
      </c>
      <c r="X6" s="229"/>
      <c r="Y6" s="226">
        <f>'Prod. GEXPEL'!N4</f>
        <v>1408.16</v>
      </c>
      <c r="Z6" s="614">
        <f>'GEXPEL Limp.Ord.'!J204</f>
        <v>1.0586429445407319</v>
      </c>
      <c r="AA6" s="231">
        <f t="shared" ref="AA6:AA13" si="0">(E6*F6)+(G6*H6)+(I6*J6)+(K6*L6)+(M6*N6)+(O6*P6)+(Q6*R6)+(S6*T6)+(U6*V6)+(W6*X6)+(Y6*Z6)</f>
        <v>20557.681849214823</v>
      </c>
      <c r="AB6" s="671"/>
      <c r="AC6" s="674">
        <f>'Prod. GEXPEL'!V4*'GEXPEL Limp.Ord.'!C148</f>
        <v>151.69298123607382</v>
      </c>
      <c r="AD6" s="679">
        <f>'Prod. GEXPEL'!W4*'GEXPEL Covid'!C142</f>
        <v>129.74370930359396</v>
      </c>
      <c r="AE6" s="677">
        <f>'Prod. GEXPEL'!X4*MC!C15</f>
        <v>4043.6000000000004</v>
      </c>
    </row>
    <row r="7" spans="1:31" x14ac:dyDescent="0.2">
      <c r="A7" s="782" t="s">
        <v>85</v>
      </c>
      <c r="B7" s="782" t="s">
        <v>374</v>
      </c>
      <c r="C7" s="783"/>
      <c r="D7" s="784">
        <f>MC!C72</f>
        <v>0.05</v>
      </c>
      <c r="E7" s="226">
        <f>'Prod. GEXPEL'!D5</f>
        <v>663.7793333333334</v>
      </c>
      <c r="F7" s="227">
        <f>'GEXPEL Limp.Ord.'!N156</f>
        <v>5.8890167111560316</v>
      </c>
      <c r="G7" s="615">
        <f>'Prod. GEXPEL'!E5</f>
        <v>631.70066666666662</v>
      </c>
      <c r="H7" s="616">
        <f>'GEXPEL Limp.Ord.'!N162</f>
        <v>6.5422370631282822</v>
      </c>
      <c r="I7" s="228">
        <f>'Prod. GEXPEL'!F5</f>
        <v>131.11000000000001</v>
      </c>
      <c r="J7" s="616">
        <f>'GEXPEL Limp.Ord.'!N168</f>
        <v>1.9300498931018042</v>
      </c>
      <c r="K7" s="230">
        <f>'Prod. GEXPEL'!G5</f>
        <v>0</v>
      </c>
      <c r="L7" s="616">
        <f>'GEXPEL Limp.Ord.'!N174</f>
        <v>3.21674982183634</v>
      </c>
      <c r="M7" s="230">
        <f>'Prod. GEXPEL'!H5</f>
        <v>68.89</v>
      </c>
      <c r="N7" s="616">
        <f>'GEXPEL Limp.Ord.'!N180</f>
        <v>17.882114639217306</v>
      </c>
      <c r="O7" s="226">
        <f>'Prod. GEXPEL'!I5</f>
        <v>202.58</v>
      </c>
      <c r="P7" s="616">
        <f>'GEXPEL Limp.Ord.'!N186</f>
        <v>1.7870832343535221</v>
      </c>
      <c r="Q7" s="226">
        <f>'Prod. GEXPEL'!J5</f>
        <v>47.5</v>
      </c>
      <c r="R7" s="616">
        <f>'GEXPEL Limp.Ord.'!N189</f>
        <v>4.8251247327545099E-2</v>
      </c>
      <c r="S7" s="226">
        <f>'Prod. GEXPEL'!K5</f>
        <v>131.76</v>
      </c>
      <c r="T7" s="616">
        <f>'GEXPEL Limp.Ord.'!N192</f>
        <v>0.53612497030605666</v>
      </c>
      <c r="U7" s="226">
        <f>'Prod. GEXPEL'!L5</f>
        <v>0</v>
      </c>
      <c r="V7" s="229"/>
      <c r="W7" s="226">
        <f>'Prod. GEXPEL'!M5</f>
        <v>0</v>
      </c>
      <c r="X7" s="229"/>
      <c r="Y7" s="226">
        <f>'Prod. GEXPEL'!N5</f>
        <v>608.20000000000005</v>
      </c>
      <c r="Z7" s="616">
        <f>'GEXPEL Limp.Ord.'!N204</f>
        <v>1.0771670409984153</v>
      </c>
      <c r="AA7" s="231">
        <f t="shared" si="0"/>
        <v>10616.782896055935</v>
      </c>
      <c r="AB7" s="672">
        <f>'Prod. GEXPEL'!U5*'GEXPEL Covid'!D139</f>
        <v>3362.7396565694585</v>
      </c>
      <c r="AC7" s="675">
        <f>'Prod. GEXPEL'!V5*'GEXPEL Limp.Ord.'!C150</f>
        <v>154.34650277373109</v>
      </c>
      <c r="AD7" s="680">
        <f>'Prod. GEXPEL'!W5*'GEXPEL Covid'!C145</f>
        <v>132.76980164886731</v>
      </c>
      <c r="AE7" s="678"/>
    </row>
    <row r="8" spans="1:31" x14ac:dyDescent="0.2">
      <c r="A8" s="782" t="s">
        <v>88</v>
      </c>
      <c r="B8" s="782" t="s">
        <v>375</v>
      </c>
      <c r="C8" s="783"/>
      <c r="D8" s="784">
        <f>MC!C73</f>
        <v>2.5000000000000001E-2</v>
      </c>
      <c r="E8" s="226">
        <f>'Prod. GEXPEL'!D6</f>
        <v>113.79600000000002</v>
      </c>
      <c r="F8" s="227">
        <f>'GEXPEL Limp.Ord.'!F156</f>
        <v>5.7251962032561954</v>
      </c>
      <c r="G8" s="615">
        <f>'Prod. GEXPEL'!E6</f>
        <v>705.774</v>
      </c>
      <c r="H8" s="616">
        <f>'GEXPEL Limp.Ord.'!F162</f>
        <v>6.3644963243114852</v>
      </c>
      <c r="I8" s="228">
        <f>'Prod. GEXPEL'!F6</f>
        <v>5.94</v>
      </c>
      <c r="J8" s="616">
        <f>'GEXPEL Limp.Ord.'!F168</f>
        <v>1.8778643546680323</v>
      </c>
      <c r="K8" s="230">
        <f>'Prod. GEXPEL'!G6</f>
        <v>39.58</v>
      </c>
      <c r="L8" s="616">
        <f>'GEXPEL Limp.Ord.'!F174</f>
        <v>3.1297739244467202</v>
      </c>
      <c r="M8" s="230">
        <f>'Prod. GEXPEL'!H6</f>
        <v>41.79</v>
      </c>
      <c r="N8" s="616">
        <f>'GEXPEL Limp.Ord.'!F180</f>
        <v>17.396289953118057</v>
      </c>
      <c r="O8" s="226">
        <f>'Prod. GEXPEL'!I6</f>
        <v>105</v>
      </c>
      <c r="P8" s="616">
        <f>'GEXPEL Limp.Ord.'!F186</f>
        <v>1.7387632913592888</v>
      </c>
      <c r="Q8" s="226">
        <f>'Prod. GEXPEL'!J6</f>
        <v>1082.78</v>
      </c>
      <c r="R8" s="616">
        <f>'GEXPEL Limp.Ord.'!F189</f>
        <v>4.6946608866700802E-2</v>
      </c>
      <c r="S8" s="226">
        <f>'Prod. GEXPEL'!K6</f>
        <v>133.19</v>
      </c>
      <c r="T8" s="616">
        <f>'GEXPEL Limp.Ord.'!F192</f>
        <v>0.52162898740778674</v>
      </c>
      <c r="U8" s="226">
        <f>'Prod. GEXPEL'!L6</f>
        <v>0</v>
      </c>
      <c r="V8" s="229"/>
      <c r="W8" s="226">
        <f>'Prod. GEXPEL'!M6</f>
        <v>0</v>
      </c>
      <c r="X8" s="229"/>
      <c r="Y8" s="226">
        <f>'Prod. GEXPEL'!N6</f>
        <v>273.82</v>
      </c>
      <c r="Z8" s="616">
        <f>'GEXPEL Limp.Ord.'!J204</f>
        <v>1.0586429445407319</v>
      </c>
      <c r="AA8" s="231">
        <f t="shared" si="0"/>
        <v>6598.1787499258862</v>
      </c>
      <c r="AB8" s="672">
        <f>'Prod. GEXPEL'!T6*'GEXPEL Covid'!C135</f>
        <v>4300.2872488726607</v>
      </c>
      <c r="AC8" s="675">
        <f>'Prod. GEXPEL'!V6*'GEXPEL Limp.Ord.'!C146</f>
        <v>149.97408059883787</v>
      </c>
      <c r="AD8" s="680">
        <f>'Prod. GEXPEL'!W6*'GEXPEL Covid'!C141</f>
        <v>129.00861746617983</v>
      </c>
      <c r="AE8" s="678"/>
    </row>
    <row r="9" spans="1:31" x14ac:dyDescent="0.2">
      <c r="A9" s="782" t="s">
        <v>91</v>
      </c>
      <c r="B9" s="782" t="s">
        <v>376</v>
      </c>
      <c r="C9" s="783"/>
      <c r="D9" s="784">
        <f>MC!C74</f>
        <v>0.05</v>
      </c>
      <c r="E9" s="226">
        <f>'Prod. GEXPEL'!D7</f>
        <v>12.265999999999931</v>
      </c>
      <c r="F9" s="227">
        <f>'GEXPEL Limp.Ord.'!N156</f>
        <v>5.8890167111560316</v>
      </c>
      <c r="G9" s="615">
        <f>'Prod. GEXPEL'!E7</f>
        <v>746.36400000000003</v>
      </c>
      <c r="H9" s="616">
        <f>'GEXPEL Limp.Ord.'!N162</f>
        <v>6.5422370631282822</v>
      </c>
      <c r="I9" s="228">
        <f>'Prod. GEXPEL'!F7</f>
        <v>11.23</v>
      </c>
      <c r="J9" s="616">
        <f>'GEXPEL Limp.Ord.'!N168</f>
        <v>1.9300498931018042</v>
      </c>
      <c r="K9" s="230">
        <f>'Prod. GEXPEL'!G7</f>
        <v>116.38</v>
      </c>
      <c r="L9" s="616">
        <f>'GEXPEL Limp.Ord.'!N174</f>
        <v>3.21674982183634</v>
      </c>
      <c r="M9" s="230">
        <f>'Prod. GEXPEL'!H7</f>
        <v>26.94</v>
      </c>
      <c r="N9" s="616">
        <f>'GEXPEL Limp.Ord.'!N180</f>
        <v>17.882114639217306</v>
      </c>
      <c r="O9" s="226">
        <f>'Prod. GEXPEL'!I7</f>
        <v>145.76</v>
      </c>
      <c r="P9" s="616">
        <f>'GEXPEL Limp.Ord.'!N186</f>
        <v>1.7870832343535221</v>
      </c>
      <c r="Q9" s="226">
        <f>'Prod. GEXPEL'!J7</f>
        <v>58.33</v>
      </c>
      <c r="R9" s="616">
        <f>'GEXPEL Limp.Ord.'!N189</f>
        <v>4.8251247327545099E-2</v>
      </c>
      <c r="S9" s="226">
        <f>'Prod. GEXPEL'!K7</f>
        <v>218.24</v>
      </c>
      <c r="T9" s="616">
        <f>'GEXPEL Limp.Ord.'!N192</f>
        <v>0.53612497030605666</v>
      </c>
      <c r="U9" s="226">
        <f>'Prod. GEXPEL'!L7</f>
        <v>0</v>
      </c>
      <c r="V9" s="229"/>
      <c r="W9" s="226">
        <f>'Prod. GEXPEL'!M7</f>
        <v>0</v>
      </c>
      <c r="X9" s="229"/>
      <c r="Y9" s="226">
        <f>'Prod. GEXPEL'!N7</f>
        <v>216.3</v>
      </c>
      <c r="Z9" s="616">
        <f>'GEXPEL Limp.Ord.'!N204</f>
        <v>1.0771670409984153</v>
      </c>
      <c r="AA9" s="231">
        <f t="shared" si="0"/>
        <v>6446.2037672926144</v>
      </c>
      <c r="AB9" s="672">
        <f>'Prod. GEXPEL'!U7*'GEXPEL Covid'!D139</f>
        <v>3362.7396565694585</v>
      </c>
      <c r="AC9" s="675">
        <f>'Prod. GEXPEL'!V7*'GEXPEL Limp.Ord.'!C150</f>
        <v>154.34650277373109</v>
      </c>
      <c r="AD9" s="680">
        <f>'Prod. GEXPEL'!W7*'GEXPEL Covid'!C145</f>
        <v>132.76980164886731</v>
      </c>
      <c r="AE9" s="678"/>
    </row>
    <row r="10" spans="1:31" x14ac:dyDescent="0.2">
      <c r="A10" s="782" t="s">
        <v>93</v>
      </c>
      <c r="B10" s="782" t="s">
        <v>377</v>
      </c>
      <c r="C10" s="783"/>
      <c r="D10" s="784">
        <f>MC!C75</f>
        <v>3.5000000000000003E-2</v>
      </c>
      <c r="E10" s="226">
        <f>'Prod. GEXPEL'!D8</f>
        <v>791.53666666666663</v>
      </c>
      <c r="F10" s="227">
        <f>'GEXPEL Limp.Ord.'!J156</f>
        <v>5.7877429908821076</v>
      </c>
      <c r="G10" s="615">
        <f>'Prod. GEXPEL'!E8</f>
        <v>637.82333333333338</v>
      </c>
      <c r="H10" s="616">
        <f>'GEXPEL Limp.Ord.'!J162</f>
        <v>6.434370333955223</v>
      </c>
      <c r="I10" s="228">
        <f>'Prod. GEXPEL'!F8</f>
        <v>0</v>
      </c>
      <c r="J10" s="616">
        <f>'GEXPEL Limp.Ord.'!J168</f>
        <v>1.8983797010093315</v>
      </c>
      <c r="K10" s="230">
        <f>'Prod. GEXPEL'!G8</f>
        <v>0</v>
      </c>
      <c r="L10" s="616">
        <f>'GEXPEL Limp.Ord.'!J174</f>
        <v>3.1639661683488853</v>
      </c>
      <c r="M10" s="230">
        <f>'Prod. GEXPEL'!H8</f>
        <v>66.650000000000006</v>
      </c>
      <c r="N10" s="616">
        <f>'GEXPEL Limp.Ord.'!J180</f>
        <v>17.587278912810941</v>
      </c>
      <c r="O10" s="226">
        <f>'Prod. GEXPEL'!I8</f>
        <v>121.95</v>
      </c>
      <c r="P10" s="616">
        <f>'GEXPEL Limp.Ord.'!J186</f>
        <v>1.7577589824160473</v>
      </c>
      <c r="Q10" s="226">
        <f>'Prod. GEXPEL'!J8</f>
        <v>256.25</v>
      </c>
      <c r="R10" s="616">
        <f>'GEXPEL Limp.Ord.'!J189</f>
        <v>4.7459492525233286E-2</v>
      </c>
      <c r="S10" s="226"/>
      <c r="T10" s="616"/>
      <c r="U10" s="226">
        <f>'Prod. GEXPEL'!L8</f>
        <v>0</v>
      </c>
      <c r="V10" s="229"/>
      <c r="W10" s="226">
        <f>'Prod. GEXPEL'!M8</f>
        <v>0</v>
      </c>
      <c r="X10" s="229"/>
      <c r="Y10" s="226">
        <f>'Prod. GEXPEL'!N8</f>
        <v>704.08</v>
      </c>
      <c r="Z10" s="616">
        <f>'GEXPEL Limp.Ord.'!J204</f>
        <v>1.0586429445407319</v>
      </c>
      <c r="AA10" s="231">
        <f t="shared" si="0"/>
        <v>10829.283995626938</v>
      </c>
      <c r="AB10" s="672">
        <f>('Prod. GEXPEL'!T8*'GEXPEL Covid'!C137)+('Prod. GEXPEL'!U8*'GEXPEL Covid'!D137)</f>
        <v>15309.003444443402</v>
      </c>
      <c r="AC10" s="675">
        <f>'Prod. GEXPEL'!V8*'GEXPEL Limp.Ord.'!C148</f>
        <v>151.69298123607382</v>
      </c>
      <c r="AD10" s="680">
        <f>'Prod. GEXPEL'!W8*'GEXPEL Covid'!C142</f>
        <v>129.74370930359396</v>
      </c>
      <c r="AE10" s="678"/>
    </row>
    <row r="11" spans="1:31" x14ac:dyDescent="0.2">
      <c r="A11" s="782" t="s">
        <v>95</v>
      </c>
      <c r="B11" s="782" t="s">
        <v>378</v>
      </c>
      <c r="C11" s="783"/>
      <c r="D11" s="784">
        <f>MC!C76</f>
        <v>0.04</v>
      </c>
      <c r="E11" s="226">
        <f>'Prod. GEXPEL'!D9</f>
        <v>591.0899999999998</v>
      </c>
      <c r="F11" s="227">
        <f>'GEXPEL Limp.Ord.'!L156</f>
        <v>5.8195571350203616</v>
      </c>
      <c r="G11" s="615">
        <f>'Prod. GEXPEL'!E9</f>
        <v>621.56000000000006</v>
      </c>
      <c r="H11" s="616">
        <f>'GEXPEL Limp.Ord.'!L162</f>
        <v>6.4699114368431756</v>
      </c>
      <c r="I11" s="228">
        <f>'Prod. GEXPEL'!F9</f>
        <v>25.25</v>
      </c>
      <c r="J11" s="616">
        <f>'GEXPEL Limp.Ord.'!L168</f>
        <v>1.9088147402866786</v>
      </c>
      <c r="K11" s="230">
        <f>'Prod. GEXPEL'!G9</f>
        <v>4.5999999999999996</v>
      </c>
      <c r="L11" s="616">
        <f>'GEXPEL Limp.Ord.'!L174</f>
        <v>3.1813579004777974</v>
      </c>
      <c r="M11" s="230">
        <f>'Prod. GEXPEL'!H9</f>
        <v>72.599999999999994</v>
      </c>
      <c r="N11" s="616">
        <f>'GEXPEL Limp.Ord.'!L180</f>
        <v>17.684424594038013</v>
      </c>
      <c r="O11" s="226">
        <f>'Prod. GEXPEL'!I9</f>
        <v>0</v>
      </c>
      <c r="P11" s="616"/>
      <c r="Q11" s="226"/>
      <c r="R11" s="616"/>
      <c r="S11" s="226"/>
      <c r="T11" s="616"/>
      <c r="U11" s="226">
        <f>'Prod. GEXPEL'!L9</f>
        <v>0</v>
      </c>
      <c r="V11" s="229"/>
      <c r="W11" s="226">
        <f>'Prod. GEXPEL'!M9</f>
        <v>0</v>
      </c>
      <c r="X11" s="229"/>
      <c r="Y11" s="226">
        <f>'Prod. GEXPEL'!N9</f>
        <v>211.7</v>
      </c>
      <c r="Z11" s="616">
        <f>'GEXPEL Limp.Ord.'!L204</f>
        <v>1.0644621074305878</v>
      </c>
      <c r="AA11" s="231">
        <f t="shared" si="0"/>
        <v>9033.3878518280817</v>
      </c>
      <c r="AB11" s="672">
        <f>('Prod. GEXPEL'!T9*'GEXPEL Covid'!C138)+('Prod. GEXPEL'!U9*'GEXPEL Covid'!D138)</f>
        <v>7698.619887767647</v>
      </c>
      <c r="AC11" s="675">
        <f>'Prod. GEXPEL'!V9*'GEXPEL Limp.Ord.'!C149</f>
        <v>152.56729236711749</v>
      </c>
      <c r="AD11" s="680">
        <f>'Prod. GEXPEL'!W9*'GEXPEL Covid'!C144</f>
        <v>131.23931402179102</v>
      </c>
      <c r="AE11" s="678"/>
    </row>
    <row r="12" spans="1:31" x14ac:dyDescent="0.2">
      <c r="A12" s="782" t="s">
        <v>98</v>
      </c>
      <c r="B12" s="782" t="s">
        <v>379</v>
      </c>
      <c r="C12" s="783"/>
      <c r="D12" s="784">
        <f>MC!C77</f>
        <v>0.02</v>
      </c>
      <c r="E12" s="226">
        <f>'Prod. GEXPEL'!D10</f>
        <v>0</v>
      </c>
      <c r="F12" s="227">
        <f>'GEXPEL Limp.Ord.'!D156</f>
        <v>5.6944513738457108</v>
      </c>
      <c r="G12" s="615">
        <f>'Prod. GEXPEL'!E10</f>
        <v>820</v>
      </c>
      <c r="H12" s="616">
        <f>'GEXPEL Limp.Ord.'!D162</f>
        <v>6.3301498040781539</v>
      </c>
      <c r="I12" s="228">
        <f>'Prod. GEXPEL'!F10</f>
        <v>0</v>
      </c>
      <c r="J12" s="616">
        <f>'GEXPEL Limp.Ord.'!D168</f>
        <v>1.8677800506213933</v>
      </c>
      <c r="K12" s="230">
        <f>'Prod. GEXPEL'!G10</f>
        <v>0</v>
      </c>
      <c r="L12" s="616">
        <f>'GEXPEL Limp.Ord.'!D174</f>
        <v>3.1129667510356551</v>
      </c>
      <c r="M12" s="230">
        <f>'Prod. GEXPEL'!H10</f>
        <v>0</v>
      </c>
      <c r="N12" s="616">
        <f>'GEXPEL Limp.Ord.'!D180</f>
        <v>17.289948836828188</v>
      </c>
      <c r="O12" s="226">
        <f>'Prod. GEXPEL'!I10</f>
        <v>0</v>
      </c>
      <c r="P12" s="616"/>
      <c r="Q12" s="226"/>
      <c r="R12" s="616"/>
      <c r="S12" s="226"/>
      <c r="T12" s="616"/>
      <c r="U12" s="226">
        <f>'Prod. GEXPEL'!L10</f>
        <v>0</v>
      </c>
      <c r="V12" s="229"/>
      <c r="W12" s="226">
        <f>'Prod. GEXPEL'!M10</f>
        <v>0</v>
      </c>
      <c r="X12" s="229"/>
      <c r="Y12" s="226">
        <f>'Prod. GEXPEL'!N10</f>
        <v>0</v>
      </c>
      <c r="Z12" s="616">
        <f>'GEXPEL Limp.Ord.'!D204</f>
        <v>1.0415788640665358</v>
      </c>
      <c r="AA12" s="231">
        <f t="shared" si="0"/>
        <v>5190.7228393440864</v>
      </c>
      <c r="AB12" s="672">
        <f>'Prod. GEXPEL'!U10*'GEXPEL Covid'!D134</f>
        <v>3249.0695836713357</v>
      </c>
      <c r="AC12" s="675">
        <f>'Prod. GEXPEL'!V10*'GEXPEL Limp.Ord.'!C145</f>
        <v>149.12915620109794</v>
      </c>
      <c r="AD12" s="680">
        <f>'Prod. GEXPEL'!W10*'GEXPEL Covid'!C140</f>
        <v>128.28180835369432</v>
      </c>
      <c r="AE12" s="678"/>
    </row>
    <row r="13" spans="1:31" x14ac:dyDescent="0.2">
      <c r="A13" s="782" t="s">
        <v>100</v>
      </c>
      <c r="B13" s="782" t="s">
        <v>380</v>
      </c>
      <c r="C13" s="783"/>
      <c r="D13" s="784">
        <f>MC!C78</f>
        <v>0.02</v>
      </c>
      <c r="E13" s="226">
        <f>'Prod. GEXPEL'!D11</f>
        <v>0</v>
      </c>
      <c r="F13" s="227">
        <f>'GEXPEL Limp.Ord.'!D156</f>
        <v>5.6944513738457108</v>
      </c>
      <c r="G13" s="615">
        <f>'Prod. GEXPEL'!E11</f>
        <v>820</v>
      </c>
      <c r="H13" s="616">
        <f>'GEXPEL Limp.Ord.'!D162</f>
        <v>6.3301498040781539</v>
      </c>
      <c r="I13" s="228">
        <f>'Prod. GEXPEL'!F11</f>
        <v>0</v>
      </c>
      <c r="J13" s="616">
        <f>'GEXPEL Limp.Ord.'!D168</f>
        <v>1.8677800506213933</v>
      </c>
      <c r="K13" s="230">
        <f>'Prod. GEXPEL'!G11</f>
        <v>0</v>
      </c>
      <c r="L13" s="616">
        <f>'GEXPEL Limp.Ord.'!D174</f>
        <v>3.1129667510356551</v>
      </c>
      <c r="M13" s="230">
        <f>'Prod. GEXPEL'!H11</f>
        <v>0</v>
      </c>
      <c r="N13" s="616">
        <f>'GEXPEL Limp.Ord.'!D180</f>
        <v>17.289948836828188</v>
      </c>
      <c r="O13" s="226">
        <f>'Prod. GEXPEL'!I11</f>
        <v>0</v>
      </c>
      <c r="P13" s="616"/>
      <c r="Q13" s="226"/>
      <c r="R13" s="616"/>
      <c r="S13" s="226"/>
      <c r="T13" s="616"/>
      <c r="U13" s="226">
        <f>'Prod. GEXPEL'!L11</f>
        <v>0</v>
      </c>
      <c r="V13" s="229"/>
      <c r="W13" s="226">
        <f>'Prod. GEXPEL'!M11</f>
        <v>0</v>
      </c>
      <c r="X13" s="229"/>
      <c r="Y13" s="226">
        <f>'Prod. GEXPEL'!N11</f>
        <v>0</v>
      </c>
      <c r="Z13" s="616">
        <f>'GEXPEL Limp.Ord.'!D204</f>
        <v>1.0415788640665358</v>
      </c>
      <c r="AA13" s="231">
        <f t="shared" si="0"/>
        <v>5190.7228393440864</v>
      </c>
      <c r="AB13" s="672">
        <f>'Prod. GEXPEL'!T11*'GEXPEL Covid'!C134</f>
        <v>4276.0602784564771</v>
      </c>
      <c r="AC13" s="675">
        <f>'Prod. GEXPEL'!V11*'GEXPEL Limp.Ord.'!C145</f>
        <v>149.12915620109794</v>
      </c>
      <c r="AD13" s="680">
        <f>'Prod. GEXPEL'!W11*'GEXPEL Covid'!C140</f>
        <v>128.28180835369432</v>
      </c>
      <c r="AE13" s="678"/>
    </row>
    <row r="14" spans="1:31" x14ac:dyDescent="0.2">
      <c r="A14" s="782" t="s">
        <v>102</v>
      </c>
      <c r="B14" s="782" t="s">
        <v>381</v>
      </c>
      <c r="C14" s="783"/>
      <c r="D14" s="784">
        <f>MC!C79</f>
        <v>0.03</v>
      </c>
      <c r="E14" s="226">
        <f>'Prod. GEXPEL'!D12</f>
        <v>0</v>
      </c>
      <c r="F14" s="227">
        <f>'GEXPEL Limp.Ord.'!H156</f>
        <v>5.7562914010930095</v>
      </c>
      <c r="G14" s="615">
        <f>'Prod. GEXPEL'!E12</f>
        <v>820</v>
      </c>
      <c r="H14" s="616">
        <f>'GEXPEL Limp.Ord.'!H162</f>
        <v>6.3992342578808072</v>
      </c>
      <c r="I14" s="228">
        <f>'Prod. GEXPEL'!F12</f>
        <v>0</v>
      </c>
      <c r="J14" s="616">
        <f>'GEXPEL Limp.Ord.'!H168</f>
        <v>1.888063579558507</v>
      </c>
      <c r="K14" s="230">
        <f>'Prod. GEXPEL'!G12</f>
        <v>0</v>
      </c>
      <c r="L14" s="616">
        <f>'GEXPEL Limp.Ord.'!H174</f>
        <v>3.1467726325975116</v>
      </c>
      <c r="M14" s="230">
        <f>'Prod. GEXPEL'!H12</f>
        <v>0</v>
      </c>
      <c r="N14" s="616">
        <f>'GEXPEL Limp.Ord.'!H180</f>
        <v>17.491240304874207</v>
      </c>
      <c r="O14" s="226">
        <f>'Prod. GEXPEL'!I12</f>
        <v>0</v>
      </c>
      <c r="P14" s="616"/>
      <c r="Q14" s="226"/>
      <c r="R14" s="616"/>
      <c r="S14" s="226"/>
      <c r="T14" s="616"/>
      <c r="U14" s="226">
        <f>'Prod. GEXPEL'!L12</f>
        <v>0</v>
      </c>
      <c r="V14" s="229"/>
      <c r="W14" s="226">
        <f>'Prod. GEXPEL'!M12</f>
        <v>0</v>
      </c>
      <c r="X14" s="229"/>
      <c r="Y14" s="226">
        <f>'Prod. GEXPEL'!N12</f>
        <v>0</v>
      </c>
      <c r="Z14" s="616">
        <f>'GEXPEL Limp.Ord.'!H204</f>
        <v>1.0528900968974844</v>
      </c>
      <c r="AA14" s="231">
        <f t="shared" ref="AA14:AA18" si="1">(E14*F14)+(G14*H14)+(I14*J14)+(K14*L14)+(M14*N14)+(O14*P14)+(Q14*R14)+(S14*T14)+(U14*V14)+(W14*X14)+(Y14*Z14)</f>
        <v>5247.3720914622618</v>
      </c>
      <c r="AB14" s="672">
        <f>'Prod. GEXPEL'!U12*'GEXPEL Covid'!D136</f>
        <v>3286.0960176732883</v>
      </c>
      <c r="AC14" s="675">
        <f>'Prod. GEXPEL'!V12*'GEXPEL Limp.Ord.'!C147</f>
        <v>150.82863376464323</v>
      </c>
      <c r="AD14" s="680">
        <f>'Prod. GEXPEL'!W12*'GEXPEL Covid'!C143</f>
        <v>130.4872262623538</v>
      </c>
      <c r="AE14" s="678"/>
    </row>
    <row r="15" spans="1:31" x14ac:dyDescent="0.2">
      <c r="A15" s="782" t="s">
        <v>104</v>
      </c>
      <c r="B15" s="782" t="s">
        <v>382</v>
      </c>
      <c r="C15" s="783"/>
      <c r="D15" s="784">
        <f>MC!C80</f>
        <v>0.02</v>
      </c>
      <c r="E15" s="226">
        <f>'Prod. GEXPEL'!D13</f>
        <v>0</v>
      </c>
      <c r="F15" s="227">
        <f>'GEXPEL Limp.Ord.'!D156</f>
        <v>5.6944513738457108</v>
      </c>
      <c r="G15" s="615">
        <f>'Prod. GEXPEL'!E13</f>
        <v>820</v>
      </c>
      <c r="H15" s="616">
        <f>'GEXPEL Limp.Ord.'!D162</f>
        <v>6.3301498040781539</v>
      </c>
      <c r="I15" s="228">
        <f>'Prod. GEXPEL'!F13</f>
        <v>0</v>
      </c>
      <c r="J15" s="616">
        <f>'GEXPEL Limp.Ord.'!D168</f>
        <v>1.8677800506213933</v>
      </c>
      <c r="K15" s="230">
        <f>'Prod. GEXPEL'!G13</f>
        <v>0</v>
      </c>
      <c r="L15" s="616">
        <f>'GEXPEL Limp.Ord.'!D174</f>
        <v>3.1129667510356551</v>
      </c>
      <c r="M15" s="230">
        <f>'Prod. GEXPEL'!H13</f>
        <v>0</v>
      </c>
      <c r="N15" s="616">
        <f>'GEXPEL Limp.Ord.'!D180</f>
        <v>17.289948836828188</v>
      </c>
      <c r="O15" s="226">
        <f>'Prod. GEXPEL'!I13</f>
        <v>0</v>
      </c>
      <c r="P15" s="616"/>
      <c r="Q15" s="226"/>
      <c r="R15" s="616"/>
      <c r="S15" s="226"/>
      <c r="T15" s="616"/>
      <c r="U15" s="226">
        <f>'Prod. GEXPEL'!L13</f>
        <v>0</v>
      </c>
      <c r="V15" s="229"/>
      <c r="W15" s="226">
        <f>'Prod. GEXPEL'!M13</f>
        <v>0</v>
      </c>
      <c r="X15" s="229"/>
      <c r="Y15" s="226">
        <f>'Prod. GEXPEL'!N13</f>
        <v>0</v>
      </c>
      <c r="Z15" s="616">
        <f>'GEXPEL Limp.Ord.'!D204</f>
        <v>1.0415788640665358</v>
      </c>
      <c r="AA15" s="231">
        <f t="shared" si="1"/>
        <v>5190.7228393440864</v>
      </c>
      <c r="AB15" s="672"/>
      <c r="AC15" s="675">
        <f>'Prod. GEXPEL'!V13*'GEXPEL Limp.Ord.'!C145</f>
        <v>149.12915620109794</v>
      </c>
      <c r="AD15" s="680">
        <f>'Prod. GEXPEL'!W13*'GEXPEL Covid'!C140</f>
        <v>128.28180835369432</v>
      </c>
      <c r="AE15" s="678"/>
    </row>
    <row r="16" spans="1:31" x14ac:dyDescent="0.2">
      <c r="A16" s="782" t="s">
        <v>106</v>
      </c>
      <c r="B16" s="782" t="s">
        <v>383</v>
      </c>
      <c r="C16" s="783"/>
      <c r="D16" s="784">
        <f>MC!C81</f>
        <v>0.02</v>
      </c>
      <c r="E16" s="226">
        <f>'Prod. GEXPEL'!D14</f>
        <v>0</v>
      </c>
      <c r="F16" s="227">
        <f>'GEXPEL Limp.Ord.'!D156</f>
        <v>5.6944513738457108</v>
      </c>
      <c r="G16" s="615">
        <f>'Prod. GEXPEL'!E14</f>
        <v>820</v>
      </c>
      <c r="H16" s="616">
        <f>'GEXPEL Limp.Ord.'!D162</f>
        <v>6.3301498040781539</v>
      </c>
      <c r="I16" s="228">
        <f>'Prod. GEXPEL'!F14</f>
        <v>0</v>
      </c>
      <c r="J16" s="616">
        <f>'GEXPEL Limp.Ord.'!D168</f>
        <v>1.8677800506213933</v>
      </c>
      <c r="K16" s="230">
        <f>'Prod. GEXPEL'!G14</f>
        <v>0</v>
      </c>
      <c r="L16" s="616">
        <f>'GEXPEL Limp.Ord.'!D174</f>
        <v>3.1129667510356551</v>
      </c>
      <c r="M16" s="230">
        <f>'Prod. GEXPEL'!H14</f>
        <v>0</v>
      </c>
      <c r="N16" s="616">
        <f>'GEXPEL Limp.Ord.'!D180</f>
        <v>17.289948836828188</v>
      </c>
      <c r="O16" s="226">
        <f>'Prod. GEXPEL'!I14</f>
        <v>0</v>
      </c>
      <c r="P16" s="616"/>
      <c r="Q16" s="226"/>
      <c r="R16" s="616"/>
      <c r="S16" s="226"/>
      <c r="T16" s="616"/>
      <c r="U16" s="226">
        <f>'Prod. GEXPEL'!L14</f>
        <v>0</v>
      </c>
      <c r="V16" s="229"/>
      <c r="W16" s="226">
        <f>'Prod. GEXPEL'!M14</f>
        <v>0</v>
      </c>
      <c r="X16" s="229"/>
      <c r="Y16" s="226">
        <f>'Prod. GEXPEL'!N14</f>
        <v>0</v>
      </c>
      <c r="Z16" s="616">
        <f>'GEXPEL Limp.Ord.'!D204</f>
        <v>1.0415788640665358</v>
      </c>
      <c r="AA16" s="231">
        <f t="shared" si="1"/>
        <v>5190.7228393440864</v>
      </c>
      <c r="AB16" s="672"/>
      <c r="AC16" s="675">
        <f>'Prod. GEXPEL'!V14*'GEXPEL Limp.Ord.'!C145</f>
        <v>149.12915620109794</v>
      </c>
      <c r="AD16" s="680">
        <f>'Prod. GEXPEL'!W14*'GEXPEL Covid'!C140</f>
        <v>128.28180835369432</v>
      </c>
      <c r="AE16" s="678"/>
    </row>
    <row r="17" spans="1:1014" x14ac:dyDescent="0.2">
      <c r="A17" s="782" t="s">
        <v>109</v>
      </c>
      <c r="B17" s="782" t="s">
        <v>384</v>
      </c>
      <c r="C17" s="783"/>
      <c r="D17" s="784">
        <f>MC!C81</f>
        <v>0.02</v>
      </c>
      <c r="E17" s="226">
        <f>'Prod. GEXPEL'!D15</f>
        <v>0</v>
      </c>
      <c r="F17" s="227">
        <f>'GEXPEL Limp.Ord.'!D156</f>
        <v>5.6944513738457108</v>
      </c>
      <c r="G17" s="615">
        <f>'Prod. GEXPEL'!E15</f>
        <v>820</v>
      </c>
      <c r="H17" s="616">
        <f>'GEXPEL Limp.Ord.'!D162</f>
        <v>6.3301498040781539</v>
      </c>
      <c r="I17" s="228">
        <f>'Prod. GEXPEL'!F15</f>
        <v>0</v>
      </c>
      <c r="J17" s="616">
        <f>'GEXPEL Limp.Ord.'!D168</f>
        <v>1.8677800506213933</v>
      </c>
      <c r="K17" s="230">
        <f>'Prod. GEXPEL'!G15</f>
        <v>0</v>
      </c>
      <c r="L17" s="616">
        <f>'GEXPEL Limp.Ord.'!D174</f>
        <v>3.1129667510356551</v>
      </c>
      <c r="M17" s="230">
        <f>'Prod. GEXPEL'!H15</f>
        <v>0</v>
      </c>
      <c r="N17" s="616">
        <f>'GEXPEL Limp.Ord.'!D180</f>
        <v>17.289948836828188</v>
      </c>
      <c r="O17" s="226">
        <f>'Prod. GEXPEL'!I15</f>
        <v>0</v>
      </c>
      <c r="P17" s="616"/>
      <c r="Q17" s="226"/>
      <c r="R17" s="616"/>
      <c r="S17" s="226"/>
      <c r="T17" s="616"/>
      <c r="U17" s="226">
        <f>'Prod. GEXPEL'!L15</f>
        <v>0</v>
      </c>
      <c r="V17" s="229"/>
      <c r="W17" s="226">
        <f>'Prod. GEXPEL'!M15</f>
        <v>0</v>
      </c>
      <c r="X17" s="229"/>
      <c r="Y17" s="226">
        <f>'Prod. GEXPEL'!N15</f>
        <v>0</v>
      </c>
      <c r="Z17" s="616">
        <f>'GEXPEL Limp.Ord.'!D204</f>
        <v>1.0415788640665358</v>
      </c>
      <c r="AA17" s="231">
        <f t="shared" si="1"/>
        <v>5190.7228393440864</v>
      </c>
      <c r="AB17" s="672"/>
      <c r="AC17" s="675">
        <f>'Prod. GEXPEL'!V15*'GEXPEL Limp.Ord.'!C145</f>
        <v>149.12915620109794</v>
      </c>
      <c r="AD17" s="680">
        <f>'Prod. GEXPEL'!W15*'GEXPEL Covid'!C140</f>
        <v>128.28180835369432</v>
      </c>
      <c r="AE17" s="678"/>
    </row>
    <row r="18" spans="1:1014" x14ac:dyDescent="0.2">
      <c r="A18" s="782" t="s">
        <v>112</v>
      </c>
      <c r="B18" s="782" t="s">
        <v>385</v>
      </c>
      <c r="C18" s="783"/>
      <c r="D18" s="784">
        <f>MC!C83</f>
        <v>0.05</v>
      </c>
      <c r="E18" s="226">
        <f>'Prod. GEXPEL'!D16</f>
        <v>0</v>
      </c>
      <c r="F18" s="227">
        <f>'GEXPEL Limp.Ord.'!N156</f>
        <v>5.8890167111560316</v>
      </c>
      <c r="G18" s="617">
        <f>'Prod. GEXPEL'!E16</f>
        <v>820</v>
      </c>
      <c r="H18" s="618">
        <f>'GEXPEL Limp.Ord.'!N162</f>
        <v>6.5422370631282822</v>
      </c>
      <c r="I18" s="228">
        <f>'Prod. GEXPEL'!F16</f>
        <v>0</v>
      </c>
      <c r="J18" s="618">
        <f>'GEXPEL Limp.Ord.'!N168</f>
        <v>1.9300498931018042</v>
      </c>
      <c r="K18" s="230">
        <f>'Prod. GEXPEL'!G16</f>
        <v>0</v>
      </c>
      <c r="L18" s="618">
        <f>'GEXPEL Limp.Ord.'!N174</f>
        <v>3.21674982183634</v>
      </c>
      <c r="M18" s="230">
        <f>'Prod. GEXPEL'!H16</f>
        <v>0</v>
      </c>
      <c r="N18" s="618">
        <f>'GEXPEL Limp.Ord.'!N180</f>
        <v>17.882114639217306</v>
      </c>
      <c r="O18" s="226">
        <f>'Prod. GEXPEL'!I16</f>
        <v>0</v>
      </c>
      <c r="P18" s="618"/>
      <c r="Q18" s="226"/>
      <c r="R18" s="618"/>
      <c r="S18" s="226"/>
      <c r="T18" s="618"/>
      <c r="U18" s="226">
        <f>'Prod. GEXPEL'!L16</f>
        <v>0</v>
      </c>
      <c r="V18" s="229"/>
      <c r="W18" s="226">
        <f>'Prod. GEXPEL'!M16</f>
        <v>0</v>
      </c>
      <c r="X18" s="229"/>
      <c r="Y18" s="226">
        <f>'Prod. GEXPEL'!N16</f>
        <v>0</v>
      </c>
      <c r="Z18" s="618">
        <f>'GEXPEL Limp.Ord.'!N204</f>
        <v>1.0771670409984153</v>
      </c>
      <c r="AA18" s="231">
        <f t="shared" si="1"/>
        <v>5364.6343917651911</v>
      </c>
      <c r="AB18" s="672"/>
      <c r="AC18" s="676">
        <f>'Prod. GEXPEL'!V16*'GEXPEL Limp.Ord.'!C150</f>
        <v>154.34650277373109</v>
      </c>
      <c r="AD18" s="681">
        <f>'Prod. GEXPEL'!W16*'GEXPEL Covid'!C145</f>
        <v>132.76980164886731</v>
      </c>
      <c r="AE18" s="678"/>
    </row>
    <row r="19" spans="1:1014" ht="14.25" customHeight="1" x14ac:dyDescent="0.2">
      <c r="A19" s="858" t="s">
        <v>386</v>
      </c>
      <c r="B19" s="858"/>
      <c r="C19" s="858"/>
      <c r="D19" s="858"/>
      <c r="E19" s="234">
        <f>SUM(E6:E18)</f>
        <v>4338.9686666666666</v>
      </c>
      <c r="F19" s="235"/>
      <c r="G19" s="234">
        <f>SUM(G6:G18)</f>
        <v>9620.8413333333338</v>
      </c>
      <c r="H19" s="235"/>
      <c r="I19" s="236">
        <f>SUM(I6:I18)</f>
        <v>571.8900000000001</v>
      </c>
      <c r="J19" s="237"/>
      <c r="K19" s="236">
        <f>SUM(K6:K18)</f>
        <v>160.55999999999997</v>
      </c>
      <c r="L19" s="237"/>
      <c r="M19" s="236">
        <f>SUM(M6:M18)</f>
        <v>380.17999999999995</v>
      </c>
      <c r="N19" s="237"/>
      <c r="O19" s="236">
        <f>SUM(O6:O18)</f>
        <v>858.65000000000009</v>
      </c>
      <c r="P19" s="237"/>
      <c r="Q19" s="238">
        <f>SUM(Q6:Q18)</f>
        <v>1444.86</v>
      </c>
      <c r="R19" s="237"/>
      <c r="S19" s="236">
        <f>SUM(S6:S18)</f>
        <v>483.19</v>
      </c>
      <c r="T19" s="237"/>
      <c r="U19" s="236">
        <f>SUM(U6:U18)</f>
        <v>0</v>
      </c>
      <c r="V19" s="237"/>
      <c r="W19" s="238">
        <f>SUM(W6:W18)</f>
        <v>0</v>
      </c>
      <c r="X19" s="237"/>
      <c r="Y19" s="239">
        <f>SUM(Y6:Y18)</f>
        <v>3422.26</v>
      </c>
      <c r="Z19" s="237"/>
      <c r="AA19" s="237">
        <f t="shared" ref="AA19:AE19" si="2">SUM(AA6:AA18)</f>
        <v>100647.13978989219</v>
      </c>
      <c r="AB19" s="240">
        <f t="shared" si="2"/>
        <v>44844.615774023725</v>
      </c>
      <c r="AC19" s="673">
        <f t="shared" si="2"/>
        <v>1965.441258529429</v>
      </c>
      <c r="AD19" s="240">
        <f t="shared" si="2"/>
        <v>1689.9410230725857</v>
      </c>
      <c r="AE19" s="237">
        <f t="shared" si="2"/>
        <v>4043.6000000000004</v>
      </c>
      <c r="ALO19" s="242"/>
      <c r="ALP19" s="242"/>
      <c r="ALQ19" s="242"/>
      <c r="ALR19" s="242"/>
      <c r="ALS19" s="242"/>
      <c r="ALT19" s="242"/>
      <c r="ALU19" s="242"/>
      <c r="ALV19" s="242"/>
      <c r="ALW19" s="242"/>
      <c r="ALX19" s="242"/>
      <c r="ALY19" s="242"/>
      <c r="ALZ19" s="242"/>
    </row>
    <row r="20" spans="1:1014" x14ac:dyDescent="0.2">
      <c r="A20" s="778" t="s">
        <v>84</v>
      </c>
      <c r="B20" s="779" t="s">
        <v>387</v>
      </c>
      <c r="C20" s="785"/>
      <c r="D20" s="786">
        <f>MC!J71</f>
        <v>0.02</v>
      </c>
      <c r="E20" s="243">
        <f>'Prod. GEXSTM'!D4</f>
        <v>88.999999999999929</v>
      </c>
      <c r="F20" s="244">
        <f>'GEXSTM Limp.Ord. '!D156</f>
        <v>5.8187266187102118</v>
      </c>
      <c r="G20" s="245">
        <f>'Prod. GEXSTM'!E4</f>
        <v>538.16000000000008</v>
      </c>
      <c r="H20" s="244">
        <f>'GEXSTM Limp.Ord. '!D162</f>
        <v>6.4703175096984644</v>
      </c>
      <c r="I20" s="246">
        <f>'Prod. GEXSTM'!F4</f>
        <v>803.03</v>
      </c>
      <c r="J20" s="247">
        <f>'GEXSTM Limp.Ord. '!D$168</f>
        <v>3.1033208633121125</v>
      </c>
      <c r="K20" s="246">
        <f>'Prod. GEXSTM'!G4</f>
        <v>262.62</v>
      </c>
      <c r="L20" s="247">
        <f>'GEXSTM Limp.Ord. '!D$174</f>
        <v>4.6549812949681701</v>
      </c>
      <c r="M20" s="246">
        <f>'Prod. GEXSTM'!H4</f>
        <v>65.459999999999994</v>
      </c>
      <c r="N20" s="247">
        <f>'GEXSTM Limp.Ord. '!D$180</f>
        <v>25.881270038793858</v>
      </c>
      <c r="O20" s="246">
        <f>'Prod. GEXSTM'!I4</f>
        <v>365.93</v>
      </c>
      <c r="P20" s="247">
        <f>'GEXSTM Limp.Ord. '!D186</f>
        <v>2.5861007194267609</v>
      </c>
      <c r="Q20" s="246">
        <f>'Prod. GEXSTM'!J4</f>
        <v>0</v>
      </c>
      <c r="R20" s="247"/>
      <c r="S20" s="246">
        <f>'Prod. GEXSTM'!K4</f>
        <v>1669.27</v>
      </c>
      <c r="T20" s="247">
        <f>'GEXSTM Limp.Ord. '!D192</f>
        <v>0.77583021582802814</v>
      </c>
      <c r="U20" s="248">
        <f>'Prod. GEXSTM'!L4</f>
        <v>127.51</v>
      </c>
      <c r="V20" s="247">
        <f>'GEXSTM Limp.Ord. '!D198</f>
        <v>0.23768466634354646</v>
      </c>
      <c r="W20" s="246">
        <f>'Prod. GEXSTM'!M4</f>
        <v>232.42</v>
      </c>
      <c r="X20" s="247">
        <f>'GEXSTM Limp.Ord. '!D201</f>
        <v>1.0383514114203878</v>
      </c>
      <c r="Y20" s="249">
        <f>'Prod. GEXSTM'!N4</f>
        <v>911.39</v>
      </c>
      <c r="Z20" s="247">
        <f>'GEXSTM Limp.Ord. '!D204</f>
        <v>1.0383514114203878</v>
      </c>
      <c r="AA20" s="250">
        <f t="shared" ref="AA20:AA33" si="3">(E20*F20)+(G20*H20)+(I20*J20)+(K20*L20)+(M20*N20)+(O20*P20)+(Q20*R20)+(S20*T20)+(U20*V20)+(W20*X20)+(Y20*Z20)</f>
        <v>12868.057457711353</v>
      </c>
      <c r="AB20" s="251"/>
      <c r="AC20" s="252">
        <f>'Prod. GEXSTM'!W4*'GEXSTM Limp.Ord. '!C145</f>
        <v>149.38756679505224</v>
      </c>
      <c r="AD20" s="260">
        <f>'Prod. GEXSTM'!X4*'GEXSTM Covid '!C140</f>
        <v>128.28180835369432</v>
      </c>
      <c r="AE20" s="253">
        <f>MC!C15*'Prod. GEXSTM'!Y4</f>
        <v>4043.6000000000004</v>
      </c>
      <c r="ALO20" s="242"/>
      <c r="ALP20" s="242"/>
      <c r="ALQ20" s="242"/>
      <c r="ALR20" s="242"/>
      <c r="ALS20" s="242"/>
      <c r="ALT20" s="242"/>
      <c r="ALU20" s="242"/>
      <c r="ALV20" s="242"/>
      <c r="ALW20" s="242"/>
      <c r="ALX20" s="242"/>
      <c r="ALY20" s="242"/>
      <c r="ALZ20" s="242"/>
    </row>
    <row r="21" spans="1:1014" x14ac:dyDescent="0.2">
      <c r="A21" s="782" t="s">
        <v>87</v>
      </c>
      <c r="B21" s="782" t="s">
        <v>388</v>
      </c>
      <c r="C21" s="783"/>
      <c r="D21" s="787">
        <f>MC!J72</f>
        <v>0.02</v>
      </c>
      <c r="E21" s="226">
        <f>'Prod. GEXSTM'!D5</f>
        <v>0</v>
      </c>
      <c r="F21" s="229">
        <f>'GEXSTM Limp.Ord. '!D156</f>
        <v>5.8187266187102118</v>
      </c>
      <c r="G21" s="254">
        <f>'Prod. GEXSTM'!E5</f>
        <v>600</v>
      </c>
      <c r="H21" s="229">
        <f>'GEXSTM Limp.Ord. '!D162</f>
        <v>6.4703175096984644</v>
      </c>
      <c r="I21" s="255">
        <f>'Prod. GEXSTM'!F5</f>
        <v>0</v>
      </c>
      <c r="J21" s="256">
        <f>'GEXSTM Limp.Ord. '!D168</f>
        <v>3.1033208633121125</v>
      </c>
      <c r="K21" s="255">
        <f>'Prod. GEXSTM'!G5</f>
        <v>0</v>
      </c>
      <c r="L21" s="247">
        <f>'GEXSTM Limp.Ord. '!D174</f>
        <v>4.6549812949681701</v>
      </c>
      <c r="M21" s="255">
        <f>'Prod. GEXSTM'!H5</f>
        <v>0</v>
      </c>
      <c r="N21" s="256">
        <f>'GEXSTM Limp.Ord. '!D180</f>
        <v>25.881270038793858</v>
      </c>
      <c r="O21" s="255">
        <f>'Prod. GEXSTM'!I5</f>
        <v>0</v>
      </c>
      <c r="P21" s="256">
        <f>'GEXSTM Limp.Ord. '!D186</f>
        <v>2.5861007194267609</v>
      </c>
      <c r="Q21" s="255">
        <f>'Prod. GEXSTM'!J5</f>
        <v>0</v>
      </c>
      <c r="R21" s="256"/>
      <c r="S21" s="255">
        <f>'Prod. GEXSTM'!K5</f>
        <v>0</v>
      </c>
      <c r="T21" s="256"/>
      <c r="U21" s="257">
        <f>'Prod. GEXSTM'!L5</f>
        <v>0</v>
      </c>
      <c r="V21" s="256"/>
      <c r="W21" s="255">
        <f>'Prod. GEXSTM'!M5</f>
        <v>0</v>
      </c>
      <c r="X21" s="256"/>
      <c r="Y21" s="258">
        <f>'Prod. GEXSTM'!N5</f>
        <v>0</v>
      </c>
      <c r="Z21" s="256"/>
      <c r="AA21" s="250">
        <f t="shared" si="3"/>
        <v>3882.1905058190787</v>
      </c>
      <c r="AB21" s="251"/>
      <c r="AC21" s="259">
        <f>'Prod. GEXSTM'!W5*'GEXSTM Limp.Ord. '!C145</f>
        <v>149.38756679505224</v>
      </c>
      <c r="AD21" s="260">
        <f>'Prod. GEXSTM'!X5*'GEXSTM Covid '!C140</f>
        <v>128.28180835369432</v>
      </c>
      <c r="AE21" s="261"/>
      <c r="ALO21" s="242"/>
      <c r="ALP21" s="242"/>
      <c r="ALQ21" s="242"/>
      <c r="ALR21" s="242"/>
      <c r="ALS21" s="242"/>
      <c r="ALT21" s="242"/>
      <c r="ALU21" s="242"/>
      <c r="ALV21" s="242"/>
      <c r="ALW21" s="242"/>
      <c r="ALX21" s="242"/>
      <c r="ALY21" s="242"/>
      <c r="ALZ21" s="242"/>
    </row>
    <row r="22" spans="1:1014" x14ac:dyDescent="0.2">
      <c r="A22" s="782" t="s">
        <v>90</v>
      </c>
      <c r="B22" s="782" t="s">
        <v>389</v>
      </c>
      <c r="C22" s="783"/>
      <c r="D22" s="787">
        <f>MC!J73</f>
        <v>2.5000000000000001E-2</v>
      </c>
      <c r="E22" s="226">
        <f>'Prod. GEXSTM'!D6</f>
        <v>-49.680000000000085</v>
      </c>
      <c r="F22" s="229">
        <f>'GEXSTM Limp.Ord. '!F156</f>
        <v>5.8503010723011784</v>
      </c>
      <c r="G22" s="254">
        <f>'Prod. GEXSTM'!E6</f>
        <v>574.88</v>
      </c>
      <c r="H22" s="229">
        <f>'GEXSTM Limp.Ord. '!F162</f>
        <v>6.5055836963828488</v>
      </c>
      <c r="I22" s="255">
        <f>'Prod. GEXSTM'!F6</f>
        <v>602.02999999999986</v>
      </c>
      <c r="J22" s="256">
        <f>'GEXSTM Limp.Ord. '!F168</f>
        <v>3.1201605718939613</v>
      </c>
      <c r="K22" s="255">
        <f>'Prod. GEXSTM'!G6</f>
        <v>0</v>
      </c>
      <c r="L22" s="247">
        <f>'GEXSTM Limp.Ord. '!F174</f>
        <v>4.6802408578409427</v>
      </c>
      <c r="M22" s="255">
        <f>'Prod. GEXSTM'!H6</f>
        <v>56.279999999999994</v>
      </c>
      <c r="N22" s="256">
        <f>'GEXSTM Limp.Ord. '!F180</f>
        <v>26.022334785531395</v>
      </c>
      <c r="O22" s="255">
        <f>'Prod. GEXSTM'!I6</f>
        <v>541.20000000000005</v>
      </c>
      <c r="P22" s="256">
        <f>'GEXSTM Limp.Ord. '!F186</f>
        <v>2.6001338099116351</v>
      </c>
      <c r="Q22" s="255">
        <f>'Prod. GEXSTM'!J6</f>
        <v>0</v>
      </c>
      <c r="R22" s="256"/>
      <c r="S22" s="255">
        <f>'Prod. GEXSTM'!K6</f>
        <v>1233.1899999999998</v>
      </c>
      <c r="T22" s="256">
        <f>'GEXSTM Limp.Ord. '!F192</f>
        <v>0.78004014297349034</v>
      </c>
      <c r="U22" s="257">
        <f>'Prod. GEXSTM'!L6</f>
        <v>230.86</v>
      </c>
      <c r="V22" s="256">
        <f>'GEXSTM Limp.Ord. '!F198</f>
        <v>0.23876049244821052</v>
      </c>
      <c r="W22" s="255">
        <f>'Prod. GEXSTM'!M6</f>
        <v>69.12</v>
      </c>
      <c r="X22" s="256">
        <f>'GEXSTM Limp.Ord. '!F201</f>
        <v>1.043985870744458</v>
      </c>
      <c r="Y22" s="258">
        <f>'Prod. GEXSTM'!N6</f>
        <v>386.66</v>
      </c>
      <c r="Z22" s="256">
        <f>'GEXSTM Limp.Ord. '!F204</f>
        <v>1.043985870744458</v>
      </c>
      <c r="AA22" s="250">
        <f t="shared" si="3"/>
        <v>9692.3325182238368</v>
      </c>
      <c r="AB22" s="251">
        <f>'Prod. GEXSTM'!U6*'GEXSTM Covid '!D135</f>
        <v>3267.4779099244315</v>
      </c>
      <c r="AC22" s="259">
        <f>'Prod. GEXSTM'!W6*'GEXSTM Limp.Ord. '!C146</f>
        <v>150.23395527547746</v>
      </c>
      <c r="AD22" s="260">
        <f>'Prod. GEXSTM'!X6*'GEXSTM Covid '!C141</f>
        <v>129.00861746617983</v>
      </c>
      <c r="AE22" s="261"/>
      <c r="ALO22" s="242"/>
      <c r="ALP22" s="242"/>
      <c r="ALQ22" s="242"/>
      <c r="ALR22" s="242"/>
      <c r="ALS22" s="242"/>
      <c r="ALT22" s="242"/>
      <c r="ALU22" s="242"/>
      <c r="ALV22" s="242"/>
      <c r="ALW22" s="242"/>
      <c r="ALX22" s="242"/>
      <c r="ALY22" s="242"/>
      <c r="ALZ22" s="242"/>
    </row>
    <row r="23" spans="1:1014" x14ac:dyDescent="0.2">
      <c r="A23" s="782" t="s">
        <v>92</v>
      </c>
      <c r="B23" s="782" t="s">
        <v>390</v>
      </c>
      <c r="C23" s="783"/>
      <c r="D23" s="787">
        <f>MC!J74</f>
        <v>0.03</v>
      </c>
      <c r="E23" s="226">
        <f>'Prod. GEXSTM'!D7</f>
        <v>0</v>
      </c>
      <c r="F23" s="229">
        <f>'GEXSTM Limp.Ord. '!H156</f>
        <v>5.8822353487250894</v>
      </c>
      <c r="G23" s="254">
        <f>'Prod. GEXSTM'!E7</f>
        <v>600</v>
      </c>
      <c r="H23" s="229">
        <f>'GEXSTM Limp.Ord. '!H162</f>
        <v>6.5412517769325831</v>
      </c>
      <c r="I23" s="255">
        <f>'Prod. GEXSTM'!F7</f>
        <v>0</v>
      </c>
      <c r="J23" s="256">
        <f>'GEXSTM Limp.Ord. '!H$168</f>
        <v>3.1371921859867142</v>
      </c>
      <c r="K23" s="255">
        <f>'Prod. GEXSTM'!G7</f>
        <v>0</v>
      </c>
      <c r="L23" s="247">
        <f>'GEXSTM Limp.Ord. '!H$174</f>
        <v>4.705788278980072</v>
      </c>
      <c r="M23" s="255">
        <f>'Prod. GEXSTM'!H7</f>
        <v>0</v>
      </c>
      <c r="N23" s="256">
        <f>'GEXSTM Limp.Ord. '!H$180</f>
        <v>26.165007107730332</v>
      </c>
      <c r="O23" s="255">
        <f>'Prod. GEXSTM'!I7</f>
        <v>0</v>
      </c>
      <c r="P23" s="256">
        <f>'GEXSTM Limp.Ord. '!H186</f>
        <v>2.6143268216555957</v>
      </c>
      <c r="Q23" s="255">
        <f>'Prod. GEXSTM'!J7</f>
        <v>0</v>
      </c>
      <c r="R23" s="256"/>
      <c r="S23" s="255">
        <f>'Prod. GEXSTM'!K7</f>
        <v>0</v>
      </c>
      <c r="T23" s="256"/>
      <c r="U23" s="257">
        <f>'Prod. GEXSTM'!L7</f>
        <v>0</v>
      </c>
      <c r="V23" s="256"/>
      <c r="W23" s="255">
        <f>'Prod. GEXSTM'!M7</f>
        <v>0</v>
      </c>
      <c r="X23" s="256"/>
      <c r="Y23" s="258">
        <f>'Prod. GEXSTM'!N7</f>
        <v>0</v>
      </c>
      <c r="Z23" s="256"/>
      <c r="AA23" s="250">
        <f t="shared" si="3"/>
        <v>3924.7510661595497</v>
      </c>
      <c r="AB23" s="251"/>
      <c r="AC23" s="259">
        <f>'Prod. GEXSTM'!W7*'GEXSTM Limp.Ord. '!C147</f>
        <v>151.08998920867108</v>
      </c>
      <c r="AD23" s="260">
        <f>'Prod. GEXSTM'!X7*'GEXSTM Covid '!C142</f>
        <v>129.74370930359396</v>
      </c>
      <c r="AE23" s="261"/>
      <c r="ALO23" s="242"/>
      <c r="ALP23" s="242"/>
      <c r="ALQ23" s="242"/>
      <c r="ALR23" s="242"/>
      <c r="ALS23" s="242"/>
      <c r="ALT23" s="242"/>
      <c r="ALU23" s="242"/>
      <c r="ALV23" s="242"/>
      <c r="ALW23" s="242"/>
      <c r="ALX23" s="242"/>
      <c r="ALY23" s="242"/>
      <c r="ALZ23" s="242"/>
    </row>
    <row r="24" spans="1:1014" x14ac:dyDescent="0.2">
      <c r="A24" s="782" t="s">
        <v>94</v>
      </c>
      <c r="B24" s="782" t="s">
        <v>391</v>
      </c>
      <c r="C24" s="783"/>
      <c r="D24" s="787">
        <f>MC!J75</f>
        <v>0.03</v>
      </c>
      <c r="E24" s="226">
        <f>'Prod. GEXSTM'!D8</f>
        <v>7.2100000000001501</v>
      </c>
      <c r="F24" s="229">
        <f>'GEXSTM Limp.Ord. '!H156</f>
        <v>5.8822353487250894</v>
      </c>
      <c r="G24" s="254">
        <f>'Prod. GEXSTM'!E8</f>
        <v>473.52</v>
      </c>
      <c r="H24" s="229">
        <f>'GEXSTM Limp.Ord. '!H162</f>
        <v>6.5412517769325831</v>
      </c>
      <c r="I24" s="255">
        <f>'Prod. GEXSTM'!F8</f>
        <v>527.6400000000001</v>
      </c>
      <c r="J24" s="256">
        <f>'GEXSTM Limp.Ord. '!H168</f>
        <v>3.1371921859867142</v>
      </c>
      <c r="K24" s="255">
        <f>'Prod. GEXSTM'!G8</f>
        <v>0</v>
      </c>
      <c r="L24" s="247">
        <f>'GEXSTM Limp.Ord. '!H174</f>
        <v>4.705788278980072</v>
      </c>
      <c r="M24" s="255">
        <f>'Prod. GEXSTM'!H8</f>
        <v>81.62</v>
      </c>
      <c r="N24" s="256">
        <f>'GEXSTM Limp.Ord. '!D$180</f>
        <v>25.881270038793858</v>
      </c>
      <c r="O24" s="255">
        <f>'Prod. GEXSTM'!I8</f>
        <v>55</v>
      </c>
      <c r="P24" s="256">
        <f>'GEXSTM Limp.Ord. '!H186</f>
        <v>2.6143268216555957</v>
      </c>
      <c r="Q24" s="255">
        <f>'Prod. GEXSTM'!J8</f>
        <v>0</v>
      </c>
      <c r="R24" s="256"/>
      <c r="S24" s="255">
        <f>'Prod. GEXSTM'!K8</f>
        <v>1082.7800000000002</v>
      </c>
      <c r="T24" s="256">
        <f>'GEXSTM Limp.Ord. '!H192</f>
        <v>0.78429804649667856</v>
      </c>
      <c r="U24" s="257">
        <f>'Prod. GEXSTM'!L8</f>
        <v>195.66</v>
      </c>
      <c r="V24" s="256">
        <f>'GEXSTM Limp.Ord. '!H198</f>
        <v>0.23984857867942344</v>
      </c>
      <c r="W24" s="255">
        <f>'Prod. GEXSTM'!M8</f>
        <v>100.2</v>
      </c>
      <c r="X24" s="256">
        <f>'GEXSTM Limp.Ord. '!H201</f>
        <v>1.0496845404311959</v>
      </c>
      <c r="Y24" s="258">
        <f>'Prod. GEXSTM'!N8</f>
        <v>295.86</v>
      </c>
      <c r="Z24" s="256">
        <f>'GEXSTM Limp.Ord. '!H204</f>
        <v>1.0496845404311959</v>
      </c>
      <c r="AA24" s="250">
        <f t="shared" si="3"/>
        <v>8363.2388498221371</v>
      </c>
      <c r="AB24" s="251">
        <f>'Prod. GEXSTM'!U8*'GEXPEL Covid'!D136</f>
        <v>3286.0960176732883</v>
      </c>
      <c r="AC24" s="259">
        <f>'Prod. GEXSTM'!W8*'GEXSTM Limp.Ord. '!C147</f>
        <v>151.08998920867108</v>
      </c>
      <c r="AD24" s="260">
        <f>'Prod. GEXSTM'!X8*'GEXSTM Covid '!C142</f>
        <v>129.74370930359396</v>
      </c>
      <c r="AE24" s="261"/>
      <c r="ALO24" s="242"/>
      <c r="ALP24" s="242"/>
      <c r="ALQ24" s="242"/>
      <c r="ALR24" s="242"/>
      <c r="ALS24" s="242"/>
      <c r="ALT24" s="242"/>
      <c r="ALU24" s="242"/>
      <c r="ALV24" s="242"/>
      <c r="ALW24" s="242"/>
      <c r="ALX24" s="242"/>
      <c r="ALY24" s="242"/>
      <c r="ALZ24" s="242"/>
    </row>
    <row r="25" spans="1:1014" x14ac:dyDescent="0.2">
      <c r="A25" s="782" t="s">
        <v>97</v>
      </c>
      <c r="B25" s="782" t="s">
        <v>392</v>
      </c>
      <c r="C25" s="783"/>
      <c r="D25" s="787">
        <f>MC!J76</f>
        <v>0.02</v>
      </c>
      <c r="E25" s="226">
        <f>'Prod. GEXSTM'!D9</f>
        <v>334.15999999999985</v>
      </c>
      <c r="F25" s="229">
        <f>'GEXSTM Limp.Ord. '!D156</f>
        <v>5.8187266187102118</v>
      </c>
      <c r="G25" s="254">
        <f>'Prod. GEXSTM'!E9</f>
        <v>362.15999999999997</v>
      </c>
      <c r="H25" s="229">
        <f>'GEXSTM Limp.Ord. '!D162</f>
        <v>6.4703175096984644</v>
      </c>
      <c r="I25" s="255">
        <f>'Prod. GEXSTM'!F9</f>
        <v>879.73</v>
      </c>
      <c r="J25" s="256">
        <f>'GEXSTM Limp.Ord. '!D$168</f>
        <v>3.1033208633121125</v>
      </c>
      <c r="K25" s="255">
        <f>'Prod. GEXSTM'!G9</f>
        <v>0</v>
      </c>
      <c r="L25" s="247">
        <f>'GEXSTM Limp.Ord. '!D$174</f>
        <v>4.6549812949681701</v>
      </c>
      <c r="M25" s="255">
        <f>'Prod. GEXSTM'!H9</f>
        <v>109.46000000000001</v>
      </c>
      <c r="N25" s="256">
        <f>'GEXSTM Limp.Ord. '!D$180</f>
        <v>25.881270038793858</v>
      </c>
      <c r="O25" s="255">
        <f>'Prod. GEXSTM'!I9</f>
        <v>409</v>
      </c>
      <c r="P25" s="256">
        <f>'GEXSTM Limp.Ord. '!D$186</f>
        <v>2.5861007194267609</v>
      </c>
      <c r="Q25" s="255">
        <f>'Prod. GEXSTM'!J9</f>
        <v>0</v>
      </c>
      <c r="R25" s="256"/>
      <c r="S25" s="255">
        <f>'Prod. GEXSTM'!K9</f>
        <v>1351.35</v>
      </c>
      <c r="T25" s="256">
        <f>'GEXSTM Limp.Ord. '!D192</f>
        <v>0.77583021582802814</v>
      </c>
      <c r="U25" s="257">
        <f>'Prod. GEXSTM'!L9</f>
        <v>197.69</v>
      </c>
      <c r="V25" s="256">
        <f>'GEXSTM Limp.Ord. '!D$198</f>
        <v>0.23768466634354646</v>
      </c>
      <c r="W25" s="255">
        <f>'Prod. GEXSTM'!M9</f>
        <v>200.94</v>
      </c>
      <c r="X25" s="256">
        <f>'GEXSTM Limp.Ord. '!D$201</f>
        <v>1.0383514114203878</v>
      </c>
      <c r="Y25" s="258">
        <f>'Prod. GEXSTM'!N9</f>
        <v>398.63</v>
      </c>
      <c r="Z25" s="256">
        <f>'GEXSTM Limp.Ord. '!D$204</f>
        <v>1.0383514114203878</v>
      </c>
      <c r="AA25" s="250">
        <f t="shared" si="3"/>
        <v>12626.409751588069</v>
      </c>
      <c r="AB25" s="251">
        <f>('Prod. GEXSTM'!T9*'GEXSTM Covid '!C134)+('Prod. GEXSTM'!U9*'GEXSTM Covid '!D134)</f>
        <v>7525.1298621278129</v>
      </c>
      <c r="AC25" s="259">
        <f>'Prod. GEXSTM'!W9*'GEXSTM Limp.Ord. '!C145</f>
        <v>149.38756679505224</v>
      </c>
      <c r="AD25" s="260">
        <f>'Prod. GEXSTM'!X9*'GEXSTM Covid '!C140</f>
        <v>128.28180835369432</v>
      </c>
      <c r="AE25" s="261"/>
      <c r="ALO25" s="242"/>
      <c r="ALP25" s="242"/>
      <c r="ALQ25" s="242"/>
      <c r="ALR25" s="242"/>
      <c r="ALS25" s="242"/>
      <c r="ALT25" s="242"/>
      <c r="ALU25" s="242"/>
      <c r="ALV25" s="242"/>
      <c r="ALW25" s="242"/>
      <c r="ALX25" s="242"/>
      <c r="ALY25" s="242"/>
      <c r="ALZ25" s="242"/>
    </row>
    <row r="26" spans="1:1014" x14ac:dyDescent="0.2">
      <c r="A26" s="782" t="s">
        <v>99</v>
      </c>
      <c r="B26" s="782" t="s">
        <v>387</v>
      </c>
      <c r="C26" s="783"/>
      <c r="D26" s="787">
        <f>MC!J77</f>
        <v>0.02</v>
      </c>
      <c r="E26" s="226">
        <f>'Prod. GEXSTM'!D10</f>
        <v>96.54</v>
      </c>
      <c r="F26" s="229">
        <f>'GEXSTM Limp.Ord. '!D156</f>
        <v>5.8187266187102118</v>
      </c>
      <c r="G26" s="254">
        <f>'Prod. GEXSTM'!E10</f>
        <v>684.48</v>
      </c>
      <c r="H26" s="229">
        <f>'GEXSTM Limp.Ord. '!D162</f>
        <v>6.4703175096984644</v>
      </c>
      <c r="I26" s="255">
        <f>'Prod. GEXSTM'!D168</f>
        <v>0</v>
      </c>
      <c r="J26" s="256"/>
      <c r="K26" s="255">
        <f>'Prod. GEXSTM'!G10</f>
        <v>110.45</v>
      </c>
      <c r="L26" s="247">
        <f>'GEXSTM Limp.Ord. '!D174</f>
        <v>4.6549812949681701</v>
      </c>
      <c r="M26" s="255">
        <f>'Prod. GEXSTM'!H10</f>
        <v>28.88</v>
      </c>
      <c r="N26" s="256">
        <f>'GEXSTM Limp.Ord. '!D$180</f>
        <v>25.881270038793858</v>
      </c>
      <c r="O26" s="255">
        <f>'Prod. GEXSTM'!I10</f>
        <v>0</v>
      </c>
      <c r="P26" s="256"/>
      <c r="Q26" s="255">
        <f>'Prod. GEXSTM'!J10</f>
        <v>0</v>
      </c>
      <c r="R26" s="256"/>
      <c r="S26" s="255">
        <f>'Prod. GEXSTM'!K10</f>
        <v>823.81000000000006</v>
      </c>
      <c r="T26" s="256">
        <f>'GEXSTM Limp.Ord. '!D192</f>
        <v>0.77583021582802814</v>
      </c>
      <c r="U26" s="257">
        <f>'Prod. GEXSTM'!L10</f>
        <v>169.58</v>
      </c>
      <c r="V26" s="256">
        <f>'GEXSTM Limp.Ord. '!D$198</f>
        <v>0.23768466634354646</v>
      </c>
      <c r="W26" s="255">
        <f>'Prod. GEXSTM'!M10</f>
        <v>0</v>
      </c>
      <c r="X26" s="256"/>
      <c r="Y26" s="258">
        <f>'Prod. GEXSTM'!N10</f>
        <v>404.75</v>
      </c>
      <c r="Z26" s="256">
        <f>'GEXSTM Limp.Ord. '!D$204</f>
        <v>1.0383514114203878</v>
      </c>
      <c r="AA26" s="250">
        <f t="shared" si="3"/>
        <v>7351.8525491505179</v>
      </c>
      <c r="AB26" s="251">
        <f>('Prod. GEXSTM'!T10*'GEXSTM Covid '!C134)+('Prod. GEXSTM'!U10*'GEXSTM Covid '!D134)</f>
        <v>11801.190140584291</v>
      </c>
      <c r="AC26" s="259">
        <f>'Prod. GEXSTM'!W10*'GEXSTM Limp.Ord. '!C145</f>
        <v>149.38756679505224</v>
      </c>
      <c r="AD26" s="260">
        <f>'Prod. GEXSTM'!X10*'GEXSTM Covid '!C140</f>
        <v>128.28180835369432</v>
      </c>
      <c r="AE26" s="261"/>
      <c r="ALO26" s="242"/>
      <c r="ALP26" s="242"/>
      <c r="ALQ26" s="242"/>
      <c r="ALR26" s="242"/>
      <c r="ALS26" s="242"/>
      <c r="ALT26" s="242"/>
      <c r="ALU26" s="242"/>
      <c r="ALV26" s="242"/>
      <c r="ALW26" s="242"/>
      <c r="ALX26" s="242"/>
      <c r="ALY26" s="242"/>
      <c r="ALZ26" s="242"/>
    </row>
    <row r="27" spans="1:1014" x14ac:dyDescent="0.2">
      <c r="A27" s="782" t="s">
        <v>101</v>
      </c>
      <c r="B27" s="782" t="s">
        <v>393</v>
      </c>
      <c r="C27" s="783"/>
      <c r="D27" s="787">
        <f>MC!J78</f>
        <v>0.02</v>
      </c>
      <c r="E27" s="226">
        <f>'Prod. GEXSTM'!D11</f>
        <v>0</v>
      </c>
      <c r="F27" s="229">
        <f>'GEXSTM Limp.Ord. '!D156</f>
        <v>5.8187266187102118</v>
      </c>
      <c r="G27" s="254">
        <f>'Prod. GEXSTM'!E11</f>
        <v>576.32000000000005</v>
      </c>
      <c r="H27" s="229">
        <f>'GEXSTM Limp.Ord. '!D162</f>
        <v>6.4703175096984644</v>
      </c>
      <c r="I27" s="255">
        <f>'Prod. GEXSTM'!F11</f>
        <v>0</v>
      </c>
      <c r="J27" s="256"/>
      <c r="K27" s="255">
        <f>'Prod. GEXSTM'!G11</f>
        <v>0</v>
      </c>
      <c r="L27" s="247"/>
      <c r="M27" s="255">
        <f>'Prod. GEXSTM'!H11</f>
        <v>55.919999999999995</v>
      </c>
      <c r="N27" s="256">
        <f>'GEXSTM Limp.Ord. '!D$180</f>
        <v>25.881270038793858</v>
      </c>
      <c r="O27" s="255">
        <f>'Prod. GEXSTM'!I11</f>
        <v>413</v>
      </c>
      <c r="P27" s="256">
        <f>'GEXSTM Limp.Ord. '!D186</f>
        <v>2.5861007194267609</v>
      </c>
      <c r="Q27" s="255">
        <f>'Prod. GEXSTM'!J11</f>
        <v>0</v>
      </c>
      <c r="R27" s="256"/>
      <c r="S27" s="255">
        <f>'Prod. GEXSTM'!K11</f>
        <v>632.24</v>
      </c>
      <c r="T27" s="256">
        <f>'GEXSTM Limp.Ord. '!D192</f>
        <v>0.77583021582802814</v>
      </c>
      <c r="U27" s="257">
        <f>'Prod. GEXSTM'!L11</f>
        <v>98.24</v>
      </c>
      <c r="V27" s="256">
        <f>'GEXSTM Limp.Ord. '!D$198</f>
        <v>0.23768466634354646</v>
      </c>
      <c r="W27" s="255">
        <f>'Prod. GEXSTM'!M11</f>
        <v>139.77000000000001</v>
      </c>
      <c r="X27" s="256">
        <f>'GEXSTM Limp.Ord. '!D201</f>
        <v>1.0383514114203878</v>
      </c>
      <c r="Y27" s="258">
        <f>'Prod. GEXSTM'!N11</f>
        <v>238</v>
      </c>
      <c r="Z27" s="256">
        <f>'GEXSTM Limp.Ord. '!D$204</f>
        <v>1.0383514114203878</v>
      </c>
      <c r="AA27" s="250">
        <f t="shared" si="3"/>
        <v>7150.4326548510062</v>
      </c>
      <c r="AB27" s="251">
        <f>'Prod. GEXSTM'!U11*'GEXSTM Covid '!D134</f>
        <v>3249.0695836713357</v>
      </c>
      <c r="AC27" s="259">
        <f>'Prod. GEXSTM'!W11*'GEXSTM Limp.Ord. '!C145</f>
        <v>149.38756679505224</v>
      </c>
      <c r="AD27" s="260">
        <f>'Prod. GEXSTM'!X11*'GEXSTM Covid '!C140</f>
        <v>128.28180835369432</v>
      </c>
      <c r="AE27" s="261"/>
      <c r="ALO27" s="242"/>
      <c r="ALP27" s="242"/>
      <c r="ALQ27" s="242"/>
      <c r="ALR27" s="242"/>
      <c r="ALS27" s="242"/>
      <c r="ALT27" s="242"/>
      <c r="ALU27" s="242"/>
      <c r="ALV27" s="242"/>
      <c r="ALW27" s="242"/>
      <c r="ALX27" s="242"/>
      <c r="ALY27" s="242"/>
      <c r="ALZ27" s="242"/>
    </row>
    <row r="28" spans="1:1014" x14ac:dyDescent="0.2">
      <c r="A28" s="782" t="s">
        <v>103</v>
      </c>
      <c r="B28" s="782" t="s">
        <v>394</v>
      </c>
      <c r="C28" s="783"/>
      <c r="D28" s="787">
        <f>MC!J79</f>
        <v>0.02</v>
      </c>
      <c r="E28" s="226">
        <f>'Prod. GEXSTM'!D12</f>
        <v>0</v>
      </c>
      <c r="F28" s="229">
        <f>'GEXSTM Limp.Ord. '!D156</f>
        <v>5.8187266187102118</v>
      </c>
      <c r="G28" s="254">
        <f>'Prod. GEXSTM'!E12</f>
        <v>800</v>
      </c>
      <c r="H28" s="229">
        <f>'GEXSTM Limp.Ord. '!D162</f>
        <v>6.4703175096984644</v>
      </c>
      <c r="I28" s="255">
        <f>'Prod. GEXSTM'!F12</f>
        <v>0</v>
      </c>
      <c r="J28" s="256"/>
      <c r="K28" s="255">
        <f>'Prod. GEXSTM'!G12</f>
        <v>0</v>
      </c>
      <c r="L28" s="247"/>
      <c r="M28" s="255">
        <f>'Prod. GEXSTM'!H12</f>
        <v>0</v>
      </c>
      <c r="N28" s="256">
        <f>'GEXSTM Limp.Ord. '!D180</f>
        <v>25.881270038793858</v>
      </c>
      <c r="O28" s="255">
        <f>'Prod. GEXSTM'!I12</f>
        <v>0</v>
      </c>
      <c r="P28" s="256"/>
      <c r="Q28" s="255">
        <f>'Prod. GEXSTM'!J12</f>
        <v>0</v>
      </c>
      <c r="R28" s="256"/>
      <c r="S28" s="255">
        <f>'Prod. GEXSTM'!K12</f>
        <v>0</v>
      </c>
      <c r="T28" s="256"/>
      <c r="U28" s="257">
        <f>'Prod. GEXSTM'!L12</f>
        <v>0</v>
      </c>
      <c r="V28" s="256"/>
      <c r="W28" s="255">
        <f>'Prod. GEXSTM'!M12</f>
        <v>0</v>
      </c>
      <c r="X28" s="256"/>
      <c r="Y28" s="258">
        <f>'Prod. GEXSTM'!N12</f>
        <v>0</v>
      </c>
      <c r="Z28" s="256"/>
      <c r="AA28" s="250">
        <f t="shared" si="3"/>
        <v>5176.2540077587719</v>
      </c>
      <c r="AB28" s="251">
        <f>'Prod. GEXSTM'!U12*'GEXSTM Covid '!D134</f>
        <v>3249.0695836713357</v>
      </c>
      <c r="AC28" s="259">
        <f>'Prod. GEXSTM'!W12*'GEXSTM Limp.Ord. '!C145</f>
        <v>149.38756679505224</v>
      </c>
      <c r="AD28" s="260">
        <f>'Prod. GEXSTM'!X12*'GEXSTM Covid '!C140</f>
        <v>128.28180835369432</v>
      </c>
      <c r="AE28" s="261"/>
      <c r="ALO28" s="242"/>
      <c r="ALP28" s="242"/>
      <c r="ALQ28" s="242"/>
      <c r="ALR28" s="242"/>
      <c r="ALS28" s="242"/>
      <c r="ALT28" s="242"/>
      <c r="ALU28" s="242"/>
      <c r="ALV28" s="242"/>
      <c r="ALW28" s="242"/>
      <c r="ALX28" s="242"/>
      <c r="ALY28" s="242"/>
      <c r="ALZ28" s="242"/>
    </row>
    <row r="29" spans="1:1014" x14ac:dyDescent="0.2">
      <c r="A29" s="782" t="s">
        <v>105</v>
      </c>
      <c r="B29" s="782" t="s">
        <v>395</v>
      </c>
      <c r="C29" s="783"/>
      <c r="D29" s="787">
        <f>MC!J80</f>
        <v>2.5000000000000001E-2</v>
      </c>
      <c r="E29" s="226">
        <f>'Prod. GEXSTM'!D13</f>
        <v>0</v>
      </c>
      <c r="F29" s="229">
        <f>'GEXSTM Limp.Ord. '!F156</f>
        <v>5.8503010723011784</v>
      </c>
      <c r="G29" s="254">
        <f>'Prod. GEXSTM'!E13</f>
        <v>600</v>
      </c>
      <c r="H29" s="229">
        <f>'GEXSTM Limp.Ord. '!F162</f>
        <v>6.5055836963828488</v>
      </c>
      <c r="I29" s="255">
        <f>'Prod. GEXSTM'!F13</f>
        <v>0</v>
      </c>
      <c r="J29" s="256"/>
      <c r="K29" s="255">
        <f>'Prod. GEXSTM'!G13</f>
        <v>0</v>
      </c>
      <c r="L29" s="247"/>
      <c r="M29" s="255">
        <f>'Prod. GEXSTM'!H13</f>
        <v>0</v>
      </c>
      <c r="N29" s="256">
        <f>'GEXSTM Limp.Ord. '!F180</f>
        <v>26.022334785531395</v>
      </c>
      <c r="O29" s="255">
        <f>'Prod. GEXSTM'!I13</f>
        <v>0</v>
      </c>
      <c r="P29" s="256"/>
      <c r="Q29" s="255">
        <f>'Prod. GEXSTM'!J13</f>
        <v>0</v>
      </c>
      <c r="R29" s="256"/>
      <c r="S29" s="255">
        <f>'Prod. GEXSTM'!K13</f>
        <v>0</v>
      </c>
      <c r="T29" s="256"/>
      <c r="U29" s="257">
        <f>'Prod. GEXSTM'!L13</f>
        <v>0</v>
      </c>
      <c r="V29" s="256"/>
      <c r="W29" s="255">
        <f>'Prod. GEXSTM'!M13</f>
        <v>0</v>
      </c>
      <c r="X29" s="256"/>
      <c r="Y29" s="258">
        <f>'Prod. GEXSTM'!N13</f>
        <v>0</v>
      </c>
      <c r="Z29" s="256"/>
      <c r="AA29" s="250">
        <f t="shared" si="3"/>
        <v>3903.3502178297094</v>
      </c>
      <c r="AB29" s="251"/>
      <c r="AC29" s="259">
        <f>'Prod. GEXSTM'!W13*'GEXSTM Limp.Ord. '!C146</f>
        <v>150.23395527547746</v>
      </c>
      <c r="AD29" s="260">
        <f>'Prod. GEXSTM'!X13*'GEXSTM Covid '!C141</f>
        <v>129.00861746617983</v>
      </c>
      <c r="AE29" s="261"/>
      <c r="ALO29" s="242"/>
      <c r="ALP29" s="242"/>
      <c r="ALQ29" s="242"/>
      <c r="ALR29" s="242"/>
      <c r="ALS29" s="242"/>
      <c r="ALT29" s="242"/>
      <c r="ALU29" s="242"/>
      <c r="ALV29" s="242"/>
      <c r="ALW29" s="242"/>
      <c r="ALX29" s="242"/>
      <c r="ALY29" s="242"/>
      <c r="ALZ29" s="242"/>
    </row>
    <row r="30" spans="1:1014" x14ac:dyDescent="0.2">
      <c r="A30" s="782" t="s">
        <v>108</v>
      </c>
      <c r="B30" s="782" t="s">
        <v>396</v>
      </c>
      <c r="C30" s="783"/>
      <c r="D30" s="787">
        <f>MC!J81</f>
        <v>2.5000000000000001E-2</v>
      </c>
      <c r="E30" s="226">
        <f>'Prod. GEXSTM'!D14</f>
        <v>0</v>
      </c>
      <c r="F30" s="229">
        <f>'GEXSTM Limp.Ord. '!F156</f>
        <v>5.8503010723011784</v>
      </c>
      <c r="G30" s="254">
        <f>'Prod. GEXSTM'!E14</f>
        <v>696.28</v>
      </c>
      <c r="H30" s="229">
        <f>'GEXSTM Limp.Ord. '!F162</f>
        <v>6.5055836963828488</v>
      </c>
      <c r="I30" s="255">
        <f>'Prod. GEXSTM'!F14</f>
        <v>0</v>
      </c>
      <c r="J30" s="256"/>
      <c r="K30" s="255">
        <f>'Prod. GEXSTM'!G14</f>
        <v>0</v>
      </c>
      <c r="L30" s="247"/>
      <c r="M30" s="255">
        <f>'Prod. GEXSTM'!H14</f>
        <v>25.930000000000003</v>
      </c>
      <c r="N30" s="256">
        <f>'GEXSTM Limp.Ord. '!F180</f>
        <v>26.022334785531395</v>
      </c>
      <c r="O30" s="255">
        <f>'Prod. GEXSTM'!I14</f>
        <v>0</v>
      </c>
      <c r="P30" s="256"/>
      <c r="Q30" s="255">
        <f>'Prod. GEXSTM'!J14</f>
        <v>0</v>
      </c>
      <c r="R30" s="256"/>
      <c r="S30" s="255">
        <f>'Prod. GEXSTM'!K14</f>
        <v>722.20999999999992</v>
      </c>
      <c r="T30" s="256">
        <f>'GEXSTM Limp.Ord. '!F192</f>
        <v>0.78004014297349034</v>
      </c>
      <c r="U30" s="257">
        <f>'Prod. GEXSTM'!L14</f>
        <v>104.68</v>
      </c>
      <c r="V30" s="256">
        <f>'GEXSTM Limp.Ord. '!F198</f>
        <v>0.23876049244821052</v>
      </c>
      <c r="W30" s="255">
        <f>'Prod. GEXSTM'!M14</f>
        <v>65.25</v>
      </c>
      <c r="X30" s="256">
        <f>'GEXSTM Limp.Ord. '!F201</f>
        <v>1.043985870744458</v>
      </c>
      <c r="Y30" s="258">
        <f>'Prod. GEXSTM'!N14</f>
        <v>104.68</v>
      </c>
      <c r="Z30" s="256">
        <f>'GEXSTM Limp.Ord. '!F204</f>
        <v>1.043985870744458</v>
      </c>
      <c r="AA30" s="250">
        <f t="shared" si="3"/>
        <v>5970.217716128248</v>
      </c>
      <c r="AB30" s="251"/>
      <c r="AC30" s="259">
        <f>'Prod. GEXSTM'!W14*'GEXSTM Limp.Ord. '!C146</f>
        <v>150.23395527547746</v>
      </c>
      <c r="AD30" s="260">
        <f>'Prod. GEXSTM'!X14*'GEXSTM Covid '!C141</f>
        <v>129.00861746617983</v>
      </c>
      <c r="AE30" s="261"/>
      <c r="ALO30" s="242"/>
      <c r="ALP30" s="242"/>
      <c r="ALQ30" s="242"/>
      <c r="ALR30" s="242"/>
      <c r="ALS30" s="242"/>
      <c r="ALT30" s="242"/>
      <c r="ALU30" s="242"/>
      <c r="ALV30" s="242"/>
      <c r="ALW30" s="242"/>
      <c r="ALX30" s="242"/>
      <c r="ALY30" s="242"/>
      <c r="ALZ30" s="242"/>
    </row>
    <row r="31" spans="1:1014" x14ac:dyDescent="0.2">
      <c r="A31" s="782" t="s">
        <v>111</v>
      </c>
      <c r="B31" s="782" t="s">
        <v>397</v>
      </c>
      <c r="C31" s="783"/>
      <c r="D31" s="787">
        <f>MC!J82</f>
        <v>0.03</v>
      </c>
      <c r="E31" s="226">
        <f>'Prod. GEXSTM'!D15</f>
        <v>0</v>
      </c>
      <c r="F31" s="229">
        <f>'GEXSTM Limp.Ord. '!H156</f>
        <v>5.8822353487250894</v>
      </c>
      <c r="G31" s="254">
        <f>'Prod. GEXSTM'!E15</f>
        <v>600</v>
      </c>
      <c r="H31" s="229">
        <f>'GEXSTM Limp.Ord. '!H162</f>
        <v>6.5412517769325831</v>
      </c>
      <c r="I31" s="255">
        <f>'Prod. GEXSTM'!F15</f>
        <v>0</v>
      </c>
      <c r="J31" s="256"/>
      <c r="K31" s="255">
        <f>'Prod. GEXSTM'!G15</f>
        <v>0</v>
      </c>
      <c r="L31" s="247"/>
      <c r="M31" s="255">
        <f>'Prod. GEXSTM'!H15</f>
        <v>0</v>
      </c>
      <c r="N31" s="256">
        <f>'GEXSTM Limp.Ord. '!D$180</f>
        <v>25.881270038793858</v>
      </c>
      <c r="O31" s="255">
        <f>'Prod. GEXSTM'!I15</f>
        <v>0</v>
      </c>
      <c r="P31" s="256"/>
      <c r="Q31" s="255">
        <f>'Prod. GEXSTM'!J15</f>
        <v>0</v>
      </c>
      <c r="R31" s="256"/>
      <c r="S31" s="255">
        <f>'Prod. GEXSTM'!K15</f>
        <v>0</v>
      </c>
      <c r="T31" s="256"/>
      <c r="U31" s="257">
        <f>'Prod. GEXSTM'!L15</f>
        <v>0</v>
      </c>
      <c r="V31" s="256"/>
      <c r="W31" s="255">
        <f>'Prod. GEXSTM'!M15</f>
        <v>0</v>
      </c>
      <c r="X31" s="256"/>
      <c r="Y31" s="258">
        <f>'Prod. GEXSTM'!N15</f>
        <v>0</v>
      </c>
      <c r="Z31" s="256"/>
      <c r="AA31" s="250">
        <f t="shared" si="3"/>
        <v>3924.7510661595497</v>
      </c>
      <c r="AB31" s="251">
        <f>'Prod. GEXSTM'!U15*'GEXSTM Covid '!D136</f>
        <v>3286.0960176732883</v>
      </c>
      <c r="AC31" s="259">
        <f>'Prod. GEXSTM'!W15*'GEXSTM Limp.Ord. '!C147</f>
        <v>151.08998920867108</v>
      </c>
      <c r="AD31" s="260">
        <f>'Prod. GEXSTM'!X15*'GEXSTM Covid '!C142</f>
        <v>129.74370930359396</v>
      </c>
      <c r="AE31" s="263"/>
      <c r="ALO31" s="242"/>
      <c r="ALP31" s="242"/>
      <c r="ALQ31" s="242"/>
      <c r="ALR31" s="242"/>
      <c r="ALS31" s="242"/>
      <c r="ALT31" s="242"/>
      <c r="ALU31" s="242"/>
      <c r="ALV31" s="242"/>
      <c r="ALW31" s="242"/>
      <c r="ALX31" s="242"/>
      <c r="ALY31" s="242"/>
      <c r="ALZ31" s="242"/>
    </row>
    <row r="32" spans="1:1014" x14ac:dyDescent="0.2">
      <c r="A32" s="782" t="s">
        <v>113</v>
      </c>
      <c r="B32" s="782" t="s">
        <v>398</v>
      </c>
      <c r="C32" s="783"/>
      <c r="D32" s="787">
        <f>MC!J83</f>
        <v>2.5000000000000001E-2</v>
      </c>
      <c r="E32" s="226">
        <f>'Prod. GEXSTM'!D16</f>
        <v>0</v>
      </c>
      <c r="F32" s="229">
        <f>'GEXSTM Limp.Ord. '!F156</f>
        <v>5.8503010723011784</v>
      </c>
      <c r="G32" s="254">
        <f>'Prod. GEXSTM'!E16</f>
        <v>600</v>
      </c>
      <c r="H32" s="229">
        <f>'GEXSTM Limp.Ord. '!F162</f>
        <v>6.5055836963828488</v>
      </c>
      <c r="I32" s="255">
        <f>'Prod. GEXSTM'!F16</f>
        <v>0</v>
      </c>
      <c r="J32" s="256"/>
      <c r="K32" s="255">
        <f>'Prod. GEXSTM'!G16</f>
        <v>0</v>
      </c>
      <c r="L32" s="247"/>
      <c r="M32" s="255">
        <f>'Prod. GEXSTM'!H16</f>
        <v>0</v>
      </c>
      <c r="N32" s="256">
        <f>'GEXSTM Limp.Ord. '!F180</f>
        <v>26.022334785531395</v>
      </c>
      <c r="O32" s="255">
        <f>'Prod. GEXSTM'!I16</f>
        <v>0</v>
      </c>
      <c r="P32" s="256"/>
      <c r="Q32" s="255">
        <f>'Prod. GEXSTM'!J16</f>
        <v>0</v>
      </c>
      <c r="R32" s="256"/>
      <c r="S32" s="255">
        <f>'Prod. GEXSTM'!K16</f>
        <v>0</v>
      </c>
      <c r="T32" s="256"/>
      <c r="U32" s="257">
        <f>'Prod. GEXSTM'!L16</f>
        <v>0</v>
      </c>
      <c r="V32" s="256"/>
      <c r="W32" s="255">
        <f>'Prod. GEXSTM'!M16</f>
        <v>0</v>
      </c>
      <c r="X32" s="256"/>
      <c r="Y32" s="258">
        <f>'Prod. GEXSTM'!N16</f>
        <v>0</v>
      </c>
      <c r="Z32" s="256"/>
      <c r="AA32" s="250">
        <f t="shared" si="3"/>
        <v>3903.3502178297094</v>
      </c>
      <c r="AB32" s="251"/>
      <c r="AC32" s="259">
        <f>'Prod. GEXSTM'!W16*'GEXSTM Limp.Ord. '!C146</f>
        <v>150.23395527547746</v>
      </c>
      <c r="AD32" s="260">
        <f>'Prod. GEXSTM'!X16*'GEXSTM Covid '!C141</f>
        <v>129.00861746617983</v>
      </c>
      <c r="AE32" s="263"/>
      <c r="ALO32" s="242"/>
      <c r="ALP32" s="242"/>
      <c r="ALQ32" s="242"/>
      <c r="ALR32" s="242"/>
      <c r="ALS32" s="242"/>
      <c r="ALT32" s="242"/>
      <c r="ALU32" s="242"/>
      <c r="ALV32" s="242"/>
      <c r="ALW32" s="242"/>
      <c r="ALX32" s="242"/>
      <c r="ALY32" s="242"/>
      <c r="ALZ32" s="242"/>
    </row>
    <row r="33" spans="1:1014" x14ac:dyDescent="0.2">
      <c r="A33" s="788" t="s">
        <v>115</v>
      </c>
      <c r="B33" s="788" t="s">
        <v>399</v>
      </c>
      <c r="C33" s="789"/>
      <c r="D33" s="790">
        <f>MC!J84</f>
        <v>3.5000000000000003E-2</v>
      </c>
      <c r="E33" s="226">
        <f>'Prod. GEXSTM'!D17</f>
        <v>0</v>
      </c>
      <c r="F33" s="229">
        <f>'GEXSTM Limp.Ord. '!J156</f>
        <v>5.9145356340478434</v>
      </c>
      <c r="G33" s="254">
        <f>'Prod. GEXSTM'!E17</f>
        <v>600</v>
      </c>
      <c r="H33" s="229">
        <f>'GEXSTM Limp.Ord. '!J162</f>
        <v>6.5773286606977859</v>
      </c>
      <c r="I33" s="255">
        <f>'Prod. GEXSTM'!F17</f>
        <v>0</v>
      </c>
      <c r="J33" s="256"/>
      <c r="K33" s="255">
        <f>'Prod. GEXSTM'!G17</f>
        <v>0</v>
      </c>
      <c r="L33" s="247"/>
      <c r="M33" s="255">
        <f>'Prod. GEXSTM'!H17</f>
        <v>0</v>
      </c>
      <c r="N33" s="256">
        <f>'GEXSTM Limp.Ord. '!J180</f>
        <v>26.309314642791144</v>
      </c>
      <c r="O33" s="255">
        <f>'Prod. GEXSTM'!I17</f>
        <v>0</v>
      </c>
      <c r="P33" s="256"/>
      <c r="Q33" s="255">
        <f>'Prod. GEXSTM'!J17</f>
        <v>0</v>
      </c>
      <c r="R33" s="256"/>
      <c r="S33" s="255">
        <f>'Prod. GEXSTM'!K17</f>
        <v>0</v>
      </c>
      <c r="T33" s="256"/>
      <c r="U33" s="257">
        <f>'Prod. GEXSTM'!L17</f>
        <v>0</v>
      </c>
      <c r="V33" s="256"/>
      <c r="W33" s="255">
        <f>'Prod. GEXSTM'!M17</f>
        <v>0</v>
      </c>
      <c r="X33" s="256"/>
      <c r="Y33" s="258">
        <f>'Prod. GEXSTM'!N17</f>
        <v>0</v>
      </c>
      <c r="Z33" s="256"/>
      <c r="AA33" s="250">
        <f t="shared" si="3"/>
        <v>3946.3971964186717</v>
      </c>
      <c r="AB33" s="251"/>
      <c r="AC33" s="259">
        <f>'Prod. GEXSTM'!W17*'GEXSTM Limp.Ord. '!C148</f>
        <v>151.95583441903597</v>
      </c>
      <c r="AD33" s="260">
        <f>'Prod. GEXSTM'!X17*'GEXSTM Covid '!C143</f>
        <v>130.4872262623538</v>
      </c>
      <c r="AE33" s="263"/>
      <c r="ALO33" s="242"/>
      <c r="ALP33" s="242"/>
      <c r="ALQ33" s="242"/>
      <c r="ALR33" s="242"/>
      <c r="ALS33" s="242"/>
      <c r="ALT33" s="242"/>
      <c r="ALU33" s="242"/>
      <c r="ALV33" s="242"/>
      <c r="ALW33" s="242"/>
      <c r="ALX33" s="242"/>
      <c r="ALY33" s="242"/>
      <c r="ALZ33" s="242"/>
    </row>
    <row r="34" spans="1:1014" x14ac:dyDescent="0.2">
      <c r="A34" s="859" t="s">
        <v>400</v>
      </c>
      <c r="B34" s="859"/>
      <c r="C34" s="859"/>
      <c r="D34" s="859"/>
      <c r="E34" s="234">
        <f>SUM(E20:E33)</f>
        <v>477.22999999999985</v>
      </c>
      <c r="F34" s="235"/>
      <c r="G34" s="264">
        <f>SUM(G20:G33)</f>
        <v>8305.7999999999993</v>
      </c>
      <c r="H34" s="235"/>
      <c r="I34" s="265">
        <f>SUM(I20:I33)</f>
        <v>2812.4300000000003</v>
      </c>
      <c r="J34" s="237"/>
      <c r="K34" s="265">
        <f>SUM(K20:K33)</f>
        <v>373.07</v>
      </c>
      <c r="L34" s="237"/>
      <c r="M34" s="265">
        <f>SUM(M20:M33)</f>
        <v>423.55</v>
      </c>
      <c r="N34" s="237"/>
      <c r="O34" s="265">
        <f>SUM(O20:O33)</f>
        <v>1784.13</v>
      </c>
      <c r="P34" s="266"/>
      <c r="Q34" s="265">
        <f>SUM(Q20:Q33)</f>
        <v>0</v>
      </c>
      <c r="R34" s="237"/>
      <c r="S34" s="265">
        <f>SUM(S20:S33)</f>
        <v>7514.85</v>
      </c>
      <c r="T34" s="237"/>
      <c r="U34" s="265">
        <f>SUM(U20:U33)</f>
        <v>1124.22</v>
      </c>
      <c r="V34" s="237"/>
      <c r="W34" s="265">
        <f>SUM(W20:W33)</f>
        <v>807.69999999999993</v>
      </c>
      <c r="X34" s="237"/>
      <c r="Y34" s="267">
        <f>SUM(Y20:Y33)</f>
        <v>2739.97</v>
      </c>
      <c r="Z34" s="237"/>
      <c r="AA34" s="237">
        <f t="shared" ref="AA34:AE34" si="4">SUM(AA20:AA33)</f>
        <v>92683.585775450207</v>
      </c>
      <c r="AB34" s="241">
        <f t="shared" si="4"/>
        <v>35664.129115325784</v>
      </c>
      <c r="AC34" s="772">
        <f t="shared" si="4"/>
        <v>2102.4870239172724</v>
      </c>
      <c r="AD34" s="774">
        <f t="shared" si="4"/>
        <v>1805.4436741600207</v>
      </c>
      <c r="AE34" s="237">
        <f t="shared" si="4"/>
        <v>4043.6000000000004</v>
      </c>
      <c r="ALO34" s="242"/>
      <c r="ALP34" s="242"/>
      <c r="ALQ34" s="242"/>
      <c r="ALR34" s="242"/>
      <c r="ALS34" s="242"/>
      <c r="ALT34" s="242"/>
      <c r="ALU34" s="242"/>
      <c r="ALV34" s="242"/>
      <c r="ALW34" s="242"/>
      <c r="ALX34" s="242"/>
      <c r="ALY34" s="242"/>
      <c r="ALZ34" s="242"/>
    </row>
    <row r="35" spans="1:1014" x14ac:dyDescent="0.2">
      <c r="A35" s="778" t="s">
        <v>118</v>
      </c>
      <c r="B35" s="779" t="s">
        <v>401</v>
      </c>
      <c r="C35" s="785"/>
      <c r="D35" s="781">
        <f>MC!C89</f>
        <v>0.05</v>
      </c>
      <c r="E35" s="226">
        <f>'Prod. GEXURG'!D4</f>
        <v>243.4733333333333</v>
      </c>
      <c r="F35" s="269">
        <f>'GEXURG Limp. Ord.'!N156</f>
        <v>6.0845551770613842</v>
      </c>
      <c r="G35" s="254">
        <f>'Prod. GEXURG'!E4</f>
        <v>631.78666666666663</v>
      </c>
      <c r="H35" s="269">
        <f>'GEXURG Limp. Ord.'!N162</f>
        <v>6.7589422508247363</v>
      </c>
      <c r="I35" s="255">
        <f>'Prod. GEXURG'!F4</f>
        <v>128.27000000000001</v>
      </c>
      <c r="J35" s="269">
        <f>'GEXURG Limp. Ord.'!N168</f>
        <v>3.2450960944327383</v>
      </c>
      <c r="K35" s="255">
        <f>'Prod. GEXURG'!G4</f>
        <v>0</v>
      </c>
      <c r="L35" s="269"/>
      <c r="M35" s="255">
        <f>'Prod. GEXURG'!H4</f>
        <v>47.31</v>
      </c>
      <c r="N35" s="269">
        <f>'GEXURG Limp. Ord.'!N180</f>
        <v>24.031794669599062</v>
      </c>
      <c r="O35" s="255">
        <f>'Prod. GEXURG'!I4</f>
        <v>33.119999999999997</v>
      </c>
      <c r="P35" s="269">
        <f>'GEXURG Limp. Ord.'!N186</f>
        <v>2.7042467453606154</v>
      </c>
      <c r="Q35" s="255">
        <f>'Prod. GEXURG'!J4</f>
        <v>0</v>
      </c>
      <c r="R35" s="269"/>
      <c r="S35" s="255">
        <f>'Prod. GEXURG'!K4</f>
        <v>0</v>
      </c>
      <c r="T35" s="269"/>
      <c r="U35" s="257">
        <f>'Prod. GEXURG'!L4</f>
        <v>0</v>
      </c>
      <c r="V35" s="269"/>
      <c r="W35" s="255">
        <f>'Prod. GEXURG'!M4</f>
        <v>0</v>
      </c>
      <c r="X35" s="269"/>
      <c r="Y35" s="255">
        <f>'Prod. GEXURG'!N4</f>
        <v>238.02</v>
      </c>
      <c r="Z35" s="269">
        <f>'GEXURG Limp. Ord.'!N204</f>
        <v>1.0857885014998958</v>
      </c>
      <c r="AA35" s="250">
        <f t="shared" ref="AA35:AA44" si="5">(E35*F35)+(G35*H35)+(I35*J35)+(K35*L35)+(M35*N35)+(O35*P35)+(Q35*R35)+(S35*T35)+(U35*V35)+(W35*X35)+(Y35*Z35)</f>
        <v>7652.8332388357494</v>
      </c>
      <c r="AB35" s="771"/>
      <c r="AC35" s="661">
        <f>'Prod. GEXURG'!V4*'GEXURG Limp. Ord.'!C150</f>
        <v>153.34380684786464</v>
      </c>
      <c r="AD35" s="775">
        <f>'Prod. GEXURG'!W4*'GEXURG Covid'!C145</f>
        <v>132.76980164886731</v>
      </c>
      <c r="AE35" s="773">
        <f>MC!C15*'Prod. GEXURG'!X4</f>
        <v>4043.6000000000004</v>
      </c>
      <c r="ALO35" s="242"/>
      <c r="ALP35" s="242"/>
      <c r="ALQ35" s="242"/>
      <c r="ALR35" s="242"/>
      <c r="ALS35" s="242"/>
      <c r="ALT35" s="242"/>
      <c r="ALU35" s="242"/>
      <c r="ALV35" s="242"/>
      <c r="ALW35" s="242"/>
      <c r="ALX35" s="242"/>
      <c r="ALY35" s="242"/>
      <c r="ALZ35" s="242"/>
    </row>
    <row r="36" spans="1:1014" x14ac:dyDescent="0.2">
      <c r="A36" s="782" t="s">
        <v>119</v>
      </c>
      <c r="B36" s="782" t="s">
        <v>401</v>
      </c>
      <c r="C36" s="783"/>
      <c r="D36" s="784">
        <f>MC!C90</f>
        <v>0.05</v>
      </c>
      <c r="E36" s="226">
        <f>'Prod. GEXURG'!D5</f>
        <v>243.4733333333333</v>
      </c>
      <c r="F36" s="269">
        <f>'GEXURG Limp. Ord.'!N156</f>
        <v>6.0845551770613842</v>
      </c>
      <c r="G36" s="254">
        <f>'Prod. GEXURG'!E5</f>
        <v>631.78666666666663</v>
      </c>
      <c r="H36" s="269">
        <f>'GEXURG Limp. Ord.'!N162</f>
        <v>6.7589422508247363</v>
      </c>
      <c r="I36" s="255">
        <f>'Prod. GEXURG'!F5</f>
        <v>128.27000000000001</v>
      </c>
      <c r="J36" s="269">
        <f>'GEXURG Limp. Ord.'!N168</f>
        <v>3.2450960944327383</v>
      </c>
      <c r="K36" s="255">
        <f>'Prod. GEXURG'!G5</f>
        <v>0</v>
      </c>
      <c r="L36" s="269"/>
      <c r="M36" s="255">
        <f>'Prod. GEXURG'!H5</f>
        <v>47.31</v>
      </c>
      <c r="N36" s="269">
        <f>'GEXURG Limp. Ord.'!N180</f>
        <v>24.031794669599062</v>
      </c>
      <c r="O36" s="255">
        <f>'Prod. GEXURG'!I5</f>
        <v>33.119999999999997</v>
      </c>
      <c r="P36" s="269">
        <f>'GEXURG Limp. Ord.'!N186</f>
        <v>2.7042467453606154</v>
      </c>
      <c r="Q36" s="255">
        <f>'Prod. GEXURG'!J5</f>
        <v>0</v>
      </c>
      <c r="R36" s="269"/>
      <c r="S36" s="255">
        <f>'Prod. GEXURG'!K5</f>
        <v>0</v>
      </c>
      <c r="T36" s="269"/>
      <c r="U36" s="257">
        <f>'Prod. GEXURG'!L5</f>
        <v>0</v>
      </c>
      <c r="V36" s="269"/>
      <c r="W36" s="255">
        <f>'Prod. GEXURG'!M5</f>
        <v>0</v>
      </c>
      <c r="X36" s="269"/>
      <c r="Y36" s="255">
        <f>'Prod. GEXURG'!N5</f>
        <v>238.02</v>
      </c>
      <c r="Z36" s="269">
        <f>'GEXURG Limp. Ord.'!N204</f>
        <v>1.0857885014998958</v>
      </c>
      <c r="AA36" s="250">
        <f t="shared" si="5"/>
        <v>7652.8332388357494</v>
      </c>
      <c r="AB36" s="771">
        <f>'Prod. GEXURG'!T5*'GEXURG Covid'!C139</f>
        <v>4425.6600549622435</v>
      </c>
      <c r="AC36" s="662">
        <f>'Prod. GEXURG'!V5*'GEXURG Limp. Ord.'!C150</f>
        <v>153.34380684786464</v>
      </c>
      <c r="AD36" s="776">
        <f>'Prod. GEXURG'!W5*'GEXURG Covid'!C145</f>
        <v>132.76980164886731</v>
      </c>
      <c r="AE36" s="666"/>
      <c r="ALO36" s="242"/>
      <c r="ALP36" s="242"/>
      <c r="ALQ36" s="242"/>
      <c r="ALR36" s="242"/>
      <c r="ALS36" s="242"/>
      <c r="ALT36" s="242"/>
      <c r="ALU36" s="242"/>
      <c r="ALV36" s="242"/>
      <c r="ALW36" s="242"/>
      <c r="ALX36" s="242"/>
      <c r="ALY36" s="242"/>
      <c r="ALZ36" s="242"/>
    </row>
    <row r="37" spans="1:1014" x14ac:dyDescent="0.2">
      <c r="A37" s="782" t="s">
        <v>120</v>
      </c>
      <c r="B37" s="782" t="s">
        <v>402</v>
      </c>
      <c r="C37" s="783"/>
      <c r="D37" s="784">
        <f>MC!C91</f>
        <v>0.03</v>
      </c>
      <c r="E37" s="226">
        <f>'Prod. GEXURG'!D6</f>
        <v>15.372222222222257</v>
      </c>
      <c r="F37" s="269">
        <f>'GEXURG Limp. Ord.'!H156</f>
        <v>5.9543001750884077</v>
      </c>
      <c r="G37" s="254">
        <f>'Prod. GEXURG'!E6</f>
        <v>748.97777777777776</v>
      </c>
      <c r="H37" s="269">
        <f>'GEXURG Limp. Ord.'!H162</f>
        <v>6.6133166032958997</v>
      </c>
      <c r="I37" s="255">
        <f>'Prod. GEXURG'!F6</f>
        <v>166.78</v>
      </c>
      <c r="J37" s="269">
        <f>'GEXURG Limp. Ord.'!H168</f>
        <v>3.1756267600471508</v>
      </c>
      <c r="K37" s="255">
        <f>'Prod. GEXURG'!G6</f>
        <v>0</v>
      </c>
      <c r="L37" s="269"/>
      <c r="M37" s="255">
        <f>'Prod. GEXURG'!H6</f>
        <v>14.35</v>
      </c>
      <c r="N37" s="269">
        <f>'GEXURG Limp. Ord.'!H180</f>
        <v>23.514014589496533</v>
      </c>
      <c r="O37" s="255">
        <f>'Prod. GEXURG'!I6</f>
        <v>675.84</v>
      </c>
      <c r="P37" s="269">
        <f>'GEXURG Limp. Ord.'!H186</f>
        <v>2.6463556333726257</v>
      </c>
      <c r="Q37" s="255">
        <f>'Prod. GEXURG'!J6</f>
        <v>825.44</v>
      </c>
      <c r="R37" s="269">
        <f>'GEXURG Limp. Ord.'!H189</f>
        <v>4.7634401400707266E-2</v>
      </c>
      <c r="S37" s="255">
        <f>'Prod. GEXURG'!K6</f>
        <v>0</v>
      </c>
      <c r="T37" s="269"/>
      <c r="U37" s="257">
        <f>'Prod. GEXURG'!L6</f>
        <v>0</v>
      </c>
      <c r="V37" s="269"/>
      <c r="W37" s="255">
        <f>'Prod. GEXURG'!M6</f>
        <v>0</v>
      </c>
      <c r="X37" s="269"/>
      <c r="Y37" s="255">
        <f>'Prod. GEXURG'!N6</f>
        <v>128.71</v>
      </c>
      <c r="Z37" s="269">
        <f>'GEXURG Limp. Ord.'!H204</f>
        <v>1.0625445043153048</v>
      </c>
      <c r="AA37" s="250">
        <f t="shared" si="5"/>
        <v>7876.4075738478368</v>
      </c>
      <c r="AB37" s="771"/>
      <c r="AC37" s="662">
        <f>'Prod. GEXURG'!V6*'GEXURG Limp. Ord.'!C147</f>
        <v>149.84879130717258</v>
      </c>
      <c r="AD37" s="776">
        <f>'Prod. GEXURG'!W6*'GEXURG Covid'!C142</f>
        <v>778.46225582156387</v>
      </c>
      <c r="AE37" s="666"/>
      <c r="ALO37" s="242"/>
      <c r="ALP37" s="242"/>
      <c r="ALQ37" s="242"/>
      <c r="ALR37" s="242"/>
      <c r="ALS37" s="242"/>
      <c r="ALT37" s="242"/>
      <c r="ALU37" s="242"/>
      <c r="ALV37" s="242"/>
      <c r="ALW37" s="242"/>
      <c r="ALX37" s="242"/>
      <c r="ALY37" s="242"/>
      <c r="ALZ37" s="242"/>
    </row>
    <row r="38" spans="1:1014" x14ac:dyDescent="0.2">
      <c r="A38" s="782" t="s">
        <v>121</v>
      </c>
      <c r="B38" s="782" t="s">
        <v>403</v>
      </c>
      <c r="C38" s="783"/>
      <c r="D38" s="784">
        <f>MC!C92</f>
        <v>0.03</v>
      </c>
      <c r="E38" s="226">
        <f>'Prod. GEXURG'!D7</f>
        <v>640.69555555555542</v>
      </c>
      <c r="F38" s="269">
        <f>'GEXURG Limp. Ord.'!H156</f>
        <v>5.9543001750884077</v>
      </c>
      <c r="G38" s="254">
        <f>'Prod. GEXURG'!E7</f>
        <v>537.88444444444451</v>
      </c>
      <c r="H38" s="269">
        <f>'GEXURG Limp. Ord.'!H162</f>
        <v>6.6133166032958997</v>
      </c>
      <c r="I38" s="255">
        <f>'Prod. GEXURG'!F7</f>
        <v>108.05</v>
      </c>
      <c r="J38" s="269">
        <f>'GEXURG Limp. Ord.'!H168</f>
        <v>3.1756267600471508</v>
      </c>
      <c r="K38" s="255">
        <f>'Prod. GEXURG'!G7</f>
        <v>0</v>
      </c>
      <c r="L38" s="269"/>
      <c r="M38" s="255">
        <f>'Prod. GEXURG'!H7</f>
        <v>73.72</v>
      </c>
      <c r="N38" s="269">
        <f>'GEXURG Limp. Ord.'!H180</f>
        <v>23.514014589496533</v>
      </c>
      <c r="O38" s="255">
        <f>'Prod. GEXURG'!I7</f>
        <v>92.82</v>
      </c>
      <c r="P38" s="269">
        <f>'GEXURG Limp. Ord.'!H186</f>
        <v>2.6463556333726257</v>
      </c>
      <c r="Q38" s="255">
        <f>'Prod. GEXURG'!J7</f>
        <v>0</v>
      </c>
      <c r="R38" s="269"/>
      <c r="S38" s="255">
        <f>'Prod. GEXURG'!K7</f>
        <v>0</v>
      </c>
      <c r="T38" s="269"/>
      <c r="U38" s="257">
        <f>'Prod. GEXURG'!L7</f>
        <v>0</v>
      </c>
      <c r="V38" s="269"/>
      <c r="W38" s="255">
        <f>'Prod. GEXURG'!M7</f>
        <v>0</v>
      </c>
      <c r="X38" s="269"/>
      <c r="Y38" s="255">
        <f>'Prod. GEXURG'!N7</f>
        <v>346.08</v>
      </c>
      <c r="Z38" s="269">
        <f>'GEXURG Limp. Ord.'!H204</f>
        <v>1.0625445043153048</v>
      </c>
      <c r="AA38" s="250">
        <f t="shared" si="5"/>
        <v>10062.03354462571</v>
      </c>
      <c r="AB38" s="771">
        <f>'Prod. GEXURG'!U7*'GEXURG Covid'!D136</f>
        <v>3286.0960176732883</v>
      </c>
      <c r="AC38" s="662">
        <f>'Prod. GEXURG'!V7*'GEXURG Limp. Ord.'!C147</f>
        <v>149.84879130717258</v>
      </c>
      <c r="AD38" s="776">
        <f>'Prod. GEXURG'!W7*'GEXURG Covid'!C142</f>
        <v>129.74370930359396</v>
      </c>
      <c r="AE38" s="666"/>
      <c r="ALO38" s="242"/>
      <c r="ALP38" s="242"/>
      <c r="ALQ38" s="242"/>
      <c r="ALR38" s="242"/>
      <c r="ALS38" s="242"/>
      <c r="ALT38" s="242"/>
      <c r="ALU38" s="242"/>
      <c r="ALV38" s="242"/>
      <c r="ALW38" s="242"/>
      <c r="ALX38" s="242"/>
      <c r="ALY38" s="242"/>
      <c r="ALZ38" s="242"/>
    </row>
    <row r="39" spans="1:1014" x14ac:dyDescent="0.2">
      <c r="A39" s="782" t="s">
        <v>122</v>
      </c>
      <c r="B39" s="782" t="s">
        <v>404</v>
      </c>
      <c r="C39" s="783"/>
      <c r="D39" s="784">
        <f>MC!C93</f>
        <v>0.03</v>
      </c>
      <c r="E39" s="226">
        <f>'Prod. GEXURG'!D8</f>
        <v>0</v>
      </c>
      <c r="F39" s="269"/>
      <c r="G39" s="254">
        <f>'Prod. GEXURG'!E8</f>
        <v>800</v>
      </c>
      <c r="H39" s="269">
        <f>'GEXURG Limp. Ord.'!H162</f>
        <v>6.6133166032958997</v>
      </c>
      <c r="I39" s="255">
        <f>'Prod. GEXURG'!F8</f>
        <v>0</v>
      </c>
      <c r="J39" s="269"/>
      <c r="K39" s="255">
        <f>'Prod. GEXURG'!G8</f>
        <v>0</v>
      </c>
      <c r="L39" s="269"/>
      <c r="M39" s="255">
        <f>'Prod. GEXURG'!H8</f>
        <v>0</v>
      </c>
      <c r="N39" s="269">
        <f>'GEXURG Limp. Ord.'!H180</f>
        <v>23.514014589496533</v>
      </c>
      <c r="O39" s="255">
        <f>'Prod. GEXURG'!I8</f>
        <v>0</v>
      </c>
      <c r="P39" s="269"/>
      <c r="Q39" s="255">
        <f>'Prod. GEXURG'!J8</f>
        <v>0</v>
      </c>
      <c r="R39" s="269"/>
      <c r="S39" s="255">
        <f>'Prod. GEXURG'!K8</f>
        <v>0</v>
      </c>
      <c r="T39" s="269"/>
      <c r="U39" s="257">
        <f>'Prod. GEXURG'!L8</f>
        <v>0</v>
      </c>
      <c r="V39" s="269"/>
      <c r="W39" s="255">
        <f>'Prod. GEXURG'!M8</f>
        <v>0</v>
      </c>
      <c r="X39" s="269"/>
      <c r="Y39" s="255">
        <f>'Prod. GEXURG'!N8</f>
        <v>0</v>
      </c>
      <c r="Z39" s="269"/>
      <c r="AA39" s="250">
        <f t="shared" si="5"/>
        <v>5290.6532826367202</v>
      </c>
      <c r="AB39" s="771"/>
      <c r="AC39" s="662">
        <f>'Prod. GEXURG'!V8*'GEXURG Limp. Ord.'!C147</f>
        <v>149.84879130717258</v>
      </c>
      <c r="AD39" s="776">
        <f>'Prod. GEXURG'!W8*'GEXURG Covid'!C142</f>
        <v>778.46225582156387</v>
      </c>
      <c r="AE39" s="666"/>
      <c r="ALO39" s="242"/>
      <c r="ALP39" s="242"/>
      <c r="ALQ39" s="242"/>
      <c r="ALR39" s="242"/>
      <c r="ALS39" s="242"/>
      <c r="ALT39" s="242"/>
      <c r="ALU39" s="242"/>
      <c r="ALV39" s="242"/>
      <c r="ALW39" s="242"/>
      <c r="ALX39" s="242"/>
      <c r="ALY39" s="242"/>
      <c r="ALZ39" s="242"/>
    </row>
    <row r="40" spans="1:1014" x14ac:dyDescent="0.2">
      <c r="A40" s="782" t="s">
        <v>123</v>
      </c>
      <c r="B40" s="782" t="s">
        <v>405</v>
      </c>
      <c r="C40" s="783"/>
      <c r="D40" s="784">
        <f>MC!C94</f>
        <v>0.03</v>
      </c>
      <c r="E40" s="226">
        <f>'Prod. GEXURG'!D9</f>
        <v>178.98999999999995</v>
      </c>
      <c r="F40" s="269">
        <f>'GEXURG Limp. Ord.'!H156</f>
        <v>5.9543001750884077</v>
      </c>
      <c r="G40" s="254">
        <f>'Prod. GEXURG'!E9</f>
        <v>598.08000000000004</v>
      </c>
      <c r="H40" s="269">
        <f>'GEXURG Limp. Ord.'!H162</f>
        <v>6.6133166032958997</v>
      </c>
      <c r="I40" s="255">
        <f>'Prod. GEXURG'!F9</f>
        <v>157.9</v>
      </c>
      <c r="J40" s="269">
        <f>'GEXURG Limp. Ord.'!H168</f>
        <v>3.1756267600471508</v>
      </c>
      <c r="K40" s="255">
        <f>'Prod. GEXURG'!G9</f>
        <v>0</v>
      </c>
      <c r="L40" s="269"/>
      <c r="M40" s="255">
        <f>'Prod. GEXURG'!H9</f>
        <v>56.79</v>
      </c>
      <c r="N40" s="269">
        <f>'GEXURG Limp. Ord.'!H180</f>
        <v>23.514014589496533</v>
      </c>
      <c r="O40" s="255">
        <f>'Prod. GEXURG'!I9</f>
        <v>784.73</v>
      </c>
      <c r="P40" s="269">
        <f>'GEXURG Limp. Ord.'!H186</f>
        <v>2.6463556333726257</v>
      </c>
      <c r="Q40" s="255">
        <f>'Prod. GEXURG'!J9</f>
        <v>68.680000000000007</v>
      </c>
      <c r="R40" s="269">
        <f>'GEXURG Limp. Ord.'!H189</f>
        <v>4.7634401400707266E-2</v>
      </c>
      <c r="S40" s="255">
        <f>'Prod. GEXURG'!K9</f>
        <v>0</v>
      </c>
      <c r="T40" s="269"/>
      <c r="U40" s="257">
        <f>'Prod. GEXURG'!L9</f>
        <v>0</v>
      </c>
      <c r="V40" s="269"/>
      <c r="W40" s="255">
        <f>'Prod. GEXURG'!M9</f>
        <v>0</v>
      </c>
      <c r="X40" s="269"/>
      <c r="Y40" s="255">
        <f>'Prod. GEXURG'!N9</f>
        <v>263.36</v>
      </c>
      <c r="Z40" s="269">
        <f>'GEXURG Limp. Ord.'!H204</f>
        <v>1.0625445043153048</v>
      </c>
      <c r="AA40" s="250">
        <f t="shared" si="5"/>
        <v>9217.6228439084189</v>
      </c>
      <c r="AB40" s="771">
        <f>'Prod. GEXURG'!U9*'GEXURG Covid'!D136</f>
        <v>3286.0960176732883</v>
      </c>
      <c r="AC40" s="662">
        <f>'Prod. GEXURG'!V9*'GEXURG Limp. Ord.'!C147</f>
        <v>149.84879130717258</v>
      </c>
      <c r="AD40" s="776">
        <f>'Prod. GEXURG'!W9*'GEXURG Covid'!C142</f>
        <v>129.74370930359396</v>
      </c>
      <c r="AE40" s="666"/>
      <c r="ALO40" s="242"/>
      <c r="ALP40" s="242"/>
      <c r="ALQ40" s="242"/>
      <c r="ALR40" s="242"/>
      <c r="ALS40" s="242"/>
      <c r="ALT40" s="242"/>
      <c r="ALU40" s="242"/>
      <c r="ALV40" s="242"/>
      <c r="ALW40" s="242"/>
      <c r="ALX40" s="242"/>
      <c r="ALY40" s="242"/>
      <c r="ALZ40" s="242"/>
    </row>
    <row r="41" spans="1:1014" x14ac:dyDescent="0.2">
      <c r="A41" s="782" t="s">
        <v>124</v>
      </c>
      <c r="B41" s="782" t="s">
        <v>406</v>
      </c>
      <c r="C41" s="783"/>
      <c r="D41" s="784">
        <f>MC!C95</f>
        <v>2.5000000000000001E-2</v>
      </c>
      <c r="E41" s="226">
        <f>'Prod. GEXURG'!D10</f>
        <v>0</v>
      </c>
      <c r="F41" s="269"/>
      <c r="G41" s="254">
        <f>'Prod. GEXURG'!E10</f>
        <v>600</v>
      </c>
      <c r="H41" s="269">
        <f>'GEXURG Limp. Ord.'!F162</f>
        <v>6.5779415345265013</v>
      </c>
      <c r="I41" s="255">
        <f>'Prod. GEXURG'!F10</f>
        <v>0</v>
      </c>
      <c r="J41" s="269"/>
      <c r="K41" s="255">
        <f>'Prod. GEXURG'!G10</f>
        <v>0</v>
      </c>
      <c r="L41" s="269"/>
      <c r="M41" s="255">
        <f>'Prod. GEXURG'!H10</f>
        <v>0</v>
      </c>
      <c r="N41" s="269"/>
      <c r="O41" s="255">
        <f>'Prod. GEXURG'!I10</f>
        <v>0</v>
      </c>
      <c r="P41" s="269"/>
      <c r="Q41" s="255">
        <f>'Prod. GEXURG'!J10</f>
        <v>0</v>
      </c>
      <c r="R41" s="269"/>
      <c r="S41" s="255">
        <f>'Prod. GEXURG'!K10</f>
        <v>0</v>
      </c>
      <c r="T41" s="269"/>
      <c r="U41" s="257">
        <f>'Prod. GEXURG'!L10</f>
        <v>0</v>
      </c>
      <c r="V41" s="269"/>
      <c r="W41" s="255">
        <f>'Prod. GEXURG'!M10</f>
        <v>0</v>
      </c>
      <c r="X41" s="269"/>
      <c r="Y41" s="255">
        <f>'Prod. GEXURG'!N10</f>
        <v>0</v>
      </c>
      <c r="Z41" s="269">
        <f>'GEXURG Limp. Ord.'!F204</f>
        <v>1.0557568848156493</v>
      </c>
      <c r="AA41" s="250">
        <f t="shared" si="5"/>
        <v>3946.7649207159006</v>
      </c>
      <c r="AB41" s="771">
        <f>'Prod. GEXURG'!U10*'GEXURG Covid'!D135</f>
        <v>3267.4779099244315</v>
      </c>
      <c r="AC41" s="662">
        <f>'Prod. GEXURG'!V10*'GEXURG Limp. Ord.'!C146</f>
        <v>148.99978965670701</v>
      </c>
      <c r="AD41" s="776">
        <f>'Prod. GEXURG'!W10*'GEXURG Covid'!C141</f>
        <v>129.00861746617983</v>
      </c>
      <c r="AE41" s="666"/>
      <c r="ALO41" s="242"/>
      <c r="ALP41" s="242"/>
      <c r="ALQ41" s="242"/>
      <c r="ALR41" s="242"/>
      <c r="ALS41" s="242"/>
      <c r="ALT41" s="242"/>
      <c r="ALU41" s="242"/>
      <c r="ALV41" s="242"/>
      <c r="ALW41" s="242"/>
      <c r="ALX41" s="242"/>
      <c r="ALY41" s="242"/>
      <c r="ALZ41" s="242"/>
    </row>
    <row r="42" spans="1:1014" x14ac:dyDescent="0.2">
      <c r="A42" s="782" t="s">
        <v>125</v>
      </c>
      <c r="B42" s="782" t="s">
        <v>407</v>
      </c>
      <c r="C42" s="783"/>
      <c r="D42" s="784">
        <f>MC!C96</f>
        <v>0.03</v>
      </c>
      <c r="E42" s="226">
        <f>'Prod. GEXURG'!D11</f>
        <v>0</v>
      </c>
      <c r="F42" s="269"/>
      <c r="G42" s="254">
        <f>'Prod. GEXURG'!E11</f>
        <v>600</v>
      </c>
      <c r="H42" s="269">
        <f>'GEXURG Limp. Ord.'!H162</f>
        <v>6.6133166032958997</v>
      </c>
      <c r="I42" s="255">
        <f>'Prod. GEXURG'!F11</f>
        <v>0</v>
      </c>
      <c r="J42" s="269"/>
      <c r="K42" s="255">
        <f>'Prod. GEXURG'!G11</f>
        <v>0</v>
      </c>
      <c r="L42" s="269"/>
      <c r="M42" s="255">
        <f>'Prod. GEXURG'!H11</f>
        <v>0</v>
      </c>
      <c r="N42" s="269">
        <f>'GEXURG Limp. Ord.'!H180</f>
        <v>23.514014589496533</v>
      </c>
      <c r="O42" s="255">
        <f>'Prod. GEXURG'!I11</f>
        <v>0</v>
      </c>
      <c r="P42" s="269"/>
      <c r="Q42" s="255">
        <f>'Prod. GEXURG'!J11</f>
        <v>0</v>
      </c>
      <c r="R42" s="269"/>
      <c r="S42" s="255">
        <f>'Prod. GEXURG'!K11</f>
        <v>0</v>
      </c>
      <c r="T42" s="269"/>
      <c r="U42" s="257">
        <f>'Prod. GEXURG'!L11</f>
        <v>0</v>
      </c>
      <c r="V42" s="269"/>
      <c r="W42" s="255">
        <f>'Prod. GEXURG'!M11</f>
        <v>0</v>
      </c>
      <c r="X42" s="269"/>
      <c r="Y42" s="255">
        <f>'Prod. GEXURG'!N11</f>
        <v>0</v>
      </c>
      <c r="Z42" s="269"/>
      <c r="AA42" s="250">
        <f t="shared" si="5"/>
        <v>3967.9899619775397</v>
      </c>
      <c r="AB42" s="771">
        <f>'Prod. GEXURG'!T11*'GEXURG Covid'!C136</f>
        <v>4324.790310119799</v>
      </c>
      <c r="AC42" s="662">
        <f>'Prod. GEXURG'!V11*'GEXURG Limp. Ord.'!C147</f>
        <v>149.84879130717258</v>
      </c>
      <c r="AD42" s="776">
        <f>'Prod. GEXURG'!W11*'GEXURG Covid'!C142</f>
        <v>129.74370930359396</v>
      </c>
      <c r="AE42" s="666"/>
      <c r="ALO42" s="242"/>
      <c r="ALP42" s="242"/>
      <c r="ALQ42" s="242"/>
      <c r="ALR42" s="242"/>
      <c r="ALS42" s="242"/>
      <c r="ALT42" s="242"/>
      <c r="ALU42" s="242"/>
      <c r="ALV42" s="242"/>
      <c r="ALW42" s="242"/>
      <c r="ALX42" s="242"/>
      <c r="ALY42" s="242"/>
      <c r="ALZ42" s="242"/>
    </row>
    <row r="43" spans="1:1014" x14ac:dyDescent="0.2">
      <c r="A43" s="782" t="s">
        <v>126</v>
      </c>
      <c r="B43" s="782" t="s">
        <v>408</v>
      </c>
      <c r="C43" s="783"/>
      <c r="D43" s="784">
        <f>MC!C97</f>
        <v>0.03</v>
      </c>
      <c r="E43" s="226">
        <f>'Prod. GEXURG'!D12</f>
        <v>203.64666666666673</v>
      </c>
      <c r="F43" s="269">
        <f>'GEXURG Limp. Ord.'!H156</f>
        <v>5.9543001750884077</v>
      </c>
      <c r="G43" s="254">
        <f>'Prod. GEXURG'!E12</f>
        <v>679.25333333333333</v>
      </c>
      <c r="H43" s="269">
        <f>'GEXURG Limp. Ord.'!H162</f>
        <v>6.6133166032958997</v>
      </c>
      <c r="I43" s="255">
        <f>'Prod. GEXURG'!F12</f>
        <v>133.82</v>
      </c>
      <c r="J43" s="269">
        <f>'GEXURG Limp. Ord.'!H168</f>
        <v>3.1756267600471508</v>
      </c>
      <c r="K43" s="255">
        <f>'Prod. GEXURG'!G12</f>
        <v>0</v>
      </c>
      <c r="L43" s="269"/>
      <c r="M43" s="255">
        <f>'Prod. GEXURG'!H12</f>
        <v>33.96</v>
      </c>
      <c r="N43" s="269">
        <f>'GEXURG Limp. Ord.'!H180</f>
        <v>23.514014589496533</v>
      </c>
      <c r="O43" s="255">
        <f>'Prod. GEXURG'!I12</f>
        <v>215.19</v>
      </c>
      <c r="P43" s="269">
        <f>'GEXURG Limp. Ord.'!H186</f>
        <v>2.6463556333726257</v>
      </c>
      <c r="Q43" s="255">
        <f>'Prod. GEXURG'!J12</f>
        <v>674.18</v>
      </c>
      <c r="R43" s="269">
        <f>'GEXURG Limp. Ord.'!H189</f>
        <v>4.7634401400707266E-2</v>
      </c>
      <c r="S43" s="255">
        <f>'Prod. GEXURG'!K12</f>
        <v>0</v>
      </c>
      <c r="T43" s="269"/>
      <c r="U43" s="257">
        <f>'Prod. GEXURG'!L12</f>
        <v>0</v>
      </c>
      <c r="V43" s="269"/>
      <c r="W43" s="255">
        <f>'Prod. GEXURG'!M12</f>
        <v>0</v>
      </c>
      <c r="X43" s="269"/>
      <c r="Y43" s="255">
        <f>'Prod. GEXURG'!N12</f>
        <v>221.25</v>
      </c>
      <c r="Z43" s="269">
        <f>'GEXURG Limp. Ord.'!H204</f>
        <v>1.0625445043153048</v>
      </c>
      <c r="AA43" s="250">
        <f t="shared" si="5"/>
        <v>7764.8604397172785</v>
      </c>
      <c r="AB43" s="771">
        <f>'Prod. GEXURG'!U12*'GEXURG Covid'!D136</f>
        <v>3286.0960176732883</v>
      </c>
      <c r="AC43" s="662">
        <f>'Prod. GEXURG'!V12*'GEXURG Limp. Ord.'!C147</f>
        <v>149.84879130717258</v>
      </c>
      <c r="AD43" s="776">
        <f>'Prod. GEXURG'!W12*'GEXURG Covid'!C142</f>
        <v>129.74370930359396</v>
      </c>
      <c r="AE43" s="666"/>
      <c r="ALO43" s="242"/>
      <c r="ALP43" s="242"/>
      <c r="ALQ43" s="242"/>
      <c r="ALR43" s="242"/>
      <c r="ALS43" s="242"/>
      <c r="ALT43" s="242"/>
      <c r="ALU43" s="242"/>
      <c r="ALV43" s="242"/>
      <c r="ALW43" s="242"/>
      <c r="ALX43" s="242"/>
      <c r="ALY43" s="242"/>
      <c r="ALZ43" s="242"/>
    </row>
    <row r="44" spans="1:1014" x14ac:dyDescent="0.2">
      <c r="A44" s="788" t="s">
        <v>127</v>
      </c>
      <c r="B44" s="788" t="s">
        <v>409</v>
      </c>
      <c r="C44" s="789"/>
      <c r="D44" s="791">
        <f>MC!C98</f>
        <v>0.02</v>
      </c>
      <c r="E44" s="226">
        <f>'Prod. GEXURG'!D13</f>
        <v>0</v>
      </c>
      <c r="F44" s="269"/>
      <c r="G44" s="254">
        <f>'Prod. GEXURG'!E13</f>
        <v>600</v>
      </c>
      <c r="H44" s="269">
        <f>'GEXURG Limp. Ord.'!D162</f>
        <v>6.5429650580812648</v>
      </c>
      <c r="I44" s="255">
        <f>'Prod. GEXURG'!F13</f>
        <v>0</v>
      </c>
      <c r="J44" s="269"/>
      <c r="K44" s="255">
        <f>'Prod. GEXURG'!G13</f>
        <v>0</v>
      </c>
      <c r="L44" s="269"/>
      <c r="M44" s="255">
        <f>'Prod. GEXURG'!H13</f>
        <v>0</v>
      </c>
      <c r="N44" s="269">
        <f>'GEXURG Limp. Ord.'!D180</f>
        <v>22.203736330822966</v>
      </c>
      <c r="O44" s="255">
        <f>'Prod. GEXURG'!I13</f>
        <v>0</v>
      </c>
      <c r="P44" s="269">
        <f>'GEXURG Limp. Ord.'!D186</f>
        <v>2.6183885187080058</v>
      </c>
      <c r="Q44" s="255">
        <f>'Prod. GEXURG'!J13</f>
        <v>0</v>
      </c>
      <c r="R44" s="269"/>
      <c r="S44" s="255">
        <f>'Prod. GEXURG'!K13</f>
        <v>0</v>
      </c>
      <c r="T44" s="269"/>
      <c r="U44" s="257">
        <f>'Prod. GEXURG'!L13</f>
        <v>0</v>
      </c>
      <c r="V44" s="269"/>
      <c r="W44" s="255">
        <f>'Prod. GEXURG'!M13</f>
        <v>0</v>
      </c>
      <c r="X44" s="269"/>
      <c r="Y44" s="255">
        <f>'Prod. GEXURG'!N13</f>
        <v>0</v>
      </c>
      <c r="Z44" s="269"/>
      <c r="AA44" s="250">
        <f t="shared" si="5"/>
        <v>3925.7790348487588</v>
      </c>
      <c r="AB44" s="771">
        <f>'Prod. GEXURG'!U13*'GEXURG Covid'!D134</f>
        <v>3249.0695836713357</v>
      </c>
      <c r="AC44" s="663">
        <f>'Prod. GEXURG'!V13*'GEXURG Limp. Ord.'!C145</f>
        <v>148.16035422202134</v>
      </c>
      <c r="AD44" s="777">
        <f>'Prod. GEXURG'!W13*'GEXURG Covid'!C140</f>
        <v>128.28180835369432</v>
      </c>
      <c r="AE44" s="666"/>
      <c r="ALO44" s="242"/>
      <c r="ALP44" s="242"/>
      <c r="ALQ44" s="242"/>
      <c r="ALR44" s="242"/>
      <c r="ALS44" s="242"/>
      <c r="ALT44" s="242"/>
      <c r="ALU44" s="242"/>
      <c r="ALV44" s="242"/>
      <c r="ALW44" s="242"/>
      <c r="ALX44" s="242"/>
      <c r="ALY44" s="242"/>
      <c r="ALZ44" s="242"/>
    </row>
    <row r="45" spans="1:1014" x14ac:dyDescent="0.2">
      <c r="A45" s="859" t="s">
        <v>410</v>
      </c>
      <c r="B45" s="859"/>
      <c r="C45" s="859"/>
      <c r="D45" s="859"/>
      <c r="E45" s="234">
        <f>SUM(E35:E44)</f>
        <v>1525.651111111111</v>
      </c>
      <c r="F45" s="235"/>
      <c r="G45" s="265">
        <f>SUM(G35:G44)</f>
        <v>6427.7688888888888</v>
      </c>
      <c r="H45" s="235"/>
      <c r="I45" s="265">
        <f>SUM(I35:I44)</f>
        <v>823.08999999999992</v>
      </c>
      <c r="J45" s="237"/>
      <c r="K45" s="265">
        <f>SUM(K35:K44)</f>
        <v>0</v>
      </c>
      <c r="L45" s="237"/>
      <c r="M45" s="265">
        <f>SUM(M35:M44)</f>
        <v>273.44</v>
      </c>
      <c r="N45" s="237"/>
      <c r="O45" s="265">
        <f>SUM(O35:O44)</f>
        <v>1834.8200000000002</v>
      </c>
      <c r="P45" s="266"/>
      <c r="Q45" s="265">
        <f>SUM(Q35:Q44)</f>
        <v>1568.3000000000002</v>
      </c>
      <c r="R45" s="237"/>
      <c r="S45" s="265">
        <f>SUM(S35:S44)</f>
        <v>0</v>
      </c>
      <c r="T45" s="237"/>
      <c r="U45" s="265">
        <f>SUM(U35:U44)</f>
        <v>0</v>
      </c>
      <c r="V45" s="237"/>
      <c r="W45" s="265">
        <f>SUM(W35:W44)</f>
        <v>0</v>
      </c>
      <c r="X45" s="237"/>
      <c r="Y45" s="267">
        <f>SUM(Y35:Y44)</f>
        <v>1435.44</v>
      </c>
      <c r="Z45" s="237"/>
      <c r="AA45" s="237">
        <f t="shared" ref="AA45:AE45" si="6">SUM(AA35:AA44)</f>
        <v>67357.778079949654</v>
      </c>
      <c r="AB45" s="241">
        <f t="shared" si="6"/>
        <v>25125.285911697672</v>
      </c>
      <c r="AC45" s="673">
        <f t="shared" si="6"/>
        <v>1502.9405054174933</v>
      </c>
      <c r="AD45" s="240">
        <f t="shared" si="6"/>
        <v>2598.7293779751121</v>
      </c>
      <c r="AE45" s="237">
        <f t="shared" si="6"/>
        <v>4043.6000000000004</v>
      </c>
      <c r="ALO45" s="242"/>
      <c r="ALP45" s="242"/>
      <c r="ALQ45" s="242"/>
      <c r="ALR45" s="242"/>
      <c r="ALS45" s="242"/>
      <c r="ALT45" s="242"/>
      <c r="ALU45" s="242"/>
      <c r="ALV45" s="242"/>
      <c r="ALW45" s="242"/>
      <c r="ALX45" s="242"/>
      <c r="ALY45" s="242"/>
      <c r="ALZ45" s="242"/>
    </row>
    <row r="46" spans="1:1014" ht="15" x14ac:dyDescent="0.25">
      <c r="A46" s="270"/>
      <c r="B46" s="270"/>
      <c r="C46" s="270"/>
      <c r="D46" s="270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2"/>
      <c r="AB46" s="272"/>
      <c r="AC46" s="272"/>
      <c r="AD46" s="272"/>
      <c r="AE46" s="273"/>
      <c r="ALR46" s="273"/>
      <c r="ALS46" s="273"/>
      <c r="ALT46" s="273"/>
      <c r="ALU46" s="273"/>
      <c r="ALV46" s="273"/>
      <c r="ALW46" s="273"/>
      <c r="ALX46" s="273"/>
      <c r="ALY46" s="273"/>
      <c r="ALZ46" s="273"/>
    </row>
    <row r="47" spans="1:1014" ht="15" x14ac:dyDescent="0.2">
      <c r="A47" s="856" t="s">
        <v>411</v>
      </c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  <c r="M47" s="856"/>
      <c r="N47" s="856"/>
      <c r="O47" s="856"/>
      <c r="P47" s="856"/>
      <c r="Q47" s="856"/>
      <c r="R47" s="856"/>
      <c r="S47" s="856"/>
      <c r="T47" s="856"/>
      <c r="U47" s="856"/>
      <c r="V47" s="856"/>
      <c r="W47" s="856"/>
      <c r="X47" s="856"/>
      <c r="Y47" s="856"/>
      <c r="Z47" s="856"/>
      <c r="AA47" s="274">
        <f>ROUND(AA19+AA34+AA45,2)</f>
        <v>260688.5</v>
      </c>
      <c r="AB47" s="274">
        <f>ROUND(AB19+AB34+AB45,2)</f>
        <v>105634.03</v>
      </c>
      <c r="AC47" s="274">
        <f>ROUND(AC19+AC34+AC45,2)</f>
        <v>5570.87</v>
      </c>
      <c r="AD47" s="274">
        <f>ROUND(AD19+AD34+AD45,2)</f>
        <v>6094.11</v>
      </c>
      <c r="AE47" s="274">
        <f>ROUND(AE19+AE34+AE45,2)</f>
        <v>12130.8</v>
      </c>
    </row>
    <row r="48" spans="1:1014" ht="15" x14ac:dyDescent="0.2">
      <c r="A48" s="275"/>
      <c r="B48" s="275"/>
      <c r="C48" s="275"/>
      <c r="D48" s="275"/>
      <c r="E48" s="276"/>
      <c r="F48" s="277"/>
      <c r="G48" s="277"/>
      <c r="H48" s="277"/>
      <c r="I48" s="276"/>
      <c r="J48" s="276"/>
      <c r="K48" s="274"/>
      <c r="L48" s="274"/>
      <c r="M48" s="274"/>
      <c r="N48" s="274"/>
      <c r="O48" s="274"/>
      <c r="P48" s="274"/>
      <c r="Q48" s="274"/>
      <c r="R48" s="278"/>
      <c r="S48" s="279"/>
      <c r="T48" s="276"/>
      <c r="U48" s="277"/>
      <c r="V48" s="276"/>
      <c r="W48" s="276"/>
      <c r="X48" s="274"/>
      <c r="Y48" s="274"/>
      <c r="Z48" s="274"/>
      <c r="AA48" s="274"/>
      <c r="AB48" s="274"/>
      <c r="AC48" s="276"/>
      <c r="AD48" s="274"/>
      <c r="AE48" s="274"/>
    </row>
    <row r="49" spans="1:32" x14ac:dyDescent="0.2">
      <c r="A49" s="280"/>
      <c r="B49" s="280"/>
      <c r="C49" s="280"/>
      <c r="D49" s="280"/>
      <c r="E49" s="281"/>
      <c r="F49" s="281"/>
      <c r="G49" s="281"/>
      <c r="H49" s="281"/>
      <c r="I49" s="281"/>
      <c r="J49" s="281"/>
      <c r="K49" s="282"/>
      <c r="L49" s="282"/>
      <c r="M49" s="282"/>
      <c r="N49" s="282"/>
      <c r="O49" s="282"/>
      <c r="P49" s="281"/>
      <c r="Q49" s="281"/>
      <c r="R49" s="281"/>
      <c r="S49" s="282"/>
      <c r="T49" s="282"/>
      <c r="U49" s="281"/>
      <c r="V49" s="281"/>
      <c r="W49" s="281"/>
      <c r="X49" s="282"/>
      <c r="Y49" s="282"/>
      <c r="Z49" s="282"/>
      <c r="AA49" s="282"/>
      <c r="AB49" s="282"/>
      <c r="AC49" s="281"/>
      <c r="AD49" s="857" t="s">
        <v>60</v>
      </c>
      <c r="AE49" s="278">
        <f>AA47+AB47+AC47+AD47+AE47</f>
        <v>390118.31</v>
      </c>
      <c r="AF49" s="792"/>
    </row>
    <row r="50" spans="1:32" x14ac:dyDescent="0.2">
      <c r="A50" s="283"/>
      <c r="B50" s="283"/>
      <c r="C50" s="283"/>
      <c r="D50" s="283"/>
      <c r="E50" s="284"/>
      <c r="F50" s="284"/>
      <c r="G50" s="284"/>
      <c r="H50" s="284"/>
      <c r="I50" s="284"/>
      <c r="J50" s="284"/>
      <c r="K50" s="285"/>
      <c r="L50" s="285"/>
      <c r="M50" s="285"/>
      <c r="N50" s="285"/>
      <c r="O50" s="285"/>
      <c r="P50" s="284"/>
      <c r="Q50" s="284"/>
      <c r="R50" s="284"/>
      <c r="S50" s="285"/>
      <c r="T50" s="285"/>
      <c r="U50" s="284"/>
      <c r="V50" s="284"/>
      <c r="W50" s="284"/>
      <c r="X50" s="285"/>
      <c r="Y50" s="285"/>
      <c r="Z50" s="285"/>
      <c r="AA50" s="285"/>
      <c r="AB50" s="285"/>
      <c r="AC50" s="284"/>
      <c r="AD50" s="857"/>
      <c r="AE50" s="278">
        <f>AE49*12</f>
        <v>4681419.72</v>
      </c>
      <c r="AF50" s="793"/>
    </row>
    <row r="51" spans="1:32" x14ac:dyDescent="0.2">
      <c r="E51" s="286" t="s">
        <v>412</v>
      </c>
    </row>
  </sheetData>
  <mergeCells count="26">
    <mergeCell ref="A47:Z47"/>
    <mergeCell ref="AD49:AD50"/>
    <mergeCell ref="A19:D19"/>
    <mergeCell ref="A34:D34"/>
    <mergeCell ref="A45:D45"/>
    <mergeCell ref="AA3:AA4"/>
    <mergeCell ref="AB3:AB4"/>
    <mergeCell ref="AC3:AC4"/>
    <mergeCell ref="AD3:AD4"/>
    <mergeCell ref="AE3:AE4"/>
    <mergeCell ref="E2:N2"/>
    <mergeCell ref="O2:T2"/>
    <mergeCell ref="U2:Z2"/>
    <mergeCell ref="A3:C5"/>
    <mergeCell ref="D3:D5"/>
    <mergeCell ref="E3:F4"/>
    <mergeCell ref="G3:H4"/>
    <mergeCell ref="I3:J4"/>
    <mergeCell ref="K3:L4"/>
    <mergeCell ref="M3:N4"/>
    <mergeCell ref="O3:P4"/>
    <mergeCell ref="Q3:R4"/>
    <mergeCell ref="S3:T4"/>
    <mergeCell ref="U3:V4"/>
    <mergeCell ref="W3:X4"/>
    <mergeCell ref="Y3:Z4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5724"/>
  </sheetPr>
  <dimension ref="A1:ALZ177"/>
  <sheetViews>
    <sheetView zoomScaleNormal="100" workbookViewId="0">
      <pane xSplit="2" ySplit="3" topLeftCell="P4" activePane="bottomRight" state="frozen"/>
      <selection pane="topRight"/>
      <selection pane="bottomLeft"/>
      <selection pane="bottomRight" activeCell="T4" sqref="T4:U16"/>
    </sheetView>
  </sheetViews>
  <sheetFormatPr defaultColWidth="10.625"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4" max="24" width="9.375" customWidth="1"/>
    <col min="25" max="25" width="11.625" customWidth="1"/>
    <col min="26" max="26" width="9.25" customWidth="1"/>
  </cols>
  <sheetData>
    <row r="1" spans="1:26" ht="15" customHeight="1" x14ac:dyDescent="0.2">
      <c r="A1" s="270"/>
      <c r="B1" s="270"/>
      <c r="C1" s="860" t="s">
        <v>335</v>
      </c>
      <c r="D1" s="860"/>
      <c r="E1" s="860"/>
      <c r="F1" s="860"/>
      <c r="G1" s="860"/>
      <c r="H1" s="860"/>
      <c r="I1" s="861" t="s">
        <v>336</v>
      </c>
      <c r="J1" s="861"/>
      <c r="K1" s="861"/>
      <c r="L1" s="862" t="s">
        <v>337</v>
      </c>
      <c r="M1" s="862"/>
      <c r="N1" s="862"/>
      <c r="O1" s="270"/>
      <c r="P1" s="270"/>
      <c r="Q1" s="270"/>
      <c r="R1" s="270"/>
      <c r="S1" s="270"/>
      <c r="T1" s="270"/>
      <c r="U1" s="270"/>
      <c r="V1" s="863"/>
      <c r="W1" s="863"/>
      <c r="X1" s="863"/>
      <c r="Y1" s="270"/>
      <c r="Z1" s="79"/>
    </row>
    <row r="2" spans="1:26" ht="73.7" customHeight="1" x14ac:dyDescent="0.2">
      <c r="A2" s="864" t="s">
        <v>343</v>
      </c>
      <c r="B2" s="864" t="s">
        <v>344</v>
      </c>
      <c r="C2" s="865" t="s">
        <v>413</v>
      </c>
      <c r="D2" s="845" t="s">
        <v>345</v>
      </c>
      <c r="E2" s="845" t="s">
        <v>346</v>
      </c>
      <c r="F2" s="846" t="s">
        <v>347</v>
      </c>
      <c r="G2" s="844" t="s">
        <v>348</v>
      </c>
      <c r="H2" s="866" t="s">
        <v>414</v>
      </c>
      <c r="I2" s="867" t="s">
        <v>350</v>
      </c>
      <c r="J2" s="847" t="s">
        <v>415</v>
      </c>
      <c r="K2" s="868" t="s">
        <v>352</v>
      </c>
      <c r="L2" s="869" t="s">
        <v>353</v>
      </c>
      <c r="M2" s="849" t="s">
        <v>354</v>
      </c>
      <c r="N2" s="870" t="s">
        <v>355</v>
      </c>
      <c r="O2" s="871" t="s">
        <v>416</v>
      </c>
      <c r="P2" s="872" t="s">
        <v>361</v>
      </c>
      <c r="Q2" s="872"/>
      <c r="R2" s="872"/>
      <c r="S2" s="872"/>
      <c r="T2" s="873" t="s">
        <v>362</v>
      </c>
      <c r="U2" s="873"/>
      <c r="V2" s="287" t="s">
        <v>417</v>
      </c>
      <c r="W2" s="288" t="s">
        <v>418</v>
      </c>
      <c r="X2" s="289" t="s">
        <v>419</v>
      </c>
      <c r="Y2" s="290" t="s">
        <v>420</v>
      </c>
      <c r="Z2" s="291"/>
    </row>
    <row r="3" spans="1:26" x14ac:dyDescent="0.2">
      <c r="A3" s="864"/>
      <c r="B3" s="864"/>
      <c r="C3" s="864"/>
      <c r="D3" s="845"/>
      <c r="E3" s="845"/>
      <c r="F3" s="846"/>
      <c r="G3" s="844"/>
      <c r="H3" s="866"/>
      <c r="I3" s="867"/>
      <c r="J3" s="847"/>
      <c r="K3" s="868"/>
      <c r="L3" s="869"/>
      <c r="M3" s="849"/>
      <c r="N3" s="870"/>
      <c r="O3" s="871"/>
      <c r="P3" s="223" t="s">
        <v>366</v>
      </c>
      <c r="Q3" s="223" t="s">
        <v>367</v>
      </c>
      <c r="R3" s="223" t="s">
        <v>368</v>
      </c>
      <c r="S3" s="224" t="s">
        <v>369</v>
      </c>
      <c r="T3" s="225" t="s">
        <v>370</v>
      </c>
      <c r="U3" s="225" t="s">
        <v>371</v>
      </c>
      <c r="V3" s="292" t="s">
        <v>421</v>
      </c>
      <c r="W3" s="667" t="s">
        <v>421</v>
      </c>
      <c r="X3" s="294" t="s">
        <v>422</v>
      </c>
      <c r="Y3" s="290" t="s">
        <v>370</v>
      </c>
      <c r="Z3" s="291"/>
    </row>
    <row r="4" spans="1:26" x14ac:dyDescent="0.2">
      <c r="A4" s="295" t="s">
        <v>83</v>
      </c>
      <c r="B4" s="296">
        <f>'Resumo Proposta'!D6</f>
        <v>3.5000000000000003E-2</v>
      </c>
      <c r="C4" s="297">
        <v>3205.79</v>
      </c>
      <c r="D4" s="297">
        <f t="shared" ref="D4:D9" si="0">C4-E4-F4-G4-H4</f>
        <v>2166.5006666666668</v>
      </c>
      <c r="E4" s="298">
        <f t="shared" ref="E4:E16" si="1">$E$18*(1-H4/$H$18)</f>
        <v>537.61933333333332</v>
      </c>
      <c r="F4" s="651">
        <v>398.36</v>
      </c>
      <c r="G4" s="653"/>
      <c r="H4" s="651">
        <v>103.31</v>
      </c>
      <c r="I4" s="652">
        <v>283.36</v>
      </c>
      <c r="J4" s="653"/>
      <c r="K4" s="653"/>
      <c r="L4" s="299"/>
      <c r="M4" s="299"/>
      <c r="N4" s="300">
        <v>1408.16</v>
      </c>
      <c r="O4" s="232">
        <f t="shared" ref="O4:O16" si="2">D4/$D$18+E4/$E$18+F4/$F$18+G4/$G$18+H4/$H$18+I4/$I$18+J4/$J$18+K4/$K$18+M4/$M$18*16*1/188.76+N4/$N$18*16*1/188.76</f>
        <v>4.2204737148950899</v>
      </c>
      <c r="P4" s="232">
        <v>1</v>
      </c>
      <c r="Q4" s="232">
        <v>3</v>
      </c>
      <c r="R4" s="232"/>
      <c r="S4" s="232">
        <v>1</v>
      </c>
      <c r="T4" s="794"/>
      <c r="U4" s="794"/>
      <c r="V4" s="661">
        <v>6</v>
      </c>
      <c r="W4" s="669">
        <v>6</v>
      </c>
      <c r="X4" s="664">
        <v>22</v>
      </c>
      <c r="Y4" s="304">
        <v>1</v>
      </c>
      <c r="Z4" s="79"/>
    </row>
    <row r="5" spans="1:26" x14ac:dyDescent="0.2">
      <c r="A5" s="305" t="s">
        <v>85</v>
      </c>
      <c r="B5" s="306">
        <f>'Resumo Proposta'!D7</f>
        <v>0.05</v>
      </c>
      <c r="C5" s="297">
        <v>1495.48</v>
      </c>
      <c r="D5" s="297">
        <f t="shared" si="0"/>
        <v>663.7793333333334</v>
      </c>
      <c r="E5" s="297">
        <f t="shared" si="1"/>
        <v>631.70066666666662</v>
      </c>
      <c r="F5" s="654">
        <v>131.11000000000001</v>
      </c>
      <c r="G5" s="656">
        <v>0</v>
      </c>
      <c r="H5" s="654">
        <v>68.89</v>
      </c>
      <c r="I5" s="655">
        <v>202.58</v>
      </c>
      <c r="J5" s="655">
        <v>47.5</v>
      </c>
      <c r="K5" s="655">
        <v>131.76</v>
      </c>
      <c r="L5" s="297"/>
      <c r="M5" s="297"/>
      <c r="N5" s="307">
        <v>608.20000000000005</v>
      </c>
      <c r="O5" s="232">
        <f t="shared" si="2"/>
        <v>2.0877421877881241</v>
      </c>
      <c r="P5" s="262">
        <v>1</v>
      </c>
      <c r="Q5" s="308">
        <v>1</v>
      </c>
      <c r="R5" s="308"/>
      <c r="S5" s="308"/>
      <c r="T5" s="795"/>
      <c r="U5" s="796">
        <v>1</v>
      </c>
      <c r="V5" s="662">
        <v>6</v>
      </c>
      <c r="W5" s="670">
        <v>6</v>
      </c>
      <c r="X5" s="665"/>
      <c r="Y5" s="313"/>
      <c r="Z5" s="79"/>
    </row>
    <row r="6" spans="1:26" x14ac:dyDescent="0.2">
      <c r="A6" s="305" t="s">
        <v>88</v>
      </c>
      <c r="B6" s="306">
        <f>'Resumo Proposta'!D8</f>
        <v>2.5000000000000001E-2</v>
      </c>
      <c r="C6" s="297">
        <v>906.88</v>
      </c>
      <c r="D6" s="297">
        <f t="shared" si="0"/>
        <v>113.79600000000002</v>
      </c>
      <c r="E6" s="297">
        <f t="shared" si="1"/>
        <v>705.774</v>
      </c>
      <c r="F6" s="654">
        <v>5.94</v>
      </c>
      <c r="G6" s="654">
        <v>39.58</v>
      </c>
      <c r="H6" s="654">
        <v>41.79</v>
      </c>
      <c r="I6" s="655">
        <v>105</v>
      </c>
      <c r="J6" s="657">
        <v>1082.78</v>
      </c>
      <c r="K6" s="655">
        <v>133.19</v>
      </c>
      <c r="L6" s="297"/>
      <c r="M6" s="297"/>
      <c r="N6" s="307">
        <v>273.82</v>
      </c>
      <c r="O6" s="232">
        <f t="shared" si="2"/>
        <v>1.2931328071455235</v>
      </c>
      <c r="P6" s="262">
        <v>1</v>
      </c>
      <c r="Q6" s="308"/>
      <c r="R6" s="308"/>
      <c r="S6" s="308"/>
      <c r="T6" s="796">
        <v>1</v>
      </c>
      <c r="U6" s="795"/>
      <c r="V6" s="662">
        <v>6</v>
      </c>
      <c r="W6" s="670">
        <v>6</v>
      </c>
      <c r="X6" s="666"/>
      <c r="Y6" s="313"/>
      <c r="Z6" s="79"/>
    </row>
    <row r="7" spans="1:26" x14ac:dyDescent="0.2">
      <c r="A7" s="305" t="s">
        <v>91</v>
      </c>
      <c r="B7" s="306">
        <f>'Resumo Proposta'!D9</f>
        <v>0.05</v>
      </c>
      <c r="C7" s="297">
        <v>913.18</v>
      </c>
      <c r="D7" s="297">
        <f t="shared" si="0"/>
        <v>12.265999999999931</v>
      </c>
      <c r="E7" s="297">
        <f t="shared" si="1"/>
        <v>746.36400000000003</v>
      </c>
      <c r="F7" s="654">
        <v>11.23</v>
      </c>
      <c r="G7" s="654">
        <v>116.38</v>
      </c>
      <c r="H7" s="654">
        <v>26.94</v>
      </c>
      <c r="I7" s="655">
        <v>145.76</v>
      </c>
      <c r="J7" s="655">
        <v>58.33</v>
      </c>
      <c r="K7" s="655">
        <v>218.24</v>
      </c>
      <c r="L7" s="297"/>
      <c r="M7" s="297"/>
      <c r="N7" s="307">
        <v>216.3</v>
      </c>
      <c r="O7" s="232">
        <f t="shared" si="2"/>
        <v>1.2241029796414946</v>
      </c>
      <c r="P7" s="232">
        <v>1</v>
      </c>
      <c r="Q7" s="232"/>
      <c r="R7" s="232"/>
      <c r="S7" s="232"/>
      <c r="T7" s="795"/>
      <c r="U7" s="796">
        <v>1</v>
      </c>
      <c r="V7" s="662">
        <v>6</v>
      </c>
      <c r="W7" s="670">
        <v>6</v>
      </c>
      <c r="X7" s="666"/>
      <c r="Y7" s="313"/>
      <c r="Z7" s="79"/>
    </row>
    <row r="8" spans="1:26" x14ac:dyDescent="0.2">
      <c r="A8" s="305" t="s">
        <v>93</v>
      </c>
      <c r="B8" s="306">
        <f>'Resumo Proposta'!D10</f>
        <v>3.5000000000000003E-2</v>
      </c>
      <c r="C8" s="297">
        <v>1496.01</v>
      </c>
      <c r="D8" s="297">
        <f t="shared" si="0"/>
        <v>791.53666666666663</v>
      </c>
      <c r="E8" s="297">
        <f t="shared" si="1"/>
        <v>637.82333333333338</v>
      </c>
      <c r="F8" s="297"/>
      <c r="G8" s="297"/>
      <c r="H8" s="629">
        <v>66.650000000000006</v>
      </c>
      <c r="I8" s="297">
        <v>121.95</v>
      </c>
      <c r="J8" s="297">
        <v>256.25</v>
      </c>
      <c r="K8" s="297">
        <v>0</v>
      </c>
      <c r="L8" s="297"/>
      <c r="M8" s="297"/>
      <c r="N8" s="307">
        <v>704.08</v>
      </c>
      <c r="O8" s="232">
        <f t="shared" si="2"/>
        <v>2.1700715760563978</v>
      </c>
      <c r="P8" s="262">
        <v>1</v>
      </c>
      <c r="Q8" s="308">
        <v>1</v>
      </c>
      <c r="R8" s="308"/>
      <c r="S8" s="308"/>
      <c r="T8" s="796">
        <v>2</v>
      </c>
      <c r="U8" s="796">
        <v>2</v>
      </c>
      <c r="V8" s="662">
        <v>6</v>
      </c>
      <c r="W8" s="670">
        <v>6</v>
      </c>
      <c r="X8" s="666"/>
      <c r="Y8" s="313"/>
      <c r="Z8" s="79"/>
    </row>
    <row r="9" spans="1:26" x14ac:dyDescent="0.2">
      <c r="A9" s="305" t="s">
        <v>95</v>
      </c>
      <c r="B9" s="306">
        <f>'Resumo Proposta'!D11</f>
        <v>0.04</v>
      </c>
      <c r="C9" s="297">
        <v>1315.1</v>
      </c>
      <c r="D9" s="297">
        <f t="shared" si="0"/>
        <v>591.0899999999998</v>
      </c>
      <c r="E9" s="297">
        <f t="shared" si="1"/>
        <v>621.56000000000006</v>
      </c>
      <c r="F9" s="297">
        <v>25.25</v>
      </c>
      <c r="G9" s="297">
        <v>4.5999999999999996</v>
      </c>
      <c r="H9" s="629">
        <v>72.599999999999994</v>
      </c>
      <c r="I9" s="297">
        <v>0</v>
      </c>
      <c r="J9" s="297">
        <v>0</v>
      </c>
      <c r="K9" s="297">
        <v>0</v>
      </c>
      <c r="L9" s="297"/>
      <c r="M9" s="297"/>
      <c r="N9" s="307">
        <v>211.7</v>
      </c>
      <c r="O9" s="232">
        <f t="shared" si="2"/>
        <v>1.7812304452461998</v>
      </c>
      <c r="P9" s="262">
        <v>1</v>
      </c>
      <c r="Q9" s="308">
        <v>1</v>
      </c>
      <c r="R9" s="308"/>
      <c r="S9" s="308"/>
      <c r="T9" s="796">
        <v>1</v>
      </c>
      <c r="U9" s="796">
        <v>1</v>
      </c>
      <c r="V9" s="662">
        <v>6</v>
      </c>
      <c r="W9" s="670">
        <v>6</v>
      </c>
      <c r="X9" s="666"/>
      <c r="Y9" s="313"/>
      <c r="Z9" s="79"/>
    </row>
    <row r="10" spans="1:26" x14ac:dyDescent="0.2">
      <c r="A10" s="305" t="s">
        <v>98</v>
      </c>
      <c r="B10" s="306">
        <f>'Resumo Proposta'!D12</f>
        <v>0.02</v>
      </c>
      <c r="C10" s="297">
        <v>740.65</v>
      </c>
      <c r="D10" s="297"/>
      <c r="E10" s="297">
        <f t="shared" si="1"/>
        <v>820</v>
      </c>
      <c r="F10" s="297"/>
      <c r="G10" s="297"/>
      <c r="H10" s="629"/>
      <c r="I10" s="297"/>
      <c r="J10" s="297"/>
      <c r="K10" s="297"/>
      <c r="L10" s="297"/>
      <c r="M10" s="297"/>
      <c r="N10" s="307"/>
      <c r="O10" s="232">
        <f t="shared" si="2"/>
        <v>1</v>
      </c>
      <c r="P10" s="232">
        <v>1</v>
      </c>
      <c r="Q10" s="232"/>
      <c r="R10" s="232"/>
      <c r="S10" s="232"/>
      <c r="T10" s="795"/>
      <c r="U10" s="796">
        <v>1</v>
      </c>
      <c r="V10" s="662">
        <v>6</v>
      </c>
      <c r="W10" s="670">
        <v>6</v>
      </c>
      <c r="X10" s="666"/>
      <c r="Y10" s="313"/>
      <c r="Z10" s="79"/>
    </row>
    <row r="11" spans="1:26" x14ac:dyDescent="0.2">
      <c r="A11" s="305" t="s">
        <v>100</v>
      </c>
      <c r="B11" s="306">
        <f>'Resumo Proposta'!D13</f>
        <v>0.02</v>
      </c>
      <c r="C11" s="297">
        <v>471.71</v>
      </c>
      <c r="D11" s="297"/>
      <c r="E11" s="297">
        <f t="shared" si="1"/>
        <v>820</v>
      </c>
      <c r="F11" s="297"/>
      <c r="G11" s="297"/>
      <c r="H11" s="629"/>
      <c r="I11" s="297"/>
      <c r="J11" s="297"/>
      <c r="K11" s="297"/>
      <c r="L11" s="297"/>
      <c r="M11" s="297"/>
      <c r="N11" s="307"/>
      <c r="O11" s="232">
        <f t="shared" si="2"/>
        <v>1</v>
      </c>
      <c r="P11" s="262">
        <v>1</v>
      </c>
      <c r="Q11" s="308"/>
      <c r="R11" s="308"/>
      <c r="S11" s="308"/>
      <c r="T11" s="796">
        <v>1</v>
      </c>
      <c r="U11" s="795"/>
      <c r="V11" s="662">
        <v>6</v>
      </c>
      <c r="W11" s="670">
        <v>6</v>
      </c>
      <c r="X11" s="666"/>
      <c r="Y11" s="313"/>
      <c r="Z11" s="79"/>
    </row>
    <row r="12" spans="1:26" x14ac:dyDescent="0.2">
      <c r="A12" s="305" t="s">
        <v>102</v>
      </c>
      <c r="B12" s="306">
        <f>'Resumo Proposta'!D14</f>
        <v>0.03</v>
      </c>
      <c r="C12" s="297">
        <v>399.57</v>
      </c>
      <c r="D12" s="297"/>
      <c r="E12" s="297">
        <f t="shared" si="1"/>
        <v>820</v>
      </c>
      <c r="F12" s="297"/>
      <c r="G12" s="297"/>
      <c r="H12" s="629"/>
      <c r="I12" s="297"/>
      <c r="J12" s="297"/>
      <c r="K12" s="297"/>
      <c r="L12" s="297"/>
      <c r="M12" s="297"/>
      <c r="N12" s="307"/>
      <c r="O12" s="232">
        <f t="shared" si="2"/>
        <v>1</v>
      </c>
      <c r="P12" s="262">
        <v>1</v>
      </c>
      <c r="Q12" s="308"/>
      <c r="R12" s="308"/>
      <c r="S12" s="308"/>
      <c r="T12" s="795"/>
      <c r="U12" s="796">
        <v>1</v>
      </c>
      <c r="V12" s="662">
        <v>6</v>
      </c>
      <c r="W12" s="670">
        <v>6</v>
      </c>
      <c r="X12" s="666"/>
      <c r="Y12" s="313"/>
      <c r="Z12" s="79"/>
    </row>
    <row r="13" spans="1:26" x14ac:dyDescent="0.2">
      <c r="A13" s="305" t="s">
        <v>104</v>
      </c>
      <c r="B13" s="306">
        <f>'Resumo Proposta'!D15</f>
        <v>0.02</v>
      </c>
      <c r="C13" s="297">
        <v>334.4</v>
      </c>
      <c r="D13" s="297"/>
      <c r="E13" s="297">
        <f t="shared" si="1"/>
        <v>820</v>
      </c>
      <c r="F13" s="297"/>
      <c r="G13" s="297"/>
      <c r="H13" s="629"/>
      <c r="I13" s="297"/>
      <c r="J13" s="297"/>
      <c r="K13" s="297"/>
      <c r="L13" s="297"/>
      <c r="M13" s="297"/>
      <c r="N13" s="307"/>
      <c r="O13" s="232">
        <f t="shared" si="2"/>
        <v>1</v>
      </c>
      <c r="P13" s="232">
        <v>1</v>
      </c>
      <c r="Q13" s="232"/>
      <c r="R13" s="232"/>
      <c r="S13" s="232"/>
      <c r="T13" s="795"/>
      <c r="U13" s="795"/>
      <c r="V13" s="662">
        <v>6</v>
      </c>
      <c r="W13" s="670">
        <v>6</v>
      </c>
      <c r="X13" s="666"/>
      <c r="Y13" s="313"/>
      <c r="Z13" s="79"/>
    </row>
    <row r="14" spans="1:26" x14ac:dyDescent="0.2">
      <c r="A14" s="305" t="s">
        <v>106</v>
      </c>
      <c r="B14" s="306">
        <f>'Resumo Proposta'!D16</f>
        <v>0.02</v>
      </c>
      <c r="C14" s="297">
        <v>334.4</v>
      </c>
      <c r="D14" s="297"/>
      <c r="E14" s="297">
        <f t="shared" si="1"/>
        <v>820</v>
      </c>
      <c r="F14" s="297"/>
      <c r="G14" s="297"/>
      <c r="H14" s="629"/>
      <c r="I14" s="297"/>
      <c r="J14" s="297"/>
      <c r="K14" s="297"/>
      <c r="L14" s="297"/>
      <c r="M14" s="297"/>
      <c r="N14" s="307"/>
      <c r="O14" s="232">
        <f t="shared" si="2"/>
        <v>1</v>
      </c>
      <c r="P14" s="262">
        <v>1</v>
      </c>
      <c r="Q14" s="308"/>
      <c r="R14" s="308"/>
      <c r="S14" s="308"/>
      <c r="T14" s="795"/>
      <c r="U14" s="795"/>
      <c r="V14" s="662">
        <v>6</v>
      </c>
      <c r="W14" s="670">
        <v>6</v>
      </c>
      <c r="X14" s="666"/>
      <c r="Y14" s="313"/>
      <c r="Z14" s="79"/>
    </row>
    <row r="15" spans="1:26" x14ac:dyDescent="0.2">
      <c r="A15" s="305" t="s">
        <v>109</v>
      </c>
      <c r="B15" s="306">
        <f>'Resumo Proposta'!D17</f>
        <v>0.02</v>
      </c>
      <c r="C15" s="297">
        <v>334.4</v>
      </c>
      <c r="D15" s="297"/>
      <c r="E15" s="297">
        <f t="shared" si="1"/>
        <v>820</v>
      </c>
      <c r="F15" s="297"/>
      <c r="G15" s="297"/>
      <c r="H15" s="629"/>
      <c r="I15" s="297"/>
      <c r="J15" s="297"/>
      <c r="K15" s="297"/>
      <c r="L15" s="297"/>
      <c r="M15" s="297"/>
      <c r="N15" s="307"/>
      <c r="O15" s="232">
        <f t="shared" si="2"/>
        <v>1</v>
      </c>
      <c r="P15" s="262">
        <v>1</v>
      </c>
      <c r="Q15" s="308"/>
      <c r="R15" s="308"/>
      <c r="S15" s="308"/>
      <c r="T15" s="795"/>
      <c r="U15" s="795"/>
      <c r="V15" s="662">
        <v>6</v>
      </c>
      <c r="W15" s="670">
        <v>6</v>
      </c>
      <c r="X15" s="666"/>
      <c r="Y15" s="313"/>
      <c r="Z15" s="79"/>
    </row>
    <row r="16" spans="1:26" x14ac:dyDescent="0.2">
      <c r="A16" s="315" t="s">
        <v>112</v>
      </c>
      <c r="B16" s="316">
        <f>'Resumo Proposta'!D18</f>
        <v>0.05</v>
      </c>
      <c r="C16" s="297">
        <v>334.4</v>
      </c>
      <c r="D16" s="297"/>
      <c r="E16" s="317">
        <f t="shared" si="1"/>
        <v>820</v>
      </c>
      <c r="F16" s="297"/>
      <c r="G16" s="297"/>
      <c r="H16" s="629"/>
      <c r="I16" s="318"/>
      <c r="J16" s="318"/>
      <c r="K16" s="318"/>
      <c r="L16" s="318"/>
      <c r="M16" s="318"/>
      <c r="N16" s="319"/>
      <c r="O16" s="232">
        <f t="shared" si="2"/>
        <v>1</v>
      </c>
      <c r="P16" s="262">
        <v>1</v>
      </c>
      <c r="Q16" s="308"/>
      <c r="R16" s="308"/>
      <c r="S16" s="308"/>
      <c r="T16" s="795"/>
      <c r="U16" s="795"/>
      <c r="V16" s="663">
        <v>6</v>
      </c>
      <c r="W16" s="670">
        <v>6</v>
      </c>
      <c r="X16" s="666"/>
      <c r="Y16" s="313"/>
      <c r="Z16" s="79"/>
    </row>
    <row r="17" spans="1:1014" x14ac:dyDescent="0.2">
      <c r="A17" s="320" t="s">
        <v>423</v>
      </c>
      <c r="B17" s="320"/>
      <c r="C17" s="321">
        <f t="shared" ref="C17:Y17" si="3">SUM(C4:C16)</f>
        <v>12281.969999999998</v>
      </c>
      <c r="D17" s="321">
        <f t="shared" si="3"/>
        <v>4338.9686666666666</v>
      </c>
      <c r="E17" s="321">
        <f t="shared" si="3"/>
        <v>9620.8413333333338</v>
      </c>
      <c r="F17" s="322">
        <f t="shared" si="3"/>
        <v>571.8900000000001</v>
      </c>
      <c r="G17" s="322">
        <f t="shared" si="3"/>
        <v>160.55999999999997</v>
      </c>
      <c r="H17" s="322">
        <f t="shared" si="3"/>
        <v>380.17999999999995</v>
      </c>
      <c r="I17" s="322">
        <f t="shared" si="3"/>
        <v>858.65000000000009</v>
      </c>
      <c r="J17" s="322">
        <f t="shared" si="3"/>
        <v>1444.86</v>
      </c>
      <c r="K17" s="322">
        <f t="shared" si="3"/>
        <v>483.19</v>
      </c>
      <c r="L17" s="322">
        <f t="shared" si="3"/>
        <v>0</v>
      </c>
      <c r="M17" s="322">
        <f t="shared" si="3"/>
        <v>0</v>
      </c>
      <c r="N17" s="323">
        <f t="shared" si="3"/>
        <v>3422.26</v>
      </c>
      <c r="O17" s="324">
        <f t="shared" si="3"/>
        <v>19.77675371077283</v>
      </c>
      <c r="P17" s="325">
        <f t="shared" si="3"/>
        <v>13</v>
      </c>
      <c r="Q17" s="326">
        <f t="shared" si="3"/>
        <v>6</v>
      </c>
      <c r="R17" s="326">
        <f t="shared" si="3"/>
        <v>0</v>
      </c>
      <c r="S17" s="326">
        <f t="shared" si="3"/>
        <v>1</v>
      </c>
      <c r="T17" s="327">
        <f t="shared" si="3"/>
        <v>5</v>
      </c>
      <c r="U17" s="328">
        <f t="shared" si="3"/>
        <v>7</v>
      </c>
      <c r="V17" s="660">
        <f t="shared" si="3"/>
        <v>78</v>
      </c>
      <c r="W17" s="668">
        <f t="shared" si="3"/>
        <v>78</v>
      </c>
      <c r="X17" s="331">
        <f t="shared" si="3"/>
        <v>22</v>
      </c>
      <c r="Y17" s="332">
        <f t="shared" si="3"/>
        <v>1</v>
      </c>
      <c r="ALV17" s="242"/>
      <c r="ALW17" s="242"/>
      <c r="ALX17" s="242"/>
      <c r="ALY17" s="242"/>
      <c r="ALZ17" s="242"/>
    </row>
    <row r="18" spans="1:1014" ht="15" x14ac:dyDescent="0.25">
      <c r="A18" s="333" t="s">
        <v>424</v>
      </c>
      <c r="B18" s="333"/>
      <c r="C18" s="333"/>
      <c r="D18" s="620">
        <v>820</v>
      </c>
      <c r="E18" s="621">
        <v>820</v>
      </c>
      <c r="F18" s="621">
        <v>2500</v>
      </c>
      <c r="G18" s="621">
        <v>1500</v>
      </c>
      <c r="H18" s="621">
        <v>300</v>
      </c>
      <c r="I18" s="621">
        <v>2700</v>
      </c>
      <c r="J18" s="621">
        <v>100000</v>
      </c>
      <c r="K18" s="621">
        <v>9000</v>
      </c>
      <c r="L18" s="621">
        <v>160</v>
      </c>
      <c r="M18" s="621">
        <v>380</v>
      </c>
      <c r="N18" s="622">
        <v>380</v>
      </c>
      <c r="O18" s="337"/>
      <c r="P18" s="338" t="s">
        <v>425</v>
      </c>
      <c r="Q18" s="339">
        <f>P17+Q17+R17+S17</f>
        <v>20</v>
      </c>
      <c r="R18" s="340"/>
      <c r="S18" s="340"/>
      <c r="T18" s="338" t="s">
        <v>425</v>
      </c>
      <c r="U18" s="341">
        <f>T17+U17</f>
        <v>12</v>
      </c>
      <c r="V18" s="342"/>
      <c r="W18" s="342"/>
      <c r="X18" s="342"/>
      <c r="Y18" s="272"/>
      <c r="Z18" s="273"/>
      <c r="ALY18" s="273"/>
      <c r="ALZ18" s="273"/>
    </row>
    <row r="19" spans="1:1014" ht="15" x14ac:dyDescent="0.25">
      <c r="A19" s="343" t="s">
        <v>426</v>
      </c>
      <c r="B19" s="343"/>
      <c r="C19" s="343"/>
      <c r="D19" s="623">
        <f t="shared" ref="D19:K19" si="4">D17/D18</f>
        <v>5.2914252032520324</v>
      </c>
      <c r="E19" s="624">
        <f t="shared" si="4"/>
        <v>11.732733333333334</v>
      </c>
      <c r="F19" s="624">
        <f t="shared" si="4"/>
        <v>0.22875600000000004</v>
      </c>
      <c r="G19" s="624">
        <f t="shared" si="4"/>
        <v>0.10703999999999998</v>
      </c>
      <c r="H19" s="624">
        <f t="shared" si="4"/>
        <v>1.2672666666666665</v>
      </c>
      <c r="I19" s="624">
        <f t="shared" si="4"/>
        <v>0.31801851851851853</v>
      </c>
      <c r="J19" s="624">
        <f t="shared" si="4"/>
        <v>1.4448599999999999E-2</v>
      </c>
      <c r="K19" s="624">
        <f t="shared" si="4"/>
        <v>5.3687777777777779E-2</v>
      </c>
      <c r="L19" s="624">
        <f>1/L18*8*1/1132.6*L17</f>
        <v>0</v>
      </c>
      <c r="M19" s="624">
        <f>1/M18*16*1/188.76*M17</f>
        <v>0</v>
      </c>
      <c r="N19" s="625">
        <f>1/N18*16*1/188.76*N17</f>
        <v>0.76337761122450132</v>
      </c>
      <c r="O19" s="347">
        <f>SUM(D19:N19)-L19</f>
        <v>19.776753710772837</v>
      </c>
      <c r="P19" s="338" t="s">
        <v>427</v>
      </c>
      <c r="Q19" s="341">
        <f>P17+Q17+((R17+S17)*0.75)</f>
        <v>19.75</v>
      </c>
      <c r="R19" s="272"/>
      <c r="S19" s="272"/>
      <c r="T19" s="348"/>
      <c r="U19" s="272"/>
      <c r="V19" s="272"/>
      <c r="W19" s="272"/>
      <c r="X19" s="272"/>
      <c r="Y19" s="272"/>
      <c r="Z19" s="273"/>
      <c r="ALY19" s="273"/>
      <c r="ALZ19" s="273"/>
    </row>
    <row r="20" spans="1:1014" ht="15" x14ac:dyDescent="0.25">
      <c r="A20" s="349" t="s">
        <v>428</v>
      </c>
      <c r="B20" s="349"/>
      <c r="C20" s="349"/>
      <c r="D20" s="626">
        <f t="shared" ref="D20:K20" si="5">D17/($O19*D18)</f>
        <v>0.26755782473893458</v>
      </c>
      <c r="E20" s="627">
        <f t="shared" si="5"/>
        <v>0.59325880803896813</v>
      </c>
      <c r="F20" s="627">
        <f t="shared" si="5"/>
        <v>1.1566913526125957E-2</v>
      </c>
      <c r="G20" s="627">
        <f t="shared" si="5"/>
        <v>5.4124150791084033E-3</v>
      </c>
      <c r="H20" s="627">
        <f t="shared" si="5"/>
        <v>6.4078598803420317E-2</v>
      </c>
      <c r="I20" s="627">
        <f t="shared" si="5"/>
        <v>1.6080420637755468E-2</v>
      </c>
      <c r="J20" s="627">
        <f t="shared" si="5"/>
        <v>7.3058501973099479E-4</v>
      </c>
      <c r="K20" s="627">
        <f t="shared" si="5"/>
        <v>2.7146911248903736E-3</v>
      </c>
      <c r="L20" s="627">
        <f>1/$O19*1/L18*16*1/188.76*L17</f>
        <v>0</v>
      </c>
      <c r="M20" s="627">
        <f>1/$O19*1/M18*16*1/188.76*M17</f>
        <v>0</v>
      </c>
      <c r="N20" s="628">
        <f>1/$O19*1/N18*16*1/188.76*N17</f>
        <v>3.8599743031065434E-2</v>
      </c>
      <c r="O20" s="352">
        <f>SUM(D20:N20)</f>
        <v>0.99999999999999978</v>
      </c>
      <c r="P20" s="272"/>
      <c r="Q20" s="272"/>
      <c r="R20" s="272"/>
      <c r="S20" s="272"/>
      <c r="T20" s="272"/>
      <c r="U20" s="272"/>
      <c r="V20" s="272"/>
      <c r="W20" s="272"/>
      <c r="X20" s="272"/>
      <c r="Y20" s="273"/>
      <c r="Z20" s="273"/>
      <c r="ALY20" s="273"/>
      <c r="ALZ20" s="273"/>
    </row>
    <row r="21" spans="1:1014" ht="15" hidden="1" x14ac:dyDescent="0.25">
      <c r="A21" s="353" t="s">
        <v>429</v>
      </c>
      <c r="B21" s="353"/>
      <c r="C21" s="353"/>
      <c r="D21" s="354">
        <f>ROUND(1/D18,9)</f>
        <v>1.2195120000000001E-3</v>
      </c>
      <c r="E21" s="354"/>
      <c r="F21" s="355">
        <f t="shared" ref="F21:K21" si="6">ROUND(1/F18,9)</f>
        <v>4.0000000000000002E-4</v>
      </c>
      <c r="G21" s="355">
        <f t="shared" si="6"/>
        <v>6.6666700000000002E-4</v>
      </c>
      <c r="H21" s="355">
        <f t="shared" si="6"/>
        <v>3.333333E-3</v>
      </c>
      <c r="I21" s="355">
        <f t="shared" si="6"/>
        <v>3.7037000000000002E-4</v>
      </c>
      <c r="J21" s="355">
        <f t="shared" si="6"/>
        <v>1.0000000000000001E-5</v>
      </c>
      <c r="K21" s="355">
        <f t="shared" si="6"/>
        <v>1.11111E-4</v>
      </c>
      <c r="L21" s="356">
        <f>(1/L18)*(1/N26)*8</f>
        <v>4.8611111111111115E-5</v>
      </c>
      <c r="M21" s="356">
        <f>(1/M18)*(1/N25)*16</f>
        <v>2.4561403508771931E-4</v>
      </c>
      <c r="N21" s="357">
        <f>(1/N18)*(1/N25)*16</f>
        <v>2.4561403508771931E-4</v>
      </c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LY21" s="273"/>
      <c r="ALZ21" s="273"/>
    </row>
    <row r="22" spans="1:1014" ht="15" hidden="1" x14ac:dyDescent="0.25">
      <c r="A22" s="358" t="s">
        <v>430</v>
      </c>
      <c r="B22" s="358"/>
      <c r="C22" s="358"/>
      <c r="D22" s="359">
        <f>D21/$Y$17</f>
        <v>1.2195120000000001E-3</v>
      </c>
      <c r="E22" s="359"/>
      <c r="F22" s="360">
        <f t="shared" ref="F22:N22" si="7">F21/$Y$17</f>
        <v>4.0000000000000002E-4</v>
      </c>
      <c r="G22" s="360">
        <f t="shared" si="7"/>
        <v>6.6666700000000002E-4</v>
      </c>
      <c r="H22" s="360">
        <f t="shared" si="7"/>
        <v>3.333333E-3</v>
      </c>
      <c r="I22" s="360">
        <f t="shared" si="7"/>
        <v>3.7037000000000002E-4</v>
      </c>
      <c r="J22" s="360">
        <f t="shared" si="7"/>
        <v>1.0000000000000001E-5</v>
      </c>
      <c r="K22" s="360">
        <f t="shared" si="7"/>
        <v>1.11111E-4</v>
      </c>
      <c r="L22" s="361">
        <f t="shared" si="7"/>
        <v>4.8611111111111115E-5</v>
      </c>
      <c r="M22" s="361">
        <f t="shared" si="7"/>
        <v>2.4561403508771931E-4</v>
      </c>
      <c r="N22" s="362">
        <f t="shared" si="7"/>
        <v>2.4561403508771931E-4</v>
      </c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LY22" s="273"/>
      <c r="ALZ22" s="273"/>
    </row>
    <row r="23" spans="1:1014" ht="15" x14ac:dyDescent="0.25">
      <c r="A23" s="363" t="s">
        <v>431</v>
      </c>
      <c r="B23" s="363"/>
      <c r="C23" s="363"/>
      <c r="D23" s="364" t="s">
        <v>432</v>
      </c>
      <c r="E23" s="364" t="s">
        <v>432</v>
      </c>
      <c r="F23" s="365" t="s">
        <v>433</v>
      </c>
      <c r="G23" s="365" t="s">
        <v>434</v>
      </c>
      <c r="H23" s="365" t="s">
        <v>435</v>
      </c>
      <c r="I23" s="366" t="s">
        <v>436</v>
      </c>
      <c r="J23" s="366">
        <v>100000</v>
      </c>
      <c r="K23" s="366" t="s">
        <v>437</v>
      </c>
      <c r="L23" s="367" t="s">
        <v>438</v>
      </c>
      <c r="M23" s="367" t="s">
        <v>439</v>
      </c>
      <c r="N23" s="368" t="s">
        <v>439</v>
      </c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LY23" s="273"/>
      <c r="ALZ23" s="273"/>
    </row>
    <row r="24" spans="1:1014" ht="15" hidden="1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ALV24" s="242"/>
      <c r="ALW24" s="242"/>
      <c r="ALX24" s="242"/>
      <c r="ALY24" s="242"/>
      <c r="ALZ24" s="242"/>
    </row>
    <row r="25" spans="1:1014" ht="15" hidden="1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369">
        <f>30/7</f>
        <v>4.2857142857142856</v>
      </c>
      <c r="M25" s="369">
        <v>40</v>
      </c>
      <c r="N25" s="369">
        <f>L25*M25</f>
        <v>171.42857142857142</v>
      </c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ALV25" s="242"/>
      <c r="ALW25" s="242"/>
      <c r="ALX25" s="242"/>
      <c r="ALY25" s="242"/>
      <c r="ALZ25" s="242"/>
    </row>
    <row r="26" spans="1:1014" ht="15" hidden="1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369"/>
      <c r="M26" s="369"/>
      <c r="N26" s="369">
        <f>N25*6</f>
        <v>1028.5714285714284</v>
      </c>
      <c r="O26" s="369" t="s">
        <v>440</v>
      </c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ALV26" s="242"/>
      <c r="ALW26" s="242"/>
      <c r="ALX26" s="242"/>
      <c r="ALY26" s="242"/>
      <c r="ALZ26" s="242"/>
    </row>
    <row r="177" spans="4:4" x14ac:dyDescent="0.2">
      <c r="D177" t="e">
        <f>(1/'Prod. GEXPEL'!L18)*(1/('Prod. GEXPEL'!L19))*8</f>
        <v>#DIV/0!</v>
      </c>
    </row>
  </sheetData>
  <mergeCells count="21">
    <mergeCell ref="M2:M3"/>
    <mergeCell ref="N2:N3"/>
    <mergeCell ref="O2:O3"/>
    <mergeCell ref="P2:S2"/>
    <mergeCell ref="T2:U2"/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" right="0" top="0.39374999999999999" bottom="0.39374999999999999" header="0" footer="0"/>
  <pageSetup paperSize="9" firstPageNumber="0" orientation="portrait" horizontalDpi="300" verticalDpi="30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L205"/>
  <sheetViews>
    <sheetView zoomScaleNormal="100" workbookViewId="0">
      <selection activeCell="Q166" sqref="Q166"/>
    </sheetView>
  </sheetViews>
  <sheetFormatPr defaultColWidth="10.5" defaultRowHeight="14.25" x14ac:dyDescent="0.2"/>
  <cols>
    <col min="1" max="1" width="58.125" style="369" customWidth="1"/>
    <col min="2" max="2" width="16.25" style="369" customWidth="1"/>
    <col min="3" max="12" width="14" style="369" customWidth="1"/>
    <col min="13" max="13" width="15.125" style="369" customWidth="1"/>
    <col min="14" max="14" width="10.5" style="369"/>
    <col min="15" max="15" width="14.25" style="369" customWidth="1"/>
    <col min="16" max="1024" width="10.5" style="369"/>
  </cols>
  <sheetData>
    <row r="1" spans="1:1024" ht="15.75" x14ac:dyDescent="0.2">
      <c r="A1" s="878" t="s">
        <v>441</v>
      </c>
      <c r="B1" s="878"/>
      <c r="C1" s="878"/>
      <c r="D1" s="878"/>
      <c r="E1" s="878"/>
      <c r="F1" s="878"/>
      <c r="G1" s="878"/>
      <c r="H1" s="878"/>
      <c r="I1" s="878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">
      <c r="A2" s="879" t="s">
        <v>442</v>
      </c>
      <c r="B2" s="879"/>
      <c r="C2" s="879"/>
      <c r="D2" s="879"/>
      <c r="E2" s="879"/>
      <c r="F2" s="879"/>
      <c r="G2" s="879"/>
      <c r="H2" s="879"/>
      <c r="I2" s="879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879" t="s">
        <v>443</v>
      </c>
      <c r="B3" s="879"/>
      <c r="C3" s="879"/>
      <c r="D3" s="879"/>
      <c r="E3" s="879"/>
      <c r="F3" s="879"/>
      <c r="G3" s="879"/>
      <c r="H3" s="879"/>
      <c r="I3" s="879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" x14ac:dyDescent="0.2">
      <c r="A4" s="370"/>
      <c r="B4" s="371"/>
      <c r="C4" s="880" t="s">
        <v>444</v>
      </c>
      <c r="D4" s="880"/>
      <c r="E4" s="881" t="s">
        <v>445</v>
      </c>
      <c r="F4" s="881"/>
      <c r="G4" s="373" t="s">
        <v>446</v>
      </c>
      <c r="H4" s="374" t="s">
        <v>447</v>
      </c>
      <c r="I4" s="375" t="s">
        <v>448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376"/>
      <c r="B5" s="377" t="s">
        <v>449</v>
      </c>
      <c r="C5" s="882">
        <f>MC!D11</f>
        <v>1194.6272727272726</v>
      </c>
      <c r="D5" s="882"/>
      <c r="E5" s="882">
        <f>MC!E11</f>
        <v>895.97045454545446</v>
      </c>
      <c r="F5" s="882"/>
      <c r="G5" s="379">
        <f>MC!F11</f>
        <v>597.31363636363631</v>
      </c>
      <c r="H5" s="380">
        <f>MC!C13</f>
        <v>1669.75</v>
      </c>
      <c r="I5" s="380">
        <f>MC!D12</f>
        <v>1673.9117345454545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376"/>
      <c r="B6" s="377" t="s">
        <v>450</v>
      </c>
      <c r="C6" s="883">
        <f>MC!E8</f>
        <v>44562</v>
      </c>
      <c r="D6" s="883"/>
      <c r="E6" s="883">
        <f>C6</f>
        <v>44562</v>
      </c>
      <c r="F6" s="883"/>
      <c r="G6" s="382">
        <f>C6</f>
        <v>44562</v>
      </c>
      <c r="H6" s="383">
        <f>C6</f>
        <v>44562</v>
      </c>
      <c r="I6" s="383">
        <f>C6</f>
        <v>44562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376"/>
      <c r="B7" s="377" t="s">
        <v>451</v>
      </c>
      <c r="C7" s="883" t="str">
        <f>MC!$C8</f>
        <v>RS000051/2022</v>
      </c>
      <c r="D7" s="883"/>
      <c r="E7" s="883" t="str">
        <f>MC!$C8</f>
        <v>RS000051/2022</v>
      </c>
      <c r="F7" s="883"/>
      <c r="G7" s="382" t="str">
        <f>MC!$C8</f>
        <v>RS000051/2022</v>
      </c>
      <c r="H7" s="383" t="str">
        <f>MC!$C8</f>
        <v>RS000051/2022</v>
      </c>
      <c r="I7" s="383" t="str">
        <f>MC!$C8</f>
        <v>RS000051/2022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376"/>
      <c r="B8" s="377" t="s">
        <v>452</v>
      </c>
      <c r="C8" s="884" t="str">
        <f>MC!$F8</f>
        <v>5143-20</v>
      </c>
      <c r="D8" s="884"/>
      <c r="E8" s="885" t="str">
        <f>MC!$F8</f>
        <v>5143-20</v>
      </c>
      <c r="F8" s="885"/>
      <c r="G8" s="385" t="str">
        <f>MC!$F8</f>
        <v>5143-20</v>
      </c>
      <c r="H8" s="386" t="str">
        <f>MC!$F8</f>
        <v>5143-20</v>
      </c>
      <c r="I8" s="386" t="str">
        <f>MC!$F8</f>
        <v>5143-20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886"/>
      <c r="B9" s="886"/>
      <c r="C9" s="886"/>
      <c r="D9" s="886"/>
      <c r="E9" s="886"/>
      <c r="F9" s="886"/>
      <c r="G9" s="886"/>
      <c r="H9" s="886"/>
      <c r="I9" s="886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56.1" customHeight="1" x14ac:dyDescent="0.2">
      <c r="A10" s="387" t="s">
        <v>453</v>
      </c>
      <c r="B10" s="388" t="s">
        <v>454</v>
      </c>
      <c r="C10" s="389" t="s">
        <v>455</v>
      </c>
      <c r="D10" s="389" t="s">
        <v>456</v>
      </c>
      <c r="E10" s="389" t="s">
        <v>457</v>
      </c>
      <c r="F10" s="389" t="s">
        <v>458</v>
      </c>
      <c r="G10" s="389" t="s">
        <v>459</v>
      </c>
      <c r="H10" s="389" t="s">
        <v>460</v>
      </c>
      <c r="I10" s="390" t="s">
        <v>461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4.25" customHeight="1" x14ac:dyDescent="0.2">
      <c r="A11" s="887" t="s">
        <v>462</v>
      </c>
      <c r="B11" s="887"/>
      <c r="C11" s="887"/>
      <c r="D11" s="887"/>
      <c r="E11" s="887"/>
      <c r="F11" s="887"/>
      <c r="G11" s="887"/>
      <c r="H11" s="887"/>
      <c r="I11" s="88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75" customHeight="1" x14ac:dyDescent="0.2">
      <c r="A12" s="391" t="s">
        <v>463</v>
      </c>
      <c r="B12" s="392" t="s">
        <v>464</v>
      </c>
      <c r="C12" s="392" t="s">
        <v>465</v>
      </c>
      <c r="D12" s="392" t="s">
        <v>465</v>
      </c>
      <c r="E12" s="392" t="s">
        <v>465</v>
      </c>
      <c r="F12" s="392" t="s">
        <v>465</v>
      </c>
      <c r="G12" s="392" t="s">
        <v>465</v>
      </c>
      <c r="H12" s="392" t="s">
        <v>465</v>
      </c>
      <c r="I12" s="393" t="s">
        <v>465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5.75" customHeight="1" x14ac:dyDescent="0.2">
      <c r="A13" s="394" t="s">
        <v>466</v>
      </c>
      <c r="B13" s="395"/>
      <c r="C13" s="396">
        <f>C5</f>
        <v>1194.6272727272726</v>
      </c>
      <c r="D13" s="396">
        <f>C5</f>
        <v>1194.6272727272726</v>
      </c>
      <c r="E13" s="397">
        <f>E5</f>
        <v>895.97045454545446</v>
      </c>
      <c r="F13" s="397">
        <f>E5</f>
        <v>895.97045454545446</v>
      </c>
      <c r="G13" s="397">
        <f>G5</f>
        <v>597.31363636363631</v>
      </c>
      <c r="H13" s="397">
        <f>H5</f>
        <v>1669.75</v>
      </c>
      <c r="I13" s="398">
        <f>I5</f>
        <v>1673.9117345454545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394" t="s">
        <v>467</v>
      </c>
      <c r="B14" s="399" t="s">
        <v>468</v>
      </c>
      <c r="C14" s="396">
        <f>C13*0.4</f>
        <v>477.85090909090906</v>
      </c>
      <c r="D14" s="396">
        <f>D13*0.2</f>
        <v>238.92545454545453</v>
      </c>
      <c r="E14" s="396">
        <f>E13*0.4</f>
        <v>358.38818181818181</v>
      </c>
      <c r="F14" s="396">
        <f>F13*0.2</f>
        <v>179.1940909090909</v>
      </c>
      <c r="G14" s="396">
        <f>G13*0.2</f>
        <v>119.46272727272726</v>
      </c>
      <c r="H14" s="400" t="s">
        <v>469</v>
      </c>
      <c r="I14" s="401" t="s">
        <v>469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75" customHeight="1" x14ac:dyDescent="0.2">
      <c r="A15" s="394" t="s">
        <v>470</v>
      </c>
      <c r="B15" s="402"/>
      <c r="C15" s="400" t="s">
        <v>469</v>
      </c>
      <c r="D15" s="400" t="s">
        <v>469</v>
      </c>
      <c r="E15" s="403" t="s">
        <v>469</v>
      </c>
      <c r="F15" s="403" t="s">
        <v>469</v>
      </c>
      <c r="G15" s="403" t="s">
        <v>469</v>
      </c>
      <c r="H15" s="403" t="s">
        <v>469</v>
      </c>
      <c r="I15" s="401" t="s">
        <v>469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 x14ac:dyDescent="0.2">
      <c r="A16" s="394" t="s">
        <v>471</v>
      </c>
      <c r="B16" s="402"/>
      <c r="C16" s="400" t="s">
        <v>469</v>
      </c>
      <c r="D16" s="400" t="s">
        <v>469</v>
      </c>
      <c r="E16" s="403" t="s">
        <v>469</v>
      </c>
      <c r="F16" s="403" t="s">
        <v>469</v>
      </c>
      <c r="G16" s="403" t="s">
        <v>469</v>
      </c>
      <c r="H16" s="403" t="s">
        <v>469</v>
      </c>
      <c r="I16" s="401" t="s">
        <v>469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 x14ac:dyDescent="0.2">
      <c r="A17" s="394" t="s">
        <v>472</v>
      </c>
      <c r="B17" s="402"/>
      <c r="C17" s="400" t="s">
        <v>469</v>
      </c>
      <c r="D17" s="400" t="s">
        <v>469</v>
      </c>
      <c r="E17" s="403" t="s">
        <v>469</v>
      </c>
      <c r="F17" s="403" t="s">
        <v>469</v>
      </c>
      <c r="G17" s="403" t="s">
        <v>469</v>
      </c>
      <c r="H17" s="403" t="s">
        <v>469</v>
      </c>
      <c r="I17" s="401" t="s">
        <v>469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customHeight="1" x14ac:dyDescent="0.2">
      <c r="A18" s="394" t="s">
        <v>473</v>
      </c>
      <c r="B18" s="404"/>
      <c r="C18" s="400" t="s">
        <v>469</v>
      </c>
      <c r="D18" s="400" t="s">
        <v>469</v>
      </c>
      <c r="E18" s="400" t="s">
        <v>469</v>
      </c>
      <c r="F18" s="400" t="s">
        <v>469</v>
      </c>
      <c r="G18" s="400" t="s">
        <v>469</v>
      </c>
      <c r="H18" s="403" t="s">
        <v>469</v>
      </c>
      <c r="I18" s="401" t="s">
        <v>469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customHeight="1" x14ac:dyDescent="0.2">
      <c r="A19" s="405" t="s">
        <v>474</v>
      </c>
      <c r="B19" s="406"/>
      <c r="C19" s="407">
        <f t="shared" ref="C19:I19" si="0">SUM(C13:C18)</f>
        <v>1672.4781818181816</v>
      </c>
      <c r="D19" s="408">
        <f t="shared" si="0"/>
        <v>1433.5527272727272</v>
      </c>
      <c r="E19" s="408">
        <f t="shared" si="0"/>
        <v>1254.3586363636364</v>
      </c>
      <c r="F19" s="408">
        <f t="shared" si="0"/>
        <v>1075.1645454545453</v>
      </c>
      <c r="G19" s="408">
        <f t="shared" si="0"/>
        <v>716.77636363636361</v>
      </c>
      <c r="H19" s="408">
        <f t="shared" si="0"/>
        <v>1669.75</v>
      </c>
      <c r="I19" s="409">
        <f t="shared" si="0"/>
        <v>1673.9117345454545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2">
      <c r="A20" s="888"/>
      <c r="B20" s="888"/>
      <c r="C20" s="411"/>
      <c r="D20" s="411"/>
      <c r="E20" s="412"/>
      <c r="F20" s="412"/>
      <c r="G20" s="412"/>
      <c r="H20" s="412"/>
      <c r="I20" s="41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 x14ac:dyDescent="0.2">
      <c r="A21" s="887" t="s">
        <v>475</v>
      </c>
      <c r="B21" s="887"/>
      <c r="C21" s="887"/>
      <c r="D21" s="887"/>
      <c r="E21" s="887"/>
      <c r="F21" s="887"/>
      <c r="G21" s="887"/>
      <c r="H21" s="887"/>
      <c r="I21" s="88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8.35" customHeight="1" x14ac:dyDescent="0.2">
      <c r="A22" s="414" t="s">
        <v>476</v>
      </c>
      <c r="B22" s="415" t="s">
        <v>464</v>
      </c>
      <c r="C22" s="415" t="s">
        <v>465</v>
      </c>
      <c r="D22" s="415" t="s">
        <v>465</v>
      </c>
      <c r="E22" s="415" t="s">
        <v>465</v>
      </c>
      <c r="F22" s="415" t="s">
        <v>465</v>
      </c>
      <c r="G22" s="415" t="s">
        <v>465</v>
      </c>
      <c r="H22" s="415" t="s">
        <v>465</v>
      </c>
      <c r="I22" s="416" t="s">
        <v>465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75" customHeight="1" x14ac:dyDescent="0.2">
      <c r="A23" s="417" t="s">
        <v>477</v>
      </c>
      <c r="B23" s="418">
        <f>1/12</f>
        <v>8.3333333333333329E-2</v>
      </c>
      <c r="C23" s="396">
        <f t="shared" ref="C23:I23" si="1">ROUND($B23*C$19,2)</f>
        <v>139.37</v>
      </c>
      <c r="D23" s="396">
        <f t="shared" si="1"/>
        <v>119.46</v>
      </c>
      <c r="E23" s="396">
        <f t="shared" si="1"/>
        <v>104.53</v>
      </c>
      <c r="F23" s="396">
        <f t="shared" si="1"/>
        <v>89.6</v>
      </c>
      <c r="G23" s="396">
        <f t="shared" si="1"/>
        <v>59.73</v>
      </c>
      <c r="H23" s="396">
        <f t="shared" si="1"/>
        <v>139.15</v>
      </c>
      <c r="I23" s="398">
        <f t="shared" si="1"/>
        <v>139.49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417" t="s">
        <v>478</v>
      </c>
      <c r="B24" s="418">
        <f>1/3*1/12</f>
        <v>2.7777777777777776E-2</v>
      </c>
      <c r="C24" s="396">
        <f t="shared" ref="C24:I24" si="2">C$19*$B$24</f>
        <v>46.457727272727261</v>
      </c>
      <c r="D24" s="396">
        <f t="shared" si="2"/>
        <v>39.82090909090909</v>
      </c>
      <c r="E24" s="396">
        <f t="shared" si="2"/>
        <v>34.843295454545455</v>
      </c>
      <c r="F24" s="396">
        <f t="shared" si="2"/>
        <v>29.865681818181812</v>
      </c>
      <c r="G24" s="396">
        <f t="shared" si="2"/>
        <v>19.910454545454545</v>
      </c>
      <c r="H24" s="396">
        <f t="shared" si="2"/>
        <v>46.381944444444443</v>
      </c>
      <c r="I24" s="398">
        <f t="shared" si="2"/>
        <v>46.497548181818175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4.25" customHeight="1" x14ac:dyDescent="0.2">
      <c r="A25" s="405" t="s">
        <v>474</v>
      </c>
      <c r="B25" s="419">
        <f t="shared" ref="B25:I25" si="3">SUM(B23:B24)</f>
        <v>0.1111111111111111</v>
      </c>
      <c r="C25" s="420">
        <f t="shared" si="3"/>
        <v>185.82772727272726</v>
      </c>
      <c r="D25" s="420">
        <f t="shared" si="3"/>
        <v>159.28090909090909</v>
      </c>
      <c r="E25" s="420">
        <f t="shared" si="3"/>
        <v>139.37329545454546</v>
      </c>
      <c r="F25" s="420">
        <f t="shared" si="3"/>
        <v>119.46568181818181</v>
      </c>
      <c r="G25" s="420">
        <f t="shared" si="3"/>
        <v>79.640454545454546</v>
      </c>
      <c r="H25" s="420">
        <f t="shared" si="3"/>
        <v>185.53194444444443</v>
      </c>
      <c r="I25" s="421">
        <f t="shared" si="3"/>
        <v>185.98754818181817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4" t="s">
        <v>479</v>
      </c>
      <c r="B26" s="415" t="s">
        <v>464</v>
      </c>
      <c r="C26" s="415" t="s">
        <v>465</v>
      </c>
      <c r="D26" s="415" t="s">
        <v>465</v>
      </c>
      <c r="E26" s="415" t="s">
        <v>465</v>
      </c>
      <c r="F26" s="415" t="s">
        <v>465</v>
      </c>
      <c r="G26" s="415" t="s">
        <v>465</v>
      </c>
      <c r="H26" s="415" t="s">
        <v>465</v>
      </c>
      <c r="I26" s="416" t="s">
        <v>465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75" customHeight="1" x14ac:dyDescent="0.2">
      <c r="A27" s="414" t="s">
        <v>480</v>
      </c>
      <c r="B27" s="422"/>
      <c r="C27" s="422"/>
      <c r="D27" s="422"/>
      <c r="E27" s="422"/>
      <c r="F27" s="422"/>
      <c r="G27" s="422"/>
      <c r="H27" s="423"/>
      <c r="I27" s="424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4.25" customHeight="1" x14ac:dyDescent="0.2">
      <c r="A28" s="417" t="s">
        <v>481</v>
      </c>
      <c r="B28" s="418">
        <v>0.2</v>
      </c>
      <c r="C28" s="425">
        <f>ROUND(($C$19+$C$25)*B28,2)</f>
        <v>371.66</v>
      </c>
      <c r="D28" s="425">
        <f t="shared" ref="D28:I35" si="4">ROUND((D$19+D$25)*$B28,2)</f>
        <v>318.57</v>
      </c>
      <c r="E28" s="425">
        <f t="shared" si="4"/>
        <v>278.75</v>
      </c>
      <c r="F28" s="425">
        <f t="shared" si="4"/>
        <v>238.93</v>
      </c>
      <c r="G28" s="425">
        <f t="shared" si="4"/>
        <v>159.28</v>
      </c>
      <c r="H28" s="425">
        <f t="shared" si="4"/>
        <v>371.06</v>
      </c>
      <c r="I28" s="426">
        <f t="shared" si="4"/>
        <v>371.98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.75" customHeight="1" x14ac:dyDescent="0.2">
      <c r="A29" s="417" t="s">
        <v>482</v>
      </c>
      <c r="B29" s="418">
        <v>2.5000000000000001E-2</v>
      </c>
      <c r="C29" s="425">
        <f t="shared" ref="C29:C35" si="5">ROUND((C$19+C$25)*$B29,2)</f>
        <v>46.46</v>
      </c>
      <c r="D29" s="425">
        <f t="shared" si="4"/>
        <v>39.82</v>
      </c>
      <c r="E29" s="425">
        <f t="shared" si="4"/>
        <v>34.840000000000003</v>
      </c>
      <c r="F29" s="425">
        <f t="shared" si="4"/>
        <v>29.87</v>
      </c>
      <c r="G29" s="425">
        <f t="shared" si="4"/>
        <v>19.91</v>
      </c>
      <c r="H29" s="425">
        <f t="shared" si="4"/>
        <v>46.38</v>
      </c>
      <c r="I29" s="426">
        <f t="shared" si="4"/>
        <v>46.5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.75" customHeight="1" x14ac:dyDescent="0.2">
      <c r="A30" s="417" t="s">
        <v>483</v>
      </c>
      <c r="B30" s="418">
        <v>0.03</v>
      </c>
      <c r="C30" s="425">
        <f t="shared" si="5"/>
        <v>55.75</v>
      </c>
      <c r="D30" s="425">
        <f t="shared" si="4"/>
        <v>47.79</v>
      </c>
      <c r="E30" s="425">
        <f t="shared" si="4"/>
        <v>41.81</v>
      </c>
      <c r="F30" s="425">
        <f t="shared" si="4"/>
        <v>35.840000000000003</v>
      </c>
      <c r="G30" s="425">
        <f t="shared" si="4"/>
        <v>23.89</v>
      </c>
      <c r="H30" s="425">
        <f t="shared" si="4"/>
        <v>55.66</v>
      </c>
      <c r="I30" s="426">
        <f t="shared" si="4"/>
        <v>55.8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5.75" customHeight="1" x14ac:dyDescent="0.2">
      <c r="A31" s="417" t="s">
        <v>484</v>
      </c>
      <c r="B31" s="418">
        <v>1.4999999999999999E-2</v>
      </c>
      <c r="C31" s="425">
        <f t="shared" si="5"/>
        <v>27.87</v>
      </c>
      <c r="D31" s="425">
        <f t="shared" si="4"/>
        <v>23.89</v>
      </c>
      <c r="E31" s="425">
        <f t="shared" si="4"/>
        <v>20.91</v>
      </c>
      <c r="F31" s="425">
        <f t="shared" si="4"/>
        <v>17.920000000000002</v>
      </c>
      <c r="G31" s="425">
        <f t="shared" si="4"/>
        <v>11.95</v>
      </c>
      <c r="H31" s="425">
        <f t="shared" si="4"/>
        <v>27.83</v>
      </c>
      <c r="I31" s="426">
        <f t="shared" si="4"/>
        <v>27.9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5.75" customHeight="1" x14ac:dyDescent="0.2">
      <c r="A32" s="417" t="s">
        <v>485</v>
      </c>
      <c r="B32" s="418">
        <v>0.01</v>
      </c>
      <c r="C32" s="425">
        <f t="shared" si="5"/>
        <v>18.579999999999998</v>
      </c>
      <c r="D32" s="425">
        <f t="shared" si="4"/>
        <v>15.93</v>
      </c>
      <c r="E32" s="425">
        <f t="shared" si="4"/>
        <v>13.94</v>
      </c>
      <c r="F32" s="425">
        <f t="shared" si="4"/>
        <v>11.95</v>
      </c>
      <c r="G32" s="425">
        <f t="shared" si="4"/>
        <v>7.96</v>
      </c>
      <c r="H32" s="425">
        <f t="shared" si="4"/>
        <v>18.55</v>
      </c>
      <c r="I32" s="426">
        <f t="shared" si="4"/>
        <v>18.600000000000001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5.75" customHeight="1" x14ac:dyDescent="0.2">
      <c r="A33" s="417" t="s">
        <v>486</v>
      </c>
      <c r="B33" s="418">
        <v>6.0000000000000001E-3</v>
      </c>
      <c r="C33" s="425">
        <f t="shared" si="5"/>
        <v>11.15</v>
      </c>
      <c r="D33" s="425">
        <f t="shared" si="4"/>
        <v>9.56</v>
      </c>
      <c r="E33" s="425">
        <f t="shared" si="4"/>
        <v>8.36</v>
      </c>
      <c r="F33" s="425">
        <f t="shared" si="4"/>
        <v>7.17</v>
      </c>
      <c r="G33" s="425">
        <f t="shared" si="4"/>
        <v>4.78</v>
      </c>
      <c r="H33" s="425">
        <f t="shared" si="4"/>
        <v>11.13</v>
      </c>
      <c r="I33" s="426">
        <f t="shared" si="4"/>
        <v>11.16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5.75" customHeight="1" x14ac:dyDescent="0.2">
      <c r="A34" s="417" t="s">
        <v>487</v>
      </c>
      <c r="B34" s="418">
        <v>2E-3</v>
      </c>
      <c r="C34" s="425">
        <f t="shared" si="5"/>
        <v>3.72</v>
      </c>
      <c r="D34" s="425">
        <f t="shared" si="4"/>
        <v>3.19</v>
      </c>
      <c r="E34" s="425">
        <f t="shared" si="4"/>
        <v>2.79</v>
      </c>
      <c r="F34" s="425">
        <f t="shared" si="4"/>
        <v>2.39</v>
      </c>
      <c r="G34" s="425">
        <f t="shared" si="4"/>
        <v>1.59</v>
      </c>
      <c r="H34" s="425">
        <f t="shared" si="4"/>
        <v>3.71</v>
      </c>
      <c r="I34" s="426">
        <f t="shared" si="4"/>
        <v>3.72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5.75" customHeight="1" x14ac:dyDescent="0.2">
      <c r="A35" s="417" t="s">
        <v>488</v>
      </c>
      <c r="B35" s="418">
        <v>0.08</v>
      </c>
      <c r="C35" s="425">
        <f t="shared" si="5"/>
        <v>148.66</v>
      </c>
      <c r="D35" s="425">
        <f t="shared" si="4"/>
        <v>127.43</v>
      </c>
      <c r="E35" s="425">
        <f t="shared" si="4"/>
        <v>111.5</v>
      </c>
      <c r="F35" s="425">
        <f t="shared" si="4"/>
        <v>95.57</v>
      </c>
      <c r="G35" s="425">
        <f t="shared" si="4"/>
        <v>63.71</v>
      </c>
      <c r="H35" s="425">
        <f t="shared" si="4"/>
        <v>148.41999999999999</v>
      </c>
      <c r="I35" s="426">
        <f t="shared" si="4"/>
        <v>148.79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.75" customHeight="1" x14ac:dyDescent="0.2">
      <c r="A36" s="405" t="s">
        <v>474</v>
      </c>
      <c r="B36" s="419">
        <f t="shared" ref="B36:I36" si="6">SUM(B28:B35)</f>
        <v>0.36800000000000005</v>
      </c>
      <c r="C36" s="420">
        <f t="shared" si="6"/>
        <v>683.85</v>
      </c>
      <c r="D36" s="420">
        <f t="shared" si="6"/>
        <v>586.18000000000006</v>
      </c>
      <c r="E36" s="420">
        <f t="shared" si="6"/>
        <v>512.90000000000009</v>
      </c>
      <c r="F36" s="420">
        <f t="shared" si="6"/>
        <v>439.64</v>
      </c>
      <c r="G36" s="420">
        <f t="shared" si="6"/>
        <v>293.07</v>
      </c>
      <c r="H36" s="420">
        <f t="shared" si="6"/>
        <v>682.74</v>
      </c>
      <c r="I36" s="421">
        <f t="shared" si="6"/>
        <v>684.44999999999993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.75" customHeight="1" x14ac:dyDescent="0.2">
      <c r="A37" s="414" t="s">
        <v>489</v>
      </c>
      <c r="B37" s="415" t="s">
        <v>490</v>
      </c>
      <c r="C37" s="415" t="s">
        <v>465</v>
      </c>
      <c r="D37" s="415" t="s">
        <v>465</v>
      </c>
      <c r="E37" s="415" t="s">
        <v>465</v>
      </c>
      <c r="F37" s="415" t="s">
        <v>465</v>
      </c>
      <c r="G37" s="415" t="s">
        <v>465</v>
      </c>
      <c r="H37" s="415" t="s">
        <v>465</v>
      </c>
      <c r="I37" s="416" t="s">
        <v>465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.75" customHeight="1" x14ac:dyDescent="0.2">
      <c r="A38" s="417" t="s">
        <v>491</v>
      </c>
      <c r="B38" s="427">
        <f>MC!D85</f>
        <v>3.584848484848485</v>
      </c>
      <c r="C38" s="396">
        <f t="shared" ref="C38:I38" si="7">ROUND(((2*22*$B$38)-0.06*C$13),2)</f>
        <v>86.06</v>
      </c>
      <c r="D38" s="396">
        <f t="shared" si="7"/>
        <v>86.06</v>
      </c>
      <c r="E38" s="396">
        <f t="shared" si="7"/>
        <v>103.98</v>
      </c>
      <c r="F38" s="396">
        <f t="shared" si="7"/>
        <v>103.98</v>
      </c>
      <c r="G38" s="396">
        <f t="shared" si="7"/>
        <v>121.89</v>
      </c>
      <c r="H38" s="396">
        <f t="shared" si="7"/>
        <v>57.55</v>
      </c>
      <c r="I38" s="398">
        <f t="shared" si="7"/>
        <v>57.3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customHeight="1" x14ac:dyDescent="0.2">
      <c r="A39" s="417" t="s">
        <v>492</v>
      </c>
      <c r="B39" s="428"/>
      <c r="C39" s="425">
        <f>MC!$E$19</f>
        <v>359.61</v>
      </c>
      <c r="D39" s="425">
        <f>MC!$E$19</f>
        <v>359.61</v>
      </c>
      <c r="E39" s="425">
        <f>MC!$E$20</f>
        <v>179.8</v>
      </c>
      <c r="F39" s="425">
        <f>MC!$E$20</f>
        <v>179.8</v>
      </c>
      <c r="G39" s="425">
        <f>MC!$E$20</f>
        <v>179.8</v>
      </c>
      <c r="H39" s="425">
        <f>MC!$E$19</f>
        <v>359.61</v>
      </c>
      <c r="I39" s="426">
        <f>MC!$E$19</f>
        <v>359.61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customHeight="1" x14ac:dyDescent="0.2">
      <c r="A40" s="417" t="s">
        <v>493</v>
      </c>
      <c r="B40" s="418"/>
      <c r="C40" s="429" t="s">
        <v>469</v>
      </c>
      <c r="D40" s="429" t="s">
        <v>469</v>
      </c>
      <c r="E40" s="429" t="s">
        <v>469</v>
      </c>
      <c r="F40" s="429" t="s">
        <v>469</v>
      </c>
      <c r="G40" s="429" t="s">
        <v>469</v>
      </c>
      <c r="H40" s="429" t="s">
        <v>469</v>
      </c>
      <c r="I40" s="430" t="s">
        <v>469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customHeight="1" x14ac:dyDescent="0.2">
      <c r="A41" s="417" t="s">
        <v>494</v>
      </c>
      <c r="B41" s="431"/>
      <c r="C41" s="429" t="s">
        <v>469</v>
      </c>
      <c r="D41" s="429" t="s">
        <v>469</v>
      </c>
      <c r="E41" s="429" t="s">
        <v>469</v>
      </c>
      <c r="F41" s="429" t="s">
        <v>469</v>
      </c>
      <c r="G41" s="429" t="s">
        <v>469</v>
      </c>
      <c r="H41" s="432" t="s">
        <v>469</v>
      </c>
      <c r="I41" s="430" t="s">
        <v>469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customHeight="1" x14ac:dyDescent="0.2">
      <c r="A42" s="417" t="s">
        <v>495</v>
      </c>
      <c r="B42" s="433">
        <f>MC!E27</f>
        <v>17.32</v>
      </c>
      <c r="C42" s="425">
        <f t="shared" ref="C42:I42" si="8">$B42</f>
        <v>17.32</v>
      </c>
      <c r="D42" s="425">
        <f t="shared" si="8"/>
        <v>17.32</v>
      </c>
      <c r="E42" s="425">
        <f t="shared" si="8"/>
        <v>17.32</v>
      </c>
      <c r="F42" s="425">
        <f t="shared" si="8"/>
        <v>17.32</v>
      </c>
      <c r="G42" s="425">
        <f t="shared" si="8"/>
        <v>17.32</v>
      </c>
      <c r="H42" s="425">
        <f t="shared" si="8"/>
        <v>17.32</v>
      </c>
      <c r="I42" s="426">
        <f t="shared" si="8"/>
        <v>17.32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.75" customHeight="1" x14ac:dyDescent="0.2">
      <c r="A43" s="417" t="s">
        <v>496</v>
      </c>
      <c r="B43" s="418"/>
      <c r="C43" s="429" t="s">
        <v>469</v>
      </c>
      <c r="D43" s="429" t="s">
        <v>469</v>
      </c>
      <c r="E43" s="429" t="s">
        <v>469</v>
      </c>
      <c r="F43" s="429" t="s">
        <v>469</v>
      </c>
      <c r="G43" s="429" t="s">
        <v>469</v>
      </c>
      <c r="H43" s="432" t="s">
        <v>469</v>
      </c>
      <c r="I43" s="430" t="s">
        <v>469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customHeight="1" x14ac:dyDescent="0.2">
      <c r="A44" s="405" t="s">
        <v>474</v>
      </c>
      <c r="B44" s="406"/>
      <c r="C44" s="420">
        <f t="shared" ref="C44:I44" si="9">SUM(C38:C43)</f>
        <v>462.99</v>
      </c>
      <c r="D44" s="420">
        <f t="shared" si="9"/>
        <v>462.99</v>
      </c>
      <c r="E44" s="420">
        <f t="shared" si="9"/>
        <v>301.10000000000002</v>
      </c>
      <c r="F44" s="420">
        <f t="shared" si="9"/>
        <v>301.10000000000002</v>
      </c>
      <c r="G44" s="420">
        <f t="shared" si="9"/>
        <v>319.01</v>
      </c>
      <c r="H44" s="420">
        <f t="shared" si="9"/>
        <v>434.48</v>
      </c>
      <c r="I44" s="421">
        <f t="shared" si="9"/>
        <v>434.23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391" t="s">
        <v>497</v>
      </c>
      <c r="B45" s="392" t="s">
        <v>464</v>
      </c>
      <c r="C45" s="392" t="s">
        <v>465</v>
      </c>
      <c r="D45" s="392" t="s">
        <v>465</v>
      </c>
      <c r="E45" s="392" t="s">
        <v>465</v>
      </c>
      <c r="F45" s="392" t="s">
        <v>465</v>
      </c>
      <c r="G45" s="392" t="s">
        <v>465</v>
      </c>
      <c r="H45" s="392" t="s">
        <v>465</v>
      </c>
      <c r="I45" s="393" t="s">
        <v>465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.75" customHeight="1" x14ac:dyDescent="0.2">
      <c r="A46" s="417" t="s">
        <v>476</v>
      </c>
      <c r="B46" s="434">
        <f t="shared" ref="B46:I46" si="10">B25</f>
        <v>0.1111111111111111</v>
      </c>
      <c r="C46" s="435">
        <f t="shared" si="10"/>
        <v>185.82772727272726</v>
      </c>
      <c r="D46" s="435">
        <f t="shared" si="10"/>
        <v>159.28090909090909</v>
      </c>
      <c r="E46" s="435">
        <f t="shared" si="10"/>
        <v>139.37329545454546</v>
      </c>
      <c r="F46" s="435">
        <f t="shared" si="10"/>
        <v>119.46568181818181</v>
      </c>
      <c r="G46" s="435">
        <f t="shared" si="10"/>
        <v>79.640454545454546</v>
      </c>
      <c r="H46" s="435">
        <f t="shared" si="10"/>
        <v>185.53194444444443</v>
      </c>
      <c r="I46" s="436">
        <f t="shared" si="10"/>
        <v>185.98754818181817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.75" customHeight="1" x14ac:dyDescent="0.2">
      <c r="A47" s="417" t="s">
        <v>498</v>
      </c>
      <c r="B47" s="434">
        <f t="shared" ref="B47:I47" si="11">B36</f>
        <v>0.36800000000000005</v>
      </c>
      <c r="C47" s="435">
        <f t="shared" si="11"/>
        <v>683.85</v>
      </c>
      <c r="D47" s="435">
        <f t="shared" si="11"/>
        <v>586.18000000000006</v>
      </c>
      <c r="E47" s="435">
        <f t="shared" si="11"/>
        <v>512.90000000000009</v>
      </c>
      <c r="F47" s="435">
        <f t="shared" si="11"/>
        <v>439.64</v>
      </c>
      <c r="G47" s="435">
        <f t="shared" si="11"/>
        <v>293.07</v>
      </c>
      <c r="H47" s="435">
        <f t="shared" si="11"/>
        <v>682.74</v>
      </c>
      <c r="I47" s="436">
        <f t="shared" si="11"/>
        <v>684.44999999999993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.75" customHeight="1" x14ac:dyDescent="0.2">
      <c r="A48" s="417" t="s">
        <v>489</v>
      </c>
      <c r="B48" s="434"/>
      <c r="C48" s="435">
        <f t="shared" ref="C48:I48" si="12">C44</f>
        <v>462.99</v>
      </c>
      <c r="D48" s="435">
        <f t="shared" si="12"/>
        <v>462.99</v>
      </c>
      <c r="E48" s="435">
        <f t="shared" si="12"/>
        <v>301.10000000000002</v>
      </c>
      <c r="F48" s="435">
        <f t="shared" si="12"/>
        <v>301.10000000000002</v>
      </c>
      <c r="G48" s="435">
        <f t="shared" si="12"/>
        <v>319.01</v>
      </c>
      <c r="H48" s="435">
        <f t="shared" si="12"/>
        <v>434.48</v>
      </c>
      <c r="I48" s="436">
        <f t="shared" si="12"/>
        <v>434.23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.75" customHeight="1" x14ac:dyDescent="0.2">
      <c r="A49" s="405" t="s">
        <v>474</v>
      </c>
      <c r="B49" s="406"/>
      <c r="C49" s="420">
        <f t="shared" ref="C49:I49" si="13">SUM(C46:C48)</f>
        <v>1332.6677272727272</v>
      </c>
      <c r="D49" s="407">
        <f t="shared" si="13"/>
        <v>1208.4509090909091</v>
      </c>
      <c r="E49" s="420">
        <f t="shared" si="13"/>
        <v>953.37329545454554</v>
      </c>
      <c r="F49" s="420">
        <f t="shared" si="13"/>
        <v>860.2056818181818</v>
      </c>
      <c r="G49" s="420">
        <f t="shared" si="13"/>
        <v>691.72045454545446</v>
      </c>
      <c r="H49" s="420">
        <f t="shared" si="13"/>
        <v>1302.7519444444445</v>
      </c>
      <c r="I49" s="421">
        <f t="shared" si="13"/>
        <v>1304.6675481818181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4.25" customHeight="1" x14ac:dyDescent="0.2">
      <c r="A50" s="888"/>
      <c r="B50" s="888"/>
      <c r="C50" s="888"/>
      <c r="D50" s="888"/>
      <c r="E50" s="888"/>
      <c r="F50" s="888"/>
      <c r="G50" s="888"/>
      <c r="H50" s="888"/>
      <c r="I50" s="888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437" customFormat="1" ht="12.75" customHeight="1" x14ac:dyDescent="0.2">
      <c r="A51" s="887" t="s">
        <v>499</v>
      </c>
      <c r="B51" s="887"/>
      <c r="C51" s="887"/>
      <c r="D51" s="887"/>
      <c r="E51" s="887"/>
      <c r="F51" s="887"/>
      <c r="G51" s="887"/>
      <c r="H51" s="887"/>
      <c r="I51" s="887"/>
    </row>
    <row r="52" spans="1:1024" ht="15.75" customHeight="1" x14ac:dyDescent="0.2">
      <c r="A52" s="391" t="s">
        <v>500</v>
      </c>
      <c r="B52" s="392" t="s">
        <v>464</v>
      </c>
      <c r="C52" s="392" t="s">
        <v>465</v>
      </c>
      <c r="D52" s="392" t="s">
        <v>465</v>
      </c>
      <c r="E52" s="392" t="s">
        <v>465</v>
      </c>
      <c r="F52" s="392" t="s">
        <v>465</v>
      </c>
      <c r="G52" s="392" t="s">
        <v>465</v>
      </c>
      <c r="H52" s="392" t="s">
        <v>465</v>
      </c>
      <c r="I52" s="393" t="s">
        <v>465</v>
      </c>
      <c r="J52"/>
      <c r="K52"/>
      <c r="L52"/>
      <c r="M52"/>
      <c r="N52"/>
      <c r="O52"/>
    </row>
    <row r="53" spans="1:1024" ht="15.75" customHeight="1" x14ac:dyDescent="0.2">
      <c r="A53" s="414" t="s">
        <v>501</v>
      </c>
      <c r="B53" s="438"/>
      <c r="C53" s="438"/>
      <c r="D53" s="438"/>
      <c r="E53" s="438"/>
      <c r="F53" s="438"/>
      <c r="G53" s="438"/>
      <c r="H53" s="439"/>
      <c r="I53" s="440"/>
      <c r="J53"/>
      <c r="K53"/>
      <c r="L53"/>
      <c r="M53"/>
      <c r="N53"/>
      <c r="O53"/>
    </row>
    <row r="54" spans="1:1024" ht="15.75" customHeight="1" x14ac:dyDescent="0.2">
      <c r="A54" s="417" t="s">
        <v>502</v>
      </c>
      <c r="B54" s="434">
        <f>1/12*0.05</f>
        <v>4.1666666666666666E-3</v>
      </c>
      <c r="C54" s="441">
        <f t="shared" ref="C54:I54" si="14">C19*$B54</f>
        <v>6.9686590909090897</v>
      </c>
      <c r="D54" s="441">
        <f t="shared" si="14"/>
        <v>5.973136363636363</v>
      </c>
      <c r="E54" s="441">
        <f t="shared" si="14"/>
        <v>5.2264943181818184</v>
      </c>
      <c r="F54" s="441">
        <f t="shared" si="14"/>
        <v>4.479852272727272</v>
      </c>
      <c r="G54" s="441">
        <f t="shared" si="14"/>
        <v>2.9865681818181815</v>
      </c>
      <c r="H54" s="441">
        <f t="shared" si="14"/>
        <v>6.9572916666666664</v>
      </c>
      <c r="I54" s="442">
        <f t="shared" si="14"/>
        <v>6.9746322272727266</v>
      </c>
      <c r="J54"/>
      <c r="K54"/>
      <c r="L54"/>
      <c r="M54"/>
      <c r="N54"/>
      <c r="O54"/>
    </row>
    <row r="55" spans="1:1024" x14ac:dyDescent="0.2">
      <c r="A55" s="417" t="s">
        <v>503</v>
      </c>
      <c r="B55" s="434">
        <f>B35*B54</f>
        <v>3.3333333333333332E-4</v>
      </c>
      <c r="C55" s="441">
        <f t="shared" ref="C55:I55" si="15">$B$55*C19</f>
        <v>0.55749272727272714</v>
      </c>
      <c r="D55" s="441">
        <f t="shared" si="15"/>
        <v>0.47785090909090905</v>
      </c>
      <c r="E55" s="441">
        <f t="shared" si="15"/>
        <v>0.41811954545454544</v>
      </c>
      <c r="F55" s="441">
        <f t="shared" si="15"/>
        <v>0.35838818181818177</v>
      </c>
      <c r="G55" s="441">
        <f t="shared" si="15"/>
        <v>0.23892545454545452</v>
      </c>
      <c r="H55" s="441">
        <f t="shared" si="15"/>
        <v>0.55658333333333332</v>
      </c>
      <c r="I55" s="442">
        <f t="shared" si="15"/>
        <v>0.55797057818181817</v>
      </c>
      <c r="J55"/>
      <c r="K55"/>
      <c r="L55"/>
      <c r="M55"/>
      <c r="N55"/>
      <c r="O55"/>
    </row>
    <row r="56" spans="1:1024" x14ac:dyDescent="0.2">
      <c r="A56" s="417" t="s">
        <v>504</v>
      </c>
      <c r="B56" s="434">
        <v>0</v>
      </c>
      <c r="C56" s="441">
        <f t="shared" ref="C56:I56" si="16">C35*$B56</f>
        <v>0</v>
      </c>
      <c r="D56" s="441">
        <f t="shared" si="16"/>
        <v>0</v>
      </c>
      <c r="E56" s="441">
        <f t="shared" si="16"/>
        <v>0</v>
      </c>
      <c r="F56" s="441">
        <f t="shared" si="16"/>
        <v>0</v>
      </c>
      <c r="G56" s="441">
        <f t="shared" si="16"/>
        <v>0</v>
      </c>
      <c r="H56" s="441">
        <f t="shared" si="16"/>
        <v>0</v>
      </c>
      <c r="I56" s="442">
        <f t="shared" si="16"/>
        <v>0</v>
      </c>
      <c r="J56"/>
      <c r="K56"/>
      <c r="L56"/>
      <c r="M56"/>
      <c r="N56"/>
      <c r="O56"/>
    </row>
    <row r="57" spans="1:1024" x14ac:dyDescent="0.2">
      <c r="A57" s="417" t="s">
        <v>505</v>
      </c>
      <c r="B57" s="434">
        <f>1/12*1/30*7</f>
        <v>1.9444444444444441E-2</v>
      </c>
      <c r="C57" s="435">
        <f t="shared" ref="C57:I57" si="17">C19*$B57</f>
        <v>32.520409090909084</v>
      </c>
      <c r="D57" s="435">
        <f t="shared" si="17"/>
        <v>27.874636363636359</v>
      </c>
      <c r="E57" s="435">
        <f t="shared" si="17"/>
        <v>24.390306818181813</v>
      </c>
      <c r="F57" s="435">
        <f t="shared" si="17"/>
        <v>20.905977272727267</v>
      </c>
      <c r="G57" s="435">
        <f t="shared" si="17"/>
        <v>13.937318181818179</v>
      </c>
      <c r="H57" s="435">
        <f t="shared" si="17"/>
        <v>32.467361111111103</v>
      </c>
      <c r="I57" s="436">
        <f t="shared" si="17"/>
        <v>32.548283727272718</v>
      </c>
      <c r="J57"/>
      <c r="K57"/>
      <c r="L57"/>
      <c r="M57"/>
      <c r="N57"/>
      <c r="O57"/>
    </row>
    <row r="58" spans="1:1024" x14ac:dyDescent="0.2">
      <c r="A58" s="417" t="s">
        <v>506</v>
      </c>
      <c r="B58" s="434">
        <f>B36*B57</f>
        <v>7.1555555555555556E-3</v>
      </c>
      <c r="C58" s="435">
        <f t="shared" ref="C58:I58" si="18">$B58*C19</f>
        <v>11.967510545454545</v>
      </c>
      <c r="D58" s="435">
        <f t="shared" si="18"/>
        <v>10.257866181818182</v>
      </c>
      <c r="E58" s="435">
        <f t="shared" si="18"/>
        <v>8.9756329090909102</v>
      </c>
      <c r="F58" s="435">
        <f t="shared" si="18"/>
        <v>7.693399636363635</v>
      </c>
      <c r="G58" s="435">
        <f t="shared" si="18"/>
        <v>5.1289330909090909</v>
      </c>
      <c r="H58" s="435">
        <f t="shared" si="18"/>
        <v>11.947988888888888</v>
      </c>
      <c r="I58" s="436">
        <f t="shared" si="18"/>
        <v>11.977768411636363</v>
      </c>
      <c r="J58"/>
      <c r="K58"/>
      <c r="L58"/>
      <c r="M58"/>
      <c r="N58"/>
      <c r="O58"/>
    </row>
    <row r="59" spans="1:1024" x14ac:dyDescent="0.2">
      <c r="A59" s="417" t="s">
        <v>507</v>
      </c>
      <c r="B59" s="434">
        <f>B35*40/100*90/100*(1+1/12+1/12+1/3*1/12)</f>
        <v>3.4399999999999993E-2</v>
      </c>
      <c r="C59" s="435">
        <f t="shared" ref="C59:I59" si="19">C19*$B59</f>
        <v>57.533249454545434</v>
      </c>
      <c r="D59" s="435">
        <f t="shared" si="19"/>
        <v>49.314213818181805</v>
      </c>
      <c r="E59" s="435">
        <f t="shared" si="19"/>
        <v>43.149937090909084</v>
      </c>
      <c r="F59" s="435">
        <f t="shared" si="19"/>
        <v>36.985660363636349</v>
      </c>
      <c r="G59" s="435">
        <f t="shared" si="19"/>
        <v>24.657106909090903</v>
      </c>
      <c r="H59" s="435">
        <f t="shared" si="19"/>
        <v>57.439399999999985</v>
      </c>
      <c r="I59" s="436">
        <f t="shared" si="19"/>
        <v>57.582563668363619</v>
      </c>
      <c r="J59"/>
      <c r="K59"/>
      <c r="L59"/>
      <c r="M59"/>
      <c r="N59"/>
      <c r="O59"/>
    </row>
    <row r="60" spans="1:1024" ht="14.25" customHeight="1" x14ac:dyDescent="0.2">
      <c r="A60" s="405" t="s">
        <v>474</v>
      </c>
      <c r="B60" s="419">
        <f t="shared" ref="B60:I60" si="20">SUM(B54:B59)</f>
        <v>6.5499999999999989E-2</v>
      </c>
      <c r="C60" s="407">
        <f t="shared" si="20"/>
        <v>109.54732090909087</v>
      </c>
      <c r="D60" s="407">
        <f t="shared" si="20"/>
        <v>93.897703636363616</v>
      </c>
      <c r="E60" s="407">
        <f t="shared" si="20"/>
        <v>82.160490681818175</v>
      </c>
      <c r="F60" s="407">
        <f t="shared" si="20"/>
        <v>70.423277727272705</v>
      </c>
      <c r="G60" s="407">
        <f t="shared" si="20"/>
        <v>46.948851818181808</v>
      </c>
      <c r="H60" s="408">
        <f t="shared" si="20"/>
        <v>109.36862499999998</v>
      </c>
      <c r="I60" s="409">
        <f t="shared" si="20"/>
        <v>109.64121861272724</v>
      </c>
      <c r="J60"/>
      <c r="K60"/>
      <c r="L60"/>
      <c r="M60"/>
      <c r="N60"/>
      <c r="O60"/>
    </row>
    <row r="61" spans="1:1024" ht="14.25" customHeight="1" x14ac:dyDescent="0.2">
      <c r="A61" s="889"/>
      <c r="B61" s="889"/>
      <c r="C61" s="889"/>
      <c r="D61" s="889"/>
      <c r="E61" s="889"/>
      <c r="F61" s="889"/>
      <c r="G61" s="889"/>
      <c r="H61" s="889"/>
      <c r="I61" s="889"/>
      <c r="J61"/>
      <c r="K61"/>
      <c r="L61"/>
      <c r="M61"/>
      <c r="N61"/>
      <c r="O61"/>
    </row>
    <row r="62" spans="1:1024" ht="15.75" customHeight="1" x14ac:dyDescent="0.2">
      <c r="A62" s="887" t="s">
        <v>508</v>
      </c>
      <c r="B62" s="887"/>
      <c r="C62" s="887"/>
      <c r="D62" s="887"/>
      <c r="E62" s="887"/>
      <c r="F62" s="887"/>
      <c r="G62" s="887"/>
      <c r="H62" s="887"/>
      <c r="I62" s="887"/>
      <c r="J62"/>
      <c r="K62"/>
      <c r="L62"/>
      <c r="M62"/>
      <c r="N62"/>
      <c r="O62"/>
    </row>
    <row r="63" spans="1:1024" ht="14.25" customHeight="1" x14ac:dyDescent="0.2">
      <c r="A63" s="414" t="s">
        <v>46</v>
      </c>
      <c r="B63" s="415" t="s">
        <v>464</v>
      </c>
      <c r="C63" s="415" t="s">
        <v>465</v>
      </c>
      <c r="D63" s="415" t="s">
        <v>465</v>
      </c>
      <c r="E63" s="415" t="s">
        <v>465</v>
      </c>
      <c r="F63" s="415" t="s">
        <v>465</v>
      </c>
      <c r="G63" s="415" t="s">
        <v>465</v>
      </c>
      <c r="H63" s="415" t="s">
        <v>465</v>
      </c>
      <c r="I63" s="415" t="s">
        <v>465</v>
      </c>
      <c r="J63"/>
      <c r="K63"/>
      <c r="L63"/>
      <c r="M63"/>
      <c r="N63"/>
      <c r="O63"/>
    </row>
    <row r="64" spans="1:1024" ht="14.25" customHeight="1" x14ac:dyDescent="0.2">
      <c r="A64" s="417" t="s">
        <v>47</v>
      </c>
      <c r="B64" s="418">
        <f>1/12</f>
        <v>8.3333333333333329E-2</v>
      </c>
      <c r="C64" s="425">
        <f t="shared" ref="C64:I67" si="21">$B64*(C$19+C$49+C$60)</f>
        <v>259.55776916666662</v>
      </c>
      <c r="D64" s="425">
        <f t="shared" si="21"/>
        <v>227.99177833333331</v>
      </c>
      <c r="E64" s="425">
        <f t="shared" si="21"/>
        <v>190.82436854166667</v>
      </c>
      <c r="F64" s="425">
        <f t="shared" si="21"/>
        <v>167.14945874999998</v>
      </c>
      <c r="G64" s="425">
        <f t="shared" si="21"/>
        <v>121.28713916666665</v>
      </c>
      <c r="H64" s="425">
        <f t="shared" si="21"/>
        <v>256.82254745370369</v>
      </c>
      <c r="I64" s="426">
        <f t="shared" si="21"/>
        <v>257.35170844499999</v>
      </c>
      <c r="J64"/>
      <c r="K64"/>
      <c r="L64"/>
      <c r="M64"/>
      <c r="N64"/>
      <c r="O64"/>
    </row>
    <row r="65" spans="1:15" x14ac:dyDescent="0.2">
      <c r="A65" s="417" t="s">
        <v>509</v>
      </c>
      <c r="B65" s="418">
        <f>MC!E54/30/12</f>
        <v>1.3538888888888885E-2</v>
      </c>
      <c r="C65" s="425">
        <f t="shared" si="21"/>
        <v>42.169485563944427</v>
      </c>
      <c r="D65" s="425">
        <f t="shared" si="21"/>
        <v>37.04106425322221</v>
      </c>
      <c r="E65" s="425">
        <f t="shared" si="21"/>
        <v>31.002599075736104</v>
      </c>
      <c r="F65" s="425">
        <f t="shared" si="21"/>
        <v>27.156215398249991</v>
      </c>
      <c r="G65" s="425">
        <f t="shared" si="21"/>
        <v>19.705117209944436</v>
      </c>
      <c r="H65" s="425">
        <f t="shared" si="21"/>
        <v>41.725103209645049</v>
      </c>
      <c r="I65" s="426">
        <f t="shared" si="21"/>
        <v>41.811074232030983</v>
      </c>
      <c r="J65"/>
      <c r="K65"/>
      <c r="L65"/>
      <c r="M65"/>
      <c r="N65"/>
      <c r="O65"/>
    </row>
    <row r="66" spans="1:15" x14ac:dyDescent="0.2">
      <c r="A66" s="417" t="s">
        <v>510</v>
      </c>
      <c r="B66" s="443">
        <f>(5/30)/12*MC!F56*MC!C57</f>
        <v>1.0764583333333333E-4</v>
      </c>
      <c r="C66" s="425">
        <f t="shared" si="21"/>
        <v>0.33528374832104163</v>
      </c>
      <c r="D66" s="425">
        <f t="shared" si="21"/>
        <v>0.29450837966208332</v>
      </c>
      <c r="E66" s="425">
        <f t="shared" si="21"/>
        <v>0.24649737806369793</v>
      </c>
      <c r="F66" s="425">
        <f t="shared" si="21"/>
        <v>0.21591531334031247</v>
      </c>
      <c r="G66" s="425">
        <f t="shared" si="21"/>
        <v>0.15667266201854166</v>
      </c>
      <c r="H66" s="425">
        <f t="shared" si="21"/>
        <v>0.33175052567332175</v>
      </c>
      <c r="I66" s="426">
        <f t="shared" si="21"/>
        <v>0.33243406938382875</v>
      </c>
      <c r="J66"/>
      <c r="K66"/>
      <c r="L66"/>
      <c r="M66"/>
      <c r="N66"/>
      <c r="O66"/>
    </row>
    <row r="67" spans="1:15" ht="14.25" customHeight="1" x14ac:dyDescent="0.2">
      <c r="A67" s="417" t="s">
        <v>511</v>
      </c>
      <c r="B67" s="443">
        <f>MC!C59/30/12</f>
        <v>2.6830555555555553E-3</v>
      </c>
      <c r="C67" s="425">
        <f t="shared" si="21"/>
        <v>8.3568949746027759</v>
      </c>
      <c r="D67" s="425">
        <f t="shared" si="21"/>
        <v>7.3405752897388883</v>
      </c>
      <c r="E67" s="425">
        <f t="shared" si="21"/>
        <v>6.1439085858131941</v>
      </c>
      <c r="F67" s="425">
        <f t="shared" si="21"/>
        <v>5.3816554068874991</v>
      </c>
      <c r="G67" s="425">
        <f t="shared" si="21"/>
        <v>3.9050415907027771</v>
      </c>
      <c r="H67" s="425">
        <f t="shared" si="21"/>
        <v>8.2688299528510782</v>
      </c>
      <c r="I67" s="426">
        <f t="shared" si="21"/>
        <v>8.2858671729008488</v>
      </c>
      <c r="J67"/>
      <c r="K67"/>
      <c r="L67"/>
      <c r="M67"/>
      <c r="N67"/>
      <c r="O67"/>
    </row>
    <row r="68" spans="1:15" ht="14.25" customHeight="1" x14ac:dyDescent="0.2">
      <c r="A68" s="417" t="s">
        <v>473</v>
      </c>
      <c r="B68" s="418"/>
      <c r="C68" s="429" t="s">
        <v>469</v>
      </c>
      <c r="D68" s="429" t="s">
        <v>469</v>
      </c>
      <c r="E68" s="429" t="s">
        <v>469</v>
      </c>
      <c r="F68" s="429" t="s">
        <v>469</v>
      </c>
      <c r="G68" s="429" t="s">
        <v>469</v>
      </c>
      <c r="H68" s="432" t="s">
        <v>469</v>
      </c>
      <c r="I68" s="430" t="s">
        <v>469</v>
      </c>
      <c r="J68"/>
      <c r="K68"/>
      <c r="L68"/>
      <c r="M68"/>
      <c r="N68"/>
      <c r="O68"/>
    </row>
    <row r="69" spans="1:15" ht="14.25" customHeight="1" x14ac:dyDescent="0.2">
      <c r="A69" s="444" t="s">
        <v>512</v>
      </c>
      <c r="B69" s="445">
        <f t="shared" ref="B69:I69" si="22">SUM(B64:B68)</f>
        <v>9.9662923611111107E-2</v>
      </c>
      <c r="C69" s="446">
        <f t="shared" si="22"/>
        <v>310.41943345353485</v>
      </c>
      <c r="D69" s="446">
        <f t="shared" si="22"/>
        <v>272.6679262559565</v>
      </c>
      <c r="E69" s="446">
        <f t="shared" si="22"/>
        <v>228.21737358127967</v>
      </c>
      <c r="F69" s="446">
        <f t="shared" si="22"/>
        <v>199.90324486847777</v>
      </c>
      <c r="G69" s="446">
        <f t="shared" si="22"/>
        <v>145.05397062933241</v>
      </c>
      <c r="H69" s="446">
        <f t="shared" si="22"/>
        <v>307.14823114187317</v>
      </c>
      <c r="I69" s="447">
        <f t="shared" si="22"/>
        <v>307.78108391931568</v>
      </c>
      <c r="J69"/>
      <c r="K69"/>
      <c r="L69"/>
      <c r="M69"/>
      <c r="N69"/>
      <c r="O69"/>
    </row>
    <row r="70" spans="1:15" ht="14.25" customHeight="1" x14ac:dyDescent="0.2">
      <c r="A70" s="414" t="s">
        <v>513</v>
      </c>
      <c r="B70" s="415" t="s">
        <v>464</v>
      </c>
      <c r="C70" s="415" t="s">
        <v>465</v>
      </c>
      <c r="D70" s="415" t="s">
        <v>465</v>
      </c>
      <c r="E70" s="415" t="s">
        <v>465</v>
      </c>
      <c r="F70" s="415" t="s">
        <v>465</v>
      </c>
      <c r="G70" s="415" t="s">
        <v>465</v>
      </c>
      <c r="H70" s="415" t="s">
        <v>465</v>
      </c>
      <c r="I70" s="416" t="s">
        <v>465</v>
      </c>
      <c r="J70"/>
      <c r="K70"/>
      <c r="L70"/>
      <c r="M70"/>
      <c r="N70"/>
      <c r="O70"/>
    </row>
    <row r="71" spans="1:15" ht="14.25" customHeight="1" x14ac:dyDescent="0.2">
      <c r="A71" s="417" t="s">
        <v>514</v>
      </c>
      <c r="B71" s="418"/>
      <c r="C71" s="429" t="s">
        <v>469</v>
      </c>
      <c r="D71" s="429" t="s">
        <v>469</v>
      </c>
      <c r="E71" s="429" t="s">
        <v>469</v>
      </c>
      <c r="F71" s="429" t="s">
        <v>469</v>
      </c>
      <c r="G71" s="429" t="s">
        <v>469</v>
      </c>
      <c r="H71" s="432" t="s">
        <v>469</v>
      </c>
      <c r="I71" s="430" t="s">
        <v>469</v>
      </c>
      <c r="J71"/>
      <c r="K71"/>
      <c r="L71"/>
      <c r="M71"/>
      <c r="N71"/>
      <c r="O71"/>
    </row>
    <row r="72" spans="1:15" ht="14.25" customHeight="1" x14ac:dyDescent="0.2">
      <c r="A72" s="444" t="s">
        <v>512</v>
      </c>
      <c r="B72" s="445"/>
      <c r="C72" s="448" t="str">
        <f t="shared" ref="C72:I72" si="23">C71</f>
        <v>-</v>
      </c>
      <c r="D72" s="448" t="str">
        <f t="shared" si="23"/>
        <v>-</v>
      </c>
      <c r="E72" s="448" t="str">
        <f t="shared" si="23"/>
        <v>-</v>
      </c>
      <c r="F72" s="448" t="str">
        <f t="shared" si="23"/>
        <v>-</v>
      </c>
      <c r="G72" s="448" t="str">
        <f t="shared" si="23"/>
        <v>-</v>
      </c>
      <c r="H72" s="448" t="str">
        <f t="shared" si="23"/>
        <v>-</v>
      </c>
      <c r="I72" s="449" t="str">
        <f t="shared" si="23"/>
        <v>-</v>
      </c>
      <c r="J72"/>
      <c r="K72"/>
      <c r="L72"/>
      <c r="M72"/>
      <c r="N72"/>
      <c r="O72"/>
    </row>
    <row r="73" spans="1:15" ht="14.25" customHeight="1" x14ac:dyDescent="0.2">
      <c r="A73" s="414" t="s">
        <v>68</v>
      </c>
      <c r="B73" s="415" t="s">
        <v>464</v>
      </c>
      <c r="C73" s="415" t="s">
        <v>465</v>
      </c>
      <c r="D73" s="415" t="s">
        <v>465</v>
      </c>
      <c r="E73" s="415" t="s">
        <v>465</v>
      </c>
      <c r="F73" s="415" t="s">
        <v>465</v>
      </c>
      <c r="G73" s="415" t="s">
        <v>465</v>
      </c>
      <c r="H73" s="415" t="s">
        <v>465</v>
      </c>
      <c r="I73" s="416" t="s">
        <v>465</v>
      </c>
      <c r="J73"/>
      <c r="K73"/>
      <c r="L73"/>
      <c r="M73"/>
      <c r="N73"/>
      <c r="O73"/>
    </row>
    <row r="74" spans="1:15" ht="14.25" customHeight="1" x14ac:dyDescent="0.2">
      <c r="A74" s="417" t="s">
        <v>69</v>
      </c>
      <c r="B74" s="418">
        <f>120/30*MC!C62*MC!C63</f>
        <v>6.18624E-3</v>
      </c>
      <c r="C74" s="425">
        <f t="shared" ref="C74:I74" si="24">(((C19*2)+ (C19*1/3))+(C36)+(C44-C38-C39))*$B$74</f>
        <v>28.47909256494545</v>
      </c>
      <c r="D74" s="425">
        <f t="shared" si="24"/>
        <v>24.426098694981821</v>
      </c>
      <c r="E74" s="425">
        <f t="shared" si="24"/>
        <v>21.386183170909092</v>
      </c>
      <c r="F74" s="425">
        <f t="shared" si="24"/>
        <v>18.346391371636361</v>
      </c>
      <c r="G74" s="425">
        <f t="shared" si="24"/>
        <v>12.266498461090908</v>
      </c>
      <c r="H74" s="425">
        <f t="shared" si="24"/>
        <v>28.432845734400001</v>
      </c>
      <c r="I74" s="426">
        <f t="shared" si="24"/>
        <v>28.50349701180043</v>
      </c>
      <c r="J74"/>
      <c r="K74"/>
      <c r="L74"/>
      <c r="M74"/>
      <c r="N74"/>
      <c r="O74"/>
    </row>
    <row r="75" spans="1:15" ht="15.75" customHeight="1" x14ac:dyDescent="0.2">
      <c r="A75" s="444" t="s">
        <v>474</v>
      </c>
      <c r="B75" s="445"/>
      <c r="C75" s="448">
        <f t="shared" ref="C75:I75" si="25">C74</f>
        <v>28.47909256494545</v>
      </c>
      <c r="D75" s="448">
        <f t="shared" si="25"/>
        <v>24.426098694981821</v>
      </c>
      <c r="E75" s="448">
        <f t="shared" si="25"/>
        <v>21.386183170909092</v>
      </c>
      <c r="F75" s="448">
        <f t="shared" si="25"/>
        <v>18.346391371636361</v>
      </c>
      <c r="G75" s="448">
        <f t="shared" si="25"/>
        <v>12.266498461090908</v>
      </c>
      <c r="H75" s="448">
        <f t="shared" si="25"/>
        <v>28.432845734400001</v>
      </c>
      <c r="I75" s="449">
        <f t="shared" si="25"/>
        <v>28.50349701180043</v>
      </c>
      <c r="J75"/>
      <c r="K75"/>
      <c r="L75"/>
      <c r="M75"/>
      <c r="N75"/>
      <c r="O75"/>
    </row>
    <row r="76" spans="1:15" x14ac:dyDescent="0.2">
      <c r="A76" s="391" t="s">
        <v>515</v>
      </c>
      <c r="B76" s="392" t="s">
        <v>464</v>
      </c>
      <c r="C76" s="392" t="s">
        <v>465</v>
      </c>
      <c r="D76" s="392" t="s">
        <v>465</v>
      </c>
      <c r="E76" s="392" t="s">
        <v>465</v>
      </c>
      <c r="F76" s="392" t="s">
        <v>465</v>
      </c>
      <c r="G76" s="392" t="s">
        <v>465</v>
      </c>
      <c r="H76" s="392" t="s">
        <v>465</v>
      </c>
      <c r="I76" s="393" t="s">
        <v>465</v>
      </c>
      <c r="J76"/>
      <c r="K76"/>
      <c r="L76"/>
      <c r="M76"/>
      <c r="N76"/>
      <c r="O76"/>
    </row>
    <row r="77" spans="1:15" x14ac:dyDescent="0.2">
      <c r="A77" s="417" t="s">
        <v>46</v>
      </c>
      <c r="B77" s="434">
        <f t="shared" ref="B77:I77" si="26">B69</f>
        <v>9.9662923611111107E-2</v>
      </c>
      <c r="C77" s="435">
        <f t="shared" si="26"/>
        <v>310.41943345353485</v>
      </c>
      <c r="D77" s="435">
        <f t="shared" si="26"/>
        <v>272.6679262559565</v>
      </c>
      <c r="E77" s="435">
        <f t="shared" si="26"/>
        <v>228.21737358127967</v>
      </c>
      <c r="F77" s="435">
        <f t="shared" si="26"/>
        <v>199.90324486847777</v>
      </c>
      <c r="G77" s="435">
        <f t="shared" si="26"/>
        <v>145.05397062933241</v>
      </c>
      <c r="H77" s="435">
        <f t="shared" si="26"/>
        <v>307.14823114187317</v>
      </c>
      <c r="I77" s="436">
        <f t="shared" si="26"/>
        <v>307.78108391931568</v>
      </c>
      <c r="J77"/>
      <c r="K77"/>
      <c r="L77"/>
      <c r="M77"/>
      <c r="N77"/>
      <c r="O77"/>
    </row>
    <row r="78" spans="1:15" ht="15.75" customHeight="1" x14ac:dyDescent="0.2">
      <c r="A78" s="417" t="s">
        <v>513</v>
      </c>
      <c r="B78" s="434">
        <f t="shared" ref="B78:I78" si="27">B72</f>
        <v>0</v>
      </c>
      <c r="C78" s="435" t="str">
        <f t="shared" si="27"/>
        <v>-</v>
      </c>
      <c r="D78" s="435" t="str">
        <f t="shared" si="27"/>
        <v>-</v>
      </c>
      <c r="E78" s="435" t="str">
        <f t="shared" si="27"/>
        <v>-</v>
      </c>
      <c r="F78" s="435" t="str">
        <f t="shared" si="27"/>
        <v>-</v>
      </c>
      <c r="G78" s="435" t="str">
        <f t="shared" si="27"/>
        <v>-</v>
      </c>
      <c r="H78" s="435" t="str">
        <f t="shared" si="27"/>
        <v>-</v>
      </c>
      <c r="I78" s="436" t="str">
        <f t="shared" si="27"/>
        <v>-</v>
      </c>
      <c r="J78"/>
      <c r="K78"/>
      <c r="L78"/>
      <c r="M78"/>
      <c r="N78"/>
      <c r="O78"/>
    </row>
    <row r="79" spans="1:15" ht="15.75" customHeight="1" x14ac:dyDescent="0.2">
      <c r="A79" s="417" t="s">
        <v>68</v>
      </c>
      <c r="B79" s="434">
        <f t="shared" ref="B79:I79" si="28">B74</f>
        <v>6.18624E-3</v>
      </c>
      <c r="C79" s="435">
        <f t="shared" si="28"/>
        <v>28.47909256494545</v>
      </c>
      <c r="D79" s="435">
        <f t="shared" si="28"/>
        <v>24.426098694981821</v>
      </c>
      <c r="E79" s="435">
        <f t="shared" si="28"/>
        <v>21.386183170909092</v>
      </c>
      <c r="F79" s="435">
        <f t="shared" si="28"/>
        <v>18.346391371636361</v>
      </c>
      <c r="G79" s="435">
        <f t="shared" si="28"/>
        <v>12.266498461090908</v>
      </c>
      <c r="H79" s="435">
        <f t="shared" si="28"/>
        <v>28.432845734400001</v>
      </c>
      <c r="I79" s="436">
        <f t="shared" si="28"/>
        <v>28.50349701180043</v>
      </c>
      <c r="J79"/>
      <c r="K79"/>
      <c r="L79"/>
      <c r="M79"/>
      <c r="N79"/>
      <c r="O79"/>
    </row>
    <row r="80" spans="1:15" ht="15.75" customHeight="1" x14ac:dyDescent="0.2">
      <c r="A80" s="405" t="s">
        <v>474</v>
      </c>
      <c r="B80" s="406"/>
      <c r="C80" s="420">
        <f t="shared" ref="C80:I80" si="29">SUM(C77:C79)</f>
        <v>338.89852601848031</v>
      </c>
      <c r="D80" s="420">
        <f t="shared" si="29"/>
        <v>297.09402495093832</v>
      </c>
      <c r="E80" s="420">
        <f t="shared" si="29"/>
        <v>249.60355675218875</v>
      </c>
      <c r="F80" s="420">
        <f t="shared" si="29"/>
        <v>218.24963624011414</v>
      </c>
      <c r="G80" s="420">
        <f t="shared" si="29"/>
        <v>157.32046909042333</v>
      </c>
      <c r="H80" s="420">
        <f t="shared" si="29"/>
        <v>335.58107687627319</v>
      </c>
      <c r="I80" s="421">
        <f t="shared" si="29"/>
        <v>336.28458093111612</v>
      </c>
      <c r="J80"/>
      <c r="K80"/>
      <c r="L80"/>
      <c r="M80"/>
      <c r="N80"/>
      <c r="O80"/>
    </row>
    <row r="81" spans="1:15" ht="15.75" customHeight="1" x14ac:dyDescent="0.2">
      <c r="A81" s="410"/>
      <c r="B81" s="411"/>
      <c r="C81" s="411"/>
      <c r="D81" s="411"/>
      <c r="E81" s="411"/>
      <c r="F81" s="411"/>
      <c r="G81" s="411"/>
      <c r="H81" s="412"/>
      <c r="I81" s="413"/>
      <c r="J81"/>
      <c r="K81"/>
      <c r="L81"/>
      <c r="M81"/>
      <c r="N81"/>
      <c r="O81"/>
    </row>
    <row r="82" spans="1:15" ht="15.75" customHeight="1" x14ac:dyDescent="0.2">
      <c r="A82" s="450" t="s">
        <v>516</v>
      </c>
      <c r="B82" s="451"/>
      <c r="C82" s="451"/>
      <c r="D82" s="451"/>
      <c r="E82" s="451"/>
      <c r="F82" s="451"/>
      <c r="G82" s="451"/>
      <c r="H82" s="451"/>
      <c r="I82" s="452"/>
      <c r="J82"/>
      <c r="K82"/>
      <c r="L82"/>
      <c r="M82"/>
      <c r="N82"/>
      <c r="O82"/>
    </row>
    <row r="83" spans="1:15" ht="15.75" customHeight="1" x14ac:dyDescent="0.2">
      <c r="A83" s="391" t="s">
        <v>517</v>
      </c>
      <c r="B83" s="392" t="s">
        <v>518</v>
      </c>
      <c r="C83" s="392" t="s">
        <v>465</v>
      </c>
      <c r="D83" s="392" t="s">
        <v>465</v>
      </c>
      <c r="E83" s="392" t="s">
        <v>465</v>
      </c>
      <c r="F83" s="392" t="s">
        <v>465</v>
      </c>
      <c r="G83" s="392" t="s">
        <v>465</v>
      </c>
      <c r="H83" s="392" t="s">
        <v>465</v>
      </c>
      <c r="I83" s="393" t="s">
        <v>465</v>
      </c>
      <c r="J83"/>
      <c r="K83"/>
      <c r="L83"/>
      <c r="M83"/>
      <c r="N83"/>
      <c r="O83"/>
    </row>
    <row r="84" spans="1:15" ht="15.75" customHeight="1" x14ac:dyDescent="0.2">
      <c r="A84" s="417" t="s">
        <v>519</v>
      </c>
      <c r="B84" s="453"/>
      <c r="C84" s="396">
        <f>Insumos!$I126</f>
        <v>37.949999999999996</v>
      </c>
      <c r="D84" s="396">
        <f>Insumos!$I126</f>
        <v>37.949999999999996</v>
      </c>
      <c r="E84" s="396">
        <f>Insumos!$I126</f>
        <v>37.949999999999996</v>
      </c>
      <c r="F84" s="396">
        <f>Insumos!$I126</f>
        <v>37.949999999999996</v>
      </c>
      <c r="G84" s="396">
        <f>Insumos!$I118</f>
        <v>27.875416666666666</v>
      </c>
      <c r="H84" s="396">
        <f>Insumos!$I118</f>
        <v>27.875416666666666</v>
      </c>
      <c r="I84" s="398">
        <f>Insumos!I119</f>
        <v>34.030416666666667</v>
      </c>
      <c r="J84"/>
      <c r="K84"/>
      <c r="L84"/>
      <c r="M84"/>
      <c r="N84"/>
      <c r="O84"/>
    </row>
    <row r="85" spans="1:15" x14ac:dyDescent="0.2">
      <c r="A85" s="454" t="s">
        <v>520</v>
      </c>
      <c r="B85" s="453"/>
      <c r="C85" s="396">
        <f>Insumos!$G60</f>
        <v>461.23111666666665</v>
      </c>
      <c r="D85" s="396">
        <f>Insumos!$G60</f>
        <v>461.23111666666665</v>
      </c>
      <c r="E85" s="396">
        <f>Insumos!$G60</f>
        <v>461.23111666666665</v>
      </c>
      <c r="F85" s="396">
        <f>Insumos!$G60</f>
        <v>461.23111666666665</v>
      </c>
      <c r="G85" s="396">
        <f>Insumos!$G60</f>
        <v>461.23111666666665</v>
      </c>
      <c r="H85" s="400" t="s">
        <v>469</v>
      </c>
      <c r="I85" s="401" t="s">
        <v>469</v>
      </c>
      <c r="J85"/>
      <c r="K85"/>
      <c r="L85"/>
      <c r="M85"/>
      <c r="N85"/>
      <c r="O85"/>
    </row>
    <row r="86" spans="1:15" x14ac:dyDescent="0.2">
      <c r="A86" s="454" t="s">
        <v>521</v>
      </c>
      <c r="B86" s="455"/>
      <c r="C86" s="396">
        <f>Insumos!$I100</f>
        <v>21.460664583333333</v>
      </c>
      <c r="D86" s="396">
        <f>Insumos!$I100</f>
        <v>21.460664583333333</v>
      </c>
      <c r="E86" s="396">
        <f>Insumos!$I100</f>
        <v>21.460664583333333</v>
      </c>
      <c r="F86" s="396">
        <f>Insumos!$I100</f>
        <v>21.460664583333333</v>
      </c>
      <c r="G86" s="396">
        <f>Insumos!$I100</f>
        <v>21.460664583333333</v>
      </c>
      <c r="H86" s="400" t="s">
        <v>469</v>
      </c>
      <c r="I86" s="401" t="s">
        <v>469</v>
      </c>
      <c r="J86"/>
      <c r="K86"/>
      <c r="L86"/>
      <c r="M86"/>
      <c r="N86"/>
      <c r="O86"/>
    </row>
    <row r="87" spans="1:15" ht="15.75" customHeight="1" x14ac:dyDescent="0.2">
      <c r="A87" s="454" t="s">
        <v>522</v>
      </c>
      <c r="B87" s="453"/>
      <c r="C87" s="396">
        <f>Insumos!$I130</f>
        <v>36.666666666666671</v>
      </c>
      <c r="D87" s="396">
        <f>Insumos!$I130</f>
        <v>36.666666666666671</v>
      </c>
      <c r="E87" s="396">
        <f>Insumos!$H130</f>
        <v>25.446666666666665</v>
      </c>
      <c r="F87" s="396">
        <f>Insumos!$H130</f>
        <v>25.446666666666665</v>
      </c>
      <c r="G87" s="396">
        <f>Insumos!$H130</f>
        <v>25.446666666666665</v>
      </c>
      <c r="H87" s="400" t="s">
        <v>469</v>
      </c>
      <c r="I87" s="401" t="s">
        <v>469</v>
      </c>
      <c r="J87"/>
      <c r="K87"/>
      <c r="L87"/>
      <c r="M87"/>
      <c r="N87"/>
      <c r="O87"/>
    </row>
    <row r="88" spans="1:15" ht="15.75" customHeight="1" x14ac:dyDescent="0.2">
      <c r="A88" s="454" t="s">
        <v>523</v>
      </c>
      <c r="B88" s="418">
        <v>0.12</v>
      </c>
      <c r="C88" s="400" t="s">
        <v>469</v>
      </c>
      <c r="D88" s="400" t="s">
        <v>469</v>
      </c>
      <c r="E88" s="400" t="s">
        <v>469</v>
      </c>
      <c r="F88" s="400" t="s">
        <v>469</v>
      </c>
      <c r="G88" s="400" t="s">
        <v>469</v>
      </c>
      <c r="H88" s="397">
        <f>B88*(H127+H128+H84)</f>
        <v>360.04528333333332</v>
      </c>
      <c r="I88" s="401" t="s">
        <v>469</v>
      </c>
      <c r="J88"/>
      <c r="K88"/>
      <c r="L88"/>
      <c r="M88"/>
      <c r="N88"/>
      <c r="O88"/>
    </row>
    <row r="89" spans="1:15" ht="15.75" customHeight="1" x14ac:dyDescent="0.2">
      <c r="A89" s="456" t="s">
        <v>524</v>
      </c>
      <c r="B89" s="457"/>
      <c r="C89" s="458"/>
      <c r="D89" s="458"/>
      <c r="E89" s="458"/>
      <c r="F89" s="458"/>
      <c r="G89" s="458"/>
      <c r="H89" s="459"/>
      <c r="I89" s="460">
        <f>Insumos!H146</f>
        <v>50.323333333333331</v>
      </c>
      <c r="J89"/>
      <c r="K89"/>
      <c r="L89"/>
      <c r="M89"/>
      <c r="N89"/>
      <c r="O89"/>
    </row>
    <row r="90" spans="1:15" ht="15.75" customHeight="1" x14ac:dyDescent="0.2">
      <c r="A90" s="454" t="s">
        <v>525</v>
      </c>
      <c r="B90" s="418"/>
      <c r="C90" s="400"/>
      <c r="D90" s="400"/>
      <c r="E90" s="400"/>
      <c r="F90" s="400"/>
      <c r="G90" s="400"/>
      <c r="H90" s="397"/>
      <c r="I90" s="401"/>
      <c r="J90"/>
      <c r="K90"/>
      <c r="L90"/>
      <c r="M90"/>
      <c r="N90"/>
      <c r="O90"/>
    </row>
    <row r="91" spans="1:15" ht="15.75" customHeight="1" x14ac:dyDescent="0.2">
      <c r="A91" s="444" t="s">
        <v>474</v>
      </c>
      <c r="B91" s="461"/>
      <c r="C91" s="446">
        <f t="shared" ref="C91:I91" si="30">SUM(C84:C90)</f>
        <v>557.30844791666664</v>
      </c>
      <c r="D91" s="446">
        <f t="shared" si="30"/>
        <v>557.30844791666664</v>
      </c>
      <c r="E91" s="446">
        <f t="shared" si="30"/>
        <v>546.08844791666672</v>
      </c>
      <c r="F91" s="446">
        <f t="shared" si="30"/>
        <v>546.08844791666672</v>
      </c>
      <c r="G91" s="446">
        <f t="shared" si="30"/>
        <v>536.01386458333332</v>
      </c>
      <c r="H91" s="446">
        <f t="shared" si="30"/>
        <v>387.92070000000001</v>
      </c>
      <c r="I91" s="447">
        <f t="shared" si="30"/>
        <v>84.353749999999991</v>
      </c>
      <c r="J91"/>
      <c r="K91"/>
      <c r="L91"/>
      <c r="M91"/>
      <c r="N91"/>
      <c r="O91"/>
    </row>
    <row r="92" spans="1:15" ht="15.75" customHeight="1" x14ac:dyDescent="0.2">
      <c r="A92" s="888"/>
      <c r="B92" s="888"/>
      <c r="C92" s="462"/>
      <c r="D92" s="462"/>
      <c r="E92" s="462"/>
      <c r="F92" s="462"/>
      <c r="G92" s="462"/>
      <c r="H92" s="463"/>
      <c r="I92" s="464"/>
      <c r="J92"/>
      <c r="K92"/>
      <c r="L92"/>
      <c r="M92"/>
      <c r="N92"/>
      <c r="O92"/>
    </row>
    <row r="93" spans="1:15" ht="15.75" customHeight="1" x14ac:dyDescent="0.2">
      <c r="A93" s="450" t="s">
        <v>526</v>
      </c>
      <c r="B93" s="451"/>
      <c r="C93" s="451"/>
      <c r="D93" s="451"/>
      <c r="E93" s="451"/>
      <c r="F93" s="451"/>
      <c r="G93" s="451"/>
      <c r="H93" s="451"/>
      <c r="I93" s="452"/>
      <c r="J93"/>
      <c r="K93"/>
      <c r="L93"/>
      <c r="M93"/>
      <c r="N93"/>
      <c r="O93"/>
    </row>
    <row r="94" spans="1:15" ht="15.75" customHeight="1" x14ac:dyDescent="0.2">
      <c r="A94" s="391" t="s">
        <v>527</v>
      </c>
      <c r="B94" s="392" t="s">
        <v>464</v>
      </c>
      <c r="C94" s="392" t="s">
        <v>465</v>
      </c>
      <c r="D94" s="392" t="s">
        <v>465</v>
      </c>
      <c r="E94" s="392" t="s">
        <v>465</v>
      </c>
      <c r="F94" s="392" t="s">
        <v>465</v>
      </c>
      <c r="G94" s="392" t="s">
        <v>465</v>
      </c>
      <c r="H94" s="392" t="s">
        <v>465</v>
      </c>
      <c r="I94" s="393" t="s">
        <v>465</v>
      </c>
      <c r="J94"/>
      <c r="K94"/>
      <c r="L94"/>
      <c r="M94"/>
      <c r="N94"/>
      <c r="O94"/>
    </row>
    <row r="95" spans="1:15" ht="15.75" customHeight="1" x14ac:dyDescent="0.2">
      <c r="A95" s="394" t="s">
        <v>74</v>
      </c>
      <c r="B95" s="418">
        <f>MC!C66</f>
        <v>0.03</v>
      </c>
      <c r="C95" s="425">
        <f t="shared" ref="C95:I95" si="31">(C$19+C$49+C$60+C$80+C$91)*$B$95</f>
        <v>120.32700611805441</v>
      </c>
      <c r="D95" s="425">
        <f t="shared" si="31"/>
        <v>107.70911438602813</v>
      </c>
      <c r="E95" s="425">
        <f t="shared" si="31"/>
        <v>92.567532815065647</v>
      </c>
      <c r="F95" s="425">
        <f t="shared" si="31"/>
        <v>83.10394767470342</v>
      </c>
      <c r="G95" s="425">
        <f t="shared" si="31"/>
        <v>64.463400110212689</v>
      </c>
      <c r="H95" s="425">
        <f t="shared" si="31"/>
        <v>114.16117038962152</v>
      </c>
      <c r="I95" s="426">
        <f t="shared" si="31"/>
        <v>105.26576496813347</v>
      </c>
      <c r="J95"/>
      <c r="K95"/>
      <c r="L95"/>
      <c r="M95"/>
      <c r="N95"/>
      <c r="O95"/>
    </row>
    <row r="96" spans="1:15" x14ac:dyDescent="0.2">
      <c r="A96" s="394" t="s">
        <v>75</v>
      </c>
      <c r="B96" s="418">
        <f>MC!C67</f>
        <v>6.7900000000000002E-2</v>
      </c>
      <c r="C96" s="425">
        <f t="shared" ref="C96:I96" si="32">(C$19+C$49+C$60+C$80+C$91+C95)*$B$96</f>
        <v>280.51032756261242</v>
      </c>
      <c r="D96" s="425">
        <f t="shared" si="32"/>
        <v>251.09507776052163</v>
      </c>
      <c r="E96" s="425">
        <f t="shared" si="32"/>
        <v>215.79651808290822</v>
      </c>
      <c r="F96" s="425">
        <f t="shared" si="32"/>
        <v>193.73469295085775</v>
      </c>
      <c r="G96" s="425">
        <f t="shared" si="32"/>
        <v>150.27922711693148</v>
      </c>
      <c r="H96" s="425">
        <f t="shared" si="32"/>
        <v>266.13632578463205</v>
      </c>
      <c r="I96" s="426">
        <f t="shared" si="32"/>
        <v>245.39906015254505</v>
      </c>
      <c r="J96"/>
      <c r="K96"/>
      <c r="L96"/>
      <c r="M96"/>
      <c r="N96"/>
      <c r="O96"/>
    </row>
    <row r="97" spans="1:15" x14ac:dyDescent="0.2">
      <c r="A97" s="465" t="s">
        <v>528</v>
      </c>
      <c r="B97" s="466">
        <f>B98+B99</f>
        <v>0.1125</v>
      </c>
      <c r="C97" s="467">
        <f t="shared" ref="C97:I97" si="33">((C19+C49+C60+C80+C91+C95+C96)/(1-($B$97)))*$B$97</f>
        <v>559.23433575411741</v>
      </c>
      <c r="D97" s="467">
        <f t="shared" si="33"/>
        <v>500.59115556517452</v>
      </c>
      <c r="E97" s="467">
        <f t="shared" si="33"/>
        <v>430.21882116340089</v>
      </c>
      <c r="F97" s="467">
        <f t="shared" si="33"/>
        <v>386.23566293015597</v>
      </c>
      <c r="G97" s="467">
        <f t="shared" si="33"/>
        <v>299.60146025504378</v>
      </c>
      <c r="H97" s="467">
        <f t="shared" si="33"/>
        <v>530.57786735851744</v>
      </c>
      <c r="I97" s="468">
        <f t="shared" si="33"/>
        <v>489.23539319050917</v>
      </c>
      <c r="J97"/>
      <c r="K97"/>
      <c r="L97"/>
      <c r="M97"/>
      <c r="N97"/>
      <c r="O97"/>
    </row>
    <row r="98" spans="1:15" x14ac:dyDescent="0.2">
      <c r="A98" s="394" t="s">
        <v>529</v>
      </c>
      <c r="B98" s="418">
        <f>0.0165+0.076</f>
        <v>9.2499999999999999E-2</v>
      </c>
      <c r="C98" s="469">
        <f t="shared" ref="C98:I98" si="34">((C$19+C$49+C$60+C$80+C$91+C$95+C$96)/(1-($B$97)))*$B$98</f>
        <v>459.81489828671869</v>
      </c>
      <c r="D98" s="469">
        <f t="shared" si="34"/>
        <v>411.59717235358795</v>
      </c>
      <c r="E98" s="469">
        <f t="shared" si="34"/>
        <v>353.73547517879626</v>
      </c>
      <c r="F98" s="469">
        <f t="shared" si="34"/>
        <v>317.57154507590604</v>
      </c>
      <c r="G98" s="469">
        <f t="shared" si="34"/>
        <v>246.33897843192486</v>
      </c>
      <c r="H98" s="469">
        <f t="shared" si="34"/>
        <v>436.25291316144768</v>
      </c>
      <c r="I98" s="470">
        <f t="shared" si="34"/>
        <v>402.26021217886307</v>
      </c>
      <c r="J98"/>
      <c r="K98"/>
      <c r="L98"/>
      <c r="M98"/>
      <c r="N98"/>
      <c r="O98"/>
    </row>
    <row r="99" spans="1:15" x14ac:dyDescent="0.2">
      <c r="A99" s="394" t="s">
        <v>530</v>
      </c>
      <c r="B99" s="418">
        <v>0.02</v>
      </c>
      <c r="C99" s="471">
        <f t="shared" ref="C99:I99" si="35">((C$19+C$49+C$60+C$80+C$91+C$95+C$96)/(1-($B$97)))*$B$99</f>
        <v>99.419437467398637</v>
      </c>
      <c r="D99" s="471">
        <f t="shared" si="35"/>
        <v>88.993983211586581</v>
      </c>
      <c r="E99" s="471">
        <f t="shared" si="35"/>
        <v>76.483345984604611</v>
      </c>
      <c r="F99" s="471">
        <f t="shared" si="35"/>
        <v>68.664117854249952</v>
      </c>
      <c r="G99" s="471">
        <f t="shared" si="35"/>
        <v>53.26248182311889</v>
      </c>
      <c r="H99" s="471">
        <f t="shared" si="35"/>
        <v>94.324954197069772</v>
      </c>
      <c r="I99" s="472">
        <f t="shared" si="35"/>
        <v>86.975181011646072</v>
      </c>
      <c r="J99"/>
      <c r="K99"/>
      <c r="L99"/>
      <c r="M99"/>
      <c r="N99"/>
      <c r="O99"/>
    </row>
    <row r="100" spans="1:15" x14ac:dyDescent="0.2">
      <c r="A100" s="465" t="s">
        <v>531</v>
      </c>
      <c r="B100" s="466">
        <f>B101+B102</f>
        <v>0.11749999999999999</v>
      </c>
      <c r="C100" s="467">
        <f t="shared" ref="C100:I100" si="36">((C19+C49+C60+C80+C91+C95+C96)/(1-($B$100)))*$B$100</f>
        <v>587.39848234544831</v>
      </c>
      <c r="D100" s="467">
        <f t="shared" si="36"/>
        <v>525.80191568177122</v>
      </c>
      <c r="E100" s="467">
        <f t="shared" si="36"/>
        <v>451.88549141399704</v>
      </c>
      <c r="F100" s="467">
        <f t="shared" si="36"/>
        <v>405.68725439028339</v>
      </c>
      <c r="G100" s="467">
        <f t="shared" si="36"/>
        <v>314.68998201796688</v>
      </c>
      <c r="H100" s="467">
        <f t="shared" si="36"/>
        <v>557.29881755598763</v>
      </c>
      <c r="I100" s="468">
        <f t="shared" si="36"/>
        <v>513.87425466689604</v>
      </c>
      <c r="J100"/>
      <c r="K100"/>
      <c r="L100"/>
      <c r="M100"/>
      <c r="N100"/>
      <c r="O100"/>
    </row>
    <row r="101" spans="1:15" x14ac:dyDescent="0.2">
      <c r="A101" s="394" t="s">
        <v>529</v>
      </c>
      <c r="B101" s="418">
        <f>0.0165+0.076</f>
        <v>9.2499999999999999E-2</v>
      </c>
      <c r="C101" s="469">
        <f t="shared" ref="C101:I101" si="37">((C19+C49+C60+C80+C91+C95+C96)/(1-($B$100)))*$B$101</f>
        <v>462.42008184641679</v>
      </c>
      <c r="D101" s="469">
        <f t="shared" si="37"/>
        <v>413.9291676643731</v>
      </c>
      <c r="E101" s="469">
        <f t="shared" si="37"/>
        <v>355.73964217697642</v>
      </c>
      <c r="F101" s="469">
        <f t="shared" si="37"/>
        <v>319.3708172859678</v>
      </c>
      <c r="G101" s="469">
        <f t="shared" si="37"/>
        <v>247.73466669499521</v>
      </c>
      <c r="H101" s="469">
        <f t="shared" si="37"/>
        <v>438.72460105471367</v>
      </c>
      <c r="I101" s="470">
        <f t="shared" si="37"/>
        <v>404.53930686542884</v>
      </c>
      <c r="J101"/>
      <c r="K101"/>
      <c r="L101"/>
      <c r="M101"/>
      <c r="N101"/>
      <c r="O101"/>
    </row>
    <row r="102" spans="1:15" x14ac:dyDescent="0.2">
      <c r="A102" s="394" t="s">
        <v>530</v>
      </c>
      <c r="B102" s="418">
        <v>2.5000000000000001E-2</v>
      </c>
      <c r="C102" s="471">
        <f t="shared" ref="C102:I102" si="38">((C$19+C$49+C$60+C$80+C$91+C$95+C$96)/(1-($B$100)))*$B$102</f>
        <v>124.97840049903158</v>
      </c>
      <c r="D102" s="471">
        <f t="shared" si="38"/>
        <v>111.87274801739814</v>
      </c>
      <c r="E102" s="471">
        <f t="shared" si="38"/>
        <v>96.145849237020656</v>
      </c>
      <c r="F102" s="471">
        <f t="shared" si="38"/>
        <v>86.316437104315625</v>
      </c>
      <c r="G102" s="471">
        <f t="shared" si="38"/>
        <v>66.955315322971686</v>
      </c>
      <c r="H102" s="471">
        <f t="shared" si="38"/>
        <v>118.57421650127397</v>
      </c>
      <c r="I102" s="472">
        <f t="shared" si="38"/>
        <v>109.33494780146725</v>
      </c>
      <c r="J102"/>
      <c r="K102"/>
      <c r="L102"/>
      <c r="M102"/>
      <c r="N102"/>
      <c r="O102"/>
    </row>
    <row r="103" spans="1:15" x14ac:dyDescent="0.2">
      <c r="A103" s="465" t="s">
        <v>532</v>
      </c>
      <c r="B103" s="466">
        <f>B104+B105</f>
        <v>0.1225</v>
      </c>
      <c r="C103" s="467">
        <f t="shared" ref="C103:I103" si="39">((C19+C49+C60+C80+C91+C95+C96)/(1-($B$103)))*$B$103</f>
        <v>615.88358787229322</v>
      </c>
      <c r="D103" s="467">
        <f t="shared" si="39"/>
        <v>551.29997790795881</v>
      </c>
      <c r="E103" s="467">
        <f t="shared" si="39"/>
        <v>473.7990752856827</v>
      </c>
      <c r="F103" s="467">
        <f t="shared" si="39"/>
        <v>425.36051640836109</v>
      </c>
      <c r="G103" s="467">
        <f t="shared" si="39"/>
        <v>329.95045274684935</v>
      </c>
      <c r="H103" s="467">
        <f t="shared" si="39"/>
        <v>584.32428000642051</v>
      </c>
      <c r="I103" s="468">
        <f t="shared" si="39"/>
        <v>538.79390088945274</v>
      </c>
      <c r="J103"/>
      <c r="K103"/>
      <c r="L103"/>
      <c r="M103"/>
      <c r="N103"/>
      <c r="O103"/>
    </row>
    <row r="104" spans="1:15" x14ac:dyDescent="0.2">
      <c r="A104" s="394" t="s">
        <v>529</v>
      </c>
      <c r="B104" s="418">
        <f>0.0165+0.076</f>
        <v>9.2499999999999999E-2</v>
      </c>
      <c r="C104" s="469">
        <f t="shared" ref="C104:I104" si="40">((C19+C49+C60+C80+C91+C95+C96)/(1-($B$103)))*$B$104</f>
        <v>465.05495410765002</v>
      </c>
      <c r="D104" s="469">
        <f t="shared" si="40"/>
        <v>416.2877384202954</v>
      </c>
      <c r="E104" s="469">
        <f t="shared" si="40"/>
        <v>357.76664868510738</v>
      </c>
      <c r="F104" s="469">
        <f t="shared" si="40"/>
        <v>321.19059402264003</v>
      </c>
      <c r="G104" s="469">
        <f t="shared" si="40"/>
        <v>249.14626023741684</v>
      </c>
      <c r="H104" s="469">
        <f t="shared" si="40"/>
        <v>441.22445633137875</v>
      </c>
      <c r="I104" s="470">
        <f t="shared" si="40"/>
        <v>406.84437414101535</v>
      </c>
      <c r="J104"/>
      <c r="K104"/>
      <c r="L104"/>
      <c r="M104"/>
      <c r="N104"/>
      <c r="O104"/>
    </row>
    <row r="105" spans="1:15" x14ac:dyDescent="0.2">
      <c r="A105" s="394" t="s">
        <v>530</v>
      </c>
      <c r="B105" s="418">
        <v>0.03</v>
      </c>
      <c r="C105" s="471">
        <f t="shared" ref="C105:I105" si="41">((C19+C49+C60+C80+C91+C95+C96)/(1-($B$103)))*$B$105</f>
        <v>150.82863376464323</v>
      </c>
      <c r="D105" s="471">
        <f t="shared" si="41"/>
        <v>135.01223948766338</v>
      </c>
      <c r="E105" s="471">
        <f t="shared" si="41"/>
        <v>116.03242660057536</v>
      </c>
      <c r="F105" s="471">
        <f t="shared" si="41"/>
        <v>104.16992238572108</v>
      </c>
      <c r="G105" s="471">
        <f t="shared" si="41"/>
        <v>80.804192509432482</v>
      </c>
      <c r="H105" s="471">
        <f t="shared" si="41"/>
        <v>143.09982367504173</v>
      </c>
      <c r="I105" s="472">
        <f t="shared" si="41"/>
        <v>131.94952674843742</v>
      </c>
      <c r="J105" s="473"/>
      <c r="K105"/>
      <c r="L105"/>
      <c r="M105"/>
      <c r="N105"/>
      <c r="O105"/>
    </row>
    <row r="106" spans="1:15" x14ac:dyDescent="0.2">
      <c r="A106" s="465" t="s">
        <v>533</v>
      </c>
      <c r="B106" s="466">
        <f>B107+B108</f>
        <v>0.1275</v>
      </c>
      <c r="C106" s="467">
        <f>((C19+C49+C60+C80+C91+C95+C96)/(1-($B$106)))*$B$106</f>
        <v>644.69517025331379</v>
      </c>
      <c r="D106" s="467">
        <f t="shared" ref="D106:I106" si="42">((D19+D49+D60+D80+D91+D95+D96)/(1-($B$106)))*$B$106</f>
        <v>577.0902815350197</v>
      </c>
      <c r="E106" s="467">
        <f t="shared" si="42"/>
        <v>495.96381771177153</v>
      </c>
      <c r="F106" s="467">
        <f t="shared" si="42"/>
        <v>445.25925993953985</v>
      </c>
      <c r="G106" s="467">
        <f t="shared" si="42"/>
        <v>345.38582858437223</v>
      </c>
      <c r="H106" s="467">
        <f t="shared" si="42"/>
        <v>611.65948987748857</v>
      </c>
      <c r="I106" s="467">
        <f t="shared" si="42"/>
        <v>563.99915910309892</v>
      </c>
      <c r="J106" s="473"/>
      <c r="K106"/>
      <c r="L106"/>
      <c r="M106"/>
      <c r="N106"/>
      <c r="O106"/>
    </row>
    <row r="107" spans="1:15" x14ac:dyDescent="0.2">
      <c r="A107" s="394" t="s">
        <v>529</v>
      </c>
      <c r="B107" s="418">
        <f>0.0165+0.076</f>
        <v>9.2499999999999999E-2</v>
      </c>
      <c r="C107" s="469">
        <f>((C19+C49+C60+C80+C91+C95+C96)/(1-($B$106)))*$B$107</f>
        <v>467.7200254778943</v>
      </c>
      <c r="D107" s="469">
        <f t="shared" ref="D107:I107" si="43">((D19+D49+D60+D80+D91+D95+D96)/(1-($B$106)))*$B$107</f>
        <v>418.67334150579853</v>
      </c>
      <c r="E107" s="469">
        <f t="shared" si="43"/>
        <v>359.81688735952054</v>
      </c>
      <c r="F107" s="469">
        <f t="shared" si="43"/>
        <v>323.03122779927401</v>
      </c>
      <c r="G107" s="469">
        <f t="shared" si="43"/>
        <v>250.57403250238769</v>
      </c>
      <c r="H107" s="469">
        <f t="shared" si="43"/>
        <v>443.75296324445247</v>
      </c>
      <c r="I107" s="469">
        <f t="shared" si="43"/>
        <v>409.17586052577758</v>
      </c>
      <c r="J107" s="473"/>
      <c r="K107"/>
      <c r="L107"/>
      <c r="M107"/>
      <c r="N107"/>
      <c r="O107"/>
    </row>
    <row r="108" spans="1:15" x14ac:dyDescent="0.2">
      <c r="A108" s="394" t="s">
        <v>530</v>
      </c>
      <c r="B108" s="418">
        <v>3.5000000000000003E-2</v>
      </c>
      <c r="C108" s="471">
        <f>((C19+C49+C60+C80+C91+C95+C96)/(1-($B$106)))*$B$108</f>
        <v>176.97514477541949</v>
      </c>
      <c r="D108" s="471">
        <f t="shared" ref="D108:I108" si="44">((D19+D49+D60+D80+D91+D95+D96)/(1-($B$106)))*$B$108</f>
        <v>158.41694002922108</v>
      </c>
      <c r="E108" s="471">
        <f t="shared" si="44"/>
        <v>136.14693035225102</v>
      </c>
      <c r="F108" s="471">
        <f t="shared" si="44"/>
        <v>122.22803214026585</v>
      </c>
      <c r="G108" s="471">
        <f t="shared" si="44"/>
        <v>94.811796081984539</v>
      </c>
      <c r="H108" s="471">
        <f t="shared" si="44"/>
        <v>167.90652663303609</v>
      </c>
      <c r="I108" s="471">
        <f t="shared" si="44"/>
        <v>154.82329857732128</v>
      </c>
      <c r="J108" s="473"/>
      <c r="K108"/>
      <c r="L108"/>
      <c r="M108"/>
      <c r="N108"/>
      <c r="O108"/>
    </row>
    <row r="109" spans="1:15" x14ac:dyDescent="0.2">
      <c r="A109" s="465" t="s">
        <v>534</v>
      </c>
      <c r="B109" s="466">
        <f>B110+B111</f>
        <v>0.13250000000000001</v>
      </c>
      <c r="C109" s="467">
        <f t="shared" ref="C109:I109" si="45">((C19+C49+C60+C80+C91+C95+C96)/(1-($B$109)))*$B$109</f>
        <v>673.83887462143571</v>
      </c>
      <c r="D109" s="467">
        <f t="shared" si="45"/>
        <v>603.17787972838676</v>
      </c>
      <c r="E109" s="467">
        <f t="shared" si="45"/>
        <v>518.38406149147545</v>
      </c>
      <c r="F109" s="467">
        <f t="shared" si="45"/>
        <v>465.38738379960836</v>
      </c>
      <c r="G109" s="467">
        <f t="shared" si="45"/>
        <v>360.99913382636237</v>
      </c>
      <c r="H109" s="467">
        <f t="shared" si="45"/>
        <v>639.30980303237322</v>
      </c>
      <c r="I109" s="468">
        <f t="shared" si="45"/>
        <v>589.49496784370365</v>
      </c>
      <c r="J109"/>
      <c r="K109"/>
      <c r="L109"/>
      <c r="M109"/>
      <c r="N109"/>
      <c r="O109"/>
    </row>
    <row r="110" spans="1:15" x14ac:dyDescent="0.2">
      <c r="A110" s="394" t="s">
        <v>529</v>
      </c>
      <c r="B110" s="418">
        <f>0.0165+0.076</f>
        <v>9.2499999999999999E-2</v>
      </c>
      <c r="C110" s="469">
        <f t="shared" ref="C110:I110" si="46">((C19+C49+C60+C80+C91+C95+C96)/(1-($B$109)))*$B$110</f>
        <v>470.41581813194563</v>
      </c>
      <c r="D110" s="469">
        <f t="shared" si="46"/>
        <v>421.08644433868506</v>
      </c>
      <c r="E110" s="469">
        <f t="shared" si="46"/>
        <v>361.89075990914318</v>
      </c>
      <c r="F110" s="469">
        <f t="shared" si="46"/>
        <v>324.89307925633034</v>
      </c>
      <c r="G110" s="469">
        <f t="shared" si="46"/>
        <v>252.01826323727181</v>
      </c>
      <c r="H110" s="469">
        <f t="shared" si="46"/>
        <v>446.31061721127935</v>
      </c>
      <c r="I110" s="470">
        <f t="shared" si="46"/>
        <v>411.53422283428364</v>
      </c>
      <c r="J110"/>
      <c r="K110"/>
      <c r="L110"/>
      <c r="M110"/>
      <c r="N110"/>
      <c r="O110"/>
    </row>
    <row r="111" spans="1:15" x14ac:dyDescent="0.2">
      <c r="A111" s="394" t="s">
        <v>530</v>
      </c>
      <c r="B111" s="418">
        <v>0.04</v>
      </c>
      <c r="C111" s="471">
        <f t="shared" ref="C111:I111" si="47">((C19+C49+C60+C80+C91+C95+C96)/(1-($B$109)))*$B$111</f>
        <v>203.42305648949002</v>
      </c>
      <c r="D111" s="471">
        <f t="shared" si="47"/>
        <v>182.09143538970167</v>
      </c>
      <c r="E111" s="471">
        <f t="shared" si="47"/>
        <v>156.49330158233218</v>
      </c>
      <c r="F111" s="471">
        <f t="shared" si="47"/>
        <v>140.49430454327799</v>
      </c>
      <c r="G111" s="471">
        <f t="shared" si="47"/>
        <v>108.98087058909051</v>
      </c>
      <c r="H111" s="471">
        <f t="shared" si="47"/>
        <v>192.99918582109379</v>
      </c>
      <c r="I111" s="472">
        <f t="shared" si="47"/>
        <v>177.96074500941995</v>
      </c>
      <c r="J111"/>
      <c r="K111"/>
      <c r="L111"/>
      <c r="M111"/>
      <c r="N111"/>
      <c r="O111"/>
    </row>
    <row r="112" spans="1:15" x14ac:dyDescent="0.2">
      <c r="A112" s="465" t="s">
        <v>535</v>
      </c>
      <c r="B112" s="466">
        <f>B113+B114</f>
        <v>0.14250000000000002</v>
      </c>
      <c r="C112" s="467">
        <f t="shared" ref="C112:I112" si="48">((C19+C49+C60+C80+C91+C95+C96)/(1-($B$112)))*$B$112</f>
        <v>733.14588817522292</v>
      </c>
      <c r="D112" s="467">
        <f t="shared" si="48"/>
        <v>656.26576176620074</v>
      </c>
      <c r="E112" s="467">
        <f t="shared" si="48"/>
        <v>564.00893075746148</v>
      </c>
      <c r="F112" s="467">
        <f t="shared" si="48"/>
        <v>506.34782244196356</v>
      </c>
      <c r="G112" s="467">
        <f t="shared" si="48"/>
        <v>392.77198239461035</v>
      </c>
      <c r="H112" s="467">
        <f t="shared" si="48"/>
        <v>695.57778723677382</v>
      </c>
      <c r="I112" s="468">
        <f t="shared" si="48"/>
        <v>641.37856697181439</v>
      </c>
      <c r="J112"/>
      <c r="K112"/>
      <c r="L112"/>
      <c r="M112"/>
      <c r="N112"/>
      <c r="O112"/>
    </row>
    <row r="113" spans="1:15" x14ac:dyDescent="0.2">
      <c r="A113" s="394" t="s">
        <v>529</v>
      </c>
      <c r="B113" s="418">
        <f>0.0165+0.076</f>
        <v>9.2499999999999999E-2</v>
      </c>
      <c r="C113" s="474">
        <f t="shared" ref="C113:I113" si="49">((C19+C49+C60+C80+C91+C95+C96)/(1-($B$112)))*$B$113</f>
        <v>475.90171688567096</v>
      </c>
      <c r="D113" s="474">
        <f t="shared" si="49"/>
        <v>425.99707342718284</v>
      </c>
      <c r="E113" s="474">
        <f t="shared" si="49"/>
        <v>366.11106031624689</v>
      </c>
      <c r="F113" s="474">
        <f t="shared" si="49"/>
        <v>328.6819198307482</v>
      </c>
      <c r="G113" s="474">
        <f t="shared" si="49"/>
        <v>254.95725172983475</v>
      </c>
      <c r="H113" s="474">
        <f t="shared" si="49"/>
        <v>451.51540575018646</v>
      </c>
      <c r="I113" s="475">
        <f t="shared" si="49"/>
        <v>416.33345575363381</v>
      </c>
      <c r="J113"/>
      <c r="K113"/>
      <c r="L113"/>
      <c r="M113"/>
      <c r="N113"/>
      <c r="O113"/>
    </row>
    <row r="114" spans="1:15" x14ac:dyDescent="0.2">
      <c r="A114" s="394" t="s">
        <v>530</v>
      </c>
      <c r="B114" s="476">
        <v>0.05</v>
      </c>
      <c r="C114" s="477">
        <f t="shared" ref="C114:I114" si="50">((C19+C49+C60+C80+C91+C95+C96)/(1-($B$112)))*$B$114</f>
        <v>257.2441712895519</v>
      </c>
      <c r="D114" s="477">
        <f t="shared" si="50"/>
        <v>230.26868833901779</v>
      </c>
      <c r="E114" s="477">
        <f t="shared" si="50"/>
        <v>197.89787044121454</v>
      </c>
      <c r="F114" s="477">
        <f t="shared" si="50"/>
        <v>177.66590261121527</v>
      </c>
      <c r="G114" s="477">
        <f t="shared" si="50"/>
        <v>137.81473066477554</v>
      </c>
      <c r="H114" s="477">
        <f t="shared" si="50"/>
        <v>244.06238148658727</v>
      </c>
      <c r="I114" s="478">
        <f t="shared" si="50"/>
        <v>225.04511121818047</v>
      </c>
      <c r="J114"/>
      <c r="K114"/>
      <c r="L114"/>
      <c r="M114"/>
      <c r="N114"/>
      <c r="O114"/>
    </row>
    <row r="115" spans="1:15" x14ac:dyDescent="0.2">
      <c r="A115" s="890" t="s">
        <v>536</v>
      </c>
      <c r="B115" s="479">
        <v>0.02</v>
      </c>
      <c r="C115" s="480">
        <f t="shared" ref="C115:I115" si="51">C95+C96+C97</f>
        <v>960.07166943478421</v>
      </c>
      <c r="D115" s="480">
        <f t="shared" si="51"/>
        <v>859.3953477117243</v>
      </c>
      <c r="E115" s="480">
        <f t="shared" si="51"/>
        <v>738.5828720613747</v>
      </c>
      <c r="F115" s="480">
        <f t="shared" si="51"/>
        <v>663.07430355571717</v>
      </c>
      <c r="G115" s="480">
        <f t="shared" si="51"/>
        <v>514.34408748218789</v>
      </c>
      <c r="H115" s="480">
        <f t="shared" si="51"/>
        <v>910.87536353277096</v>
      </c>
      <c r="I115" s="481">
        <f t="shared" si="51"/>
        <v>839.9002183111877</v>
      </c>
      <c r="J115"/>
      <c r="K115"/>
      <c r="L115"/>
      <c r="M115"/>
      <c r="N115"/>
      <c r="O115"/>
    </row>
    <row r="116" spans="1:15" x14ac:dyDescent="0.2">
      <c r="A116" s="890"/>
      <c r="B116" s="482">
        <v>2.5000000000000001E-2</v>
      </c>
      <c r="C116" s="483">
        <f t="shared" ref="C116:I116" si="52">C95+C96+C100</f>
        <v>988.23581602611512</v>
      </c>
      <c r="D116" s="483">
        <f t="shared" si="52"/>
        <v>884.606107828321</v>
      </c>
      <c r="E116" s="483">
        <f t="shared" si="52"/>
        <v>760.24954231197091</v>
      </c>
      <c r="F116" s="483">
        <f t="shared" si="52"/>
        <v>682.52589501584453</v>
      </c>
      <c r="G116" s="483">
        <f t="shared" si="52"/>
        <v>529.43260924511105</v>
      </c>
      <c r="H116" s="483">
        <f t="shared" si="52"/>
        <v>937.59631373024126</v>
      </c>
      <c r="I116" s="484">
        <f t="shared" si="52"/>
        <v>864.53907978757456</v>
      </c>
      <c r="J116"/>
      <c r="K116"/>
      <c r="L116"/>
      <c r="M116"/>
      <c r="N116"/>
      <c r="O116"/>
    </row>
    <row r="117" spans="1:15" ht="15.75" customHeight="1" x14ac:dyDescent="0.2">
      <c r="A117" s="890"/>
      <c r="B117" s="482">
        <v>0.03</v>
      </c>
      <c r="C117" s="483">
        <f t="shared" ref="C117:I117" si="53">C95+C96+C103</f>
        <v>1016.72092155296</v>
      </c>
      <c r="D117" s="483">
        <f t="shared" si="53"/>
        <v>910.10417005450859</v>
      </c>
      <c r="E117" s="483">
        <f t="shared" si="53"/>
        <v>782.16312618365657</v>
      </c>
      <c r="F117" s="483">
        <f t="shared" si="53"/>
        <v>702.19915703392235</v>
      </c>
      <c r="G117" s="483">
        <f t="shared" si="53"/>
        <v>544.69307997399346</v>
      </c>
      <c r="H117" s="483">
        <f t="shared" si="53"/>
        <v>964.62177618067403</v>
      </c>
      <c r="I117" s="484">
        <f t="shared" si="53"/>
        <v>889.45872601013127</v>
      </c>
      <c r="J117" s="473"/>
      <c r="K117"/>
      <c r="L117"/>
      <c r="M117"/>
      <c r="N117"/>
      <c r="O117"/>
    </row>
    <row r="118" spans="1:15" ht="15.75" customHeight="1" x14ac:dyDescent="0.2">
      <c r="A118" s="890"/>
      <c r="B118" s="659">
        <v>3.5000000000000003E-2</v>
      </c>
      <c r="C118" s="483">
        <f>C95+C96+C106</f>
        <v>1045.5325039339805</v>
      </c>
      <c r="D118" s="483">
        <f t="shared" ref="D118:I118" si="54">D95+D96+D106</f>
        <v>935.89447368156948</v>
      </c>
      <c r="E118" s="483">
        <f t="shared" si="54"/>
        <v>804.32786860974534</v>
      </c>
      <c r="F118" s="483">
        <f t="shared" si="54"/>
        <v>722.0979005651011</v>
      </c>
      <c r="G118" s="483">
        <f t="shared" si="54"/>
        <v>560.12845581151646</v>
      </c>
      <c r="H118" s="483">
        <f t="shared" si="54"/>
        <v>991.95698605174221</v>
      </c>
      <c r="I118" s="483">
        <f t="shared" si="54"/>
        <v>914.66398422377745</v>
      </c>
      <c r="J118" s="473"/>
      <c r="K118"/>
      <c r="L118"/>
      <c r="M118"/>
      <c r="N118"/>
      <c r="O118"/>
    </row>
    <row r="119" spans="1:15" ht="15.75" customHeight="1" x14ac:dyDescent="0.2">
      <c r="A119" s="890"/>
      <c r="B119" s="482">
        <v>0.04</v>
      </c>
      <c r="C119" s="483">
        <f t="shared" ref="C119:I119" si="55">C95+C96+C109</f>
        <v>1074.6762083021026</v>
      </c>
      <c r="D119" s="483">
        <f t="shared" si="55"/>
        <v>961.98207187493654</v>
      </c>
      <c r="E119" s="483">
        <f t="shared" si="55"/>
        <v>826.74811238944926</v>
      </c>
      <c r="F119" s="483">
        <f t="shared" si="55"/>
        <v>742.2260244251695</v>
      </c>
      <c r="G119" s="483">
        <f t="shared" si="55"/>
        <v>575.74176105350648</v>
      </c>
      <c r="H119" s="483">
        <f t="shared" si="55"/>
        <v>1019.6072992066267</v>
      </c>
      <c r="I119" s="484">
        <f t="shared" si="55"/>
        <v>940.15979296438218</v>
      </c>
      <c r="J119"/>
      <c r="K119"/>
      <c r="L119"/>
      <c r="M119"/>
      <c r="N119"/>
      <c r="O119"/>
    </row>
    <row r="120" spans="1:15" ht="15.75" customHeight="1" x14ac:dyDescent="0.2">
      <c r="A120" s="890"/>
      <c r="B120" s="485">
        <v>0.05</v>
      </c>
      <c r="C120" s="486">
        <f t="shared" ref="C120:I120" si="56">C95+C96+C112</f>
        <v>1133.9832218558897</v>
      </c>
      <c r="D120" s="486">
        <f t="shared" si="56"/>
        <v>1015.0699539127505</v>
      </c>
      <c r="E120" s="486">
        <f t="shared" si="56"/>
        <v>872.3729816554353</v>
      </c>
      <c r="F120" s="486">
        <f t="shared" si="56"/>
        <v>783.18646306752476</v>
      </c>
      <c r="G120" s="486">
        <f t="shared" si="56"/>
        <v>607.51460962175452</v>
      </c>
      <c r="H120" s="486">
        <f t="shared" si="56"/>
        <v>1075.8752834110273</v>
      </c>
      <c r="I120" s="487">
        <f t="shared" si="56"/>
        <v>992.04339209249292</v>
      </c>
      <c r="J120"/>
      <c r="K120"/>
      <c r="L120"/>
      <c r="M120"/>
      <c r="N120"/>
      <c r="O120"/>
    </row>
    <row r="121" spans="1:15" ht="15.75" customHeight="1" x14ac:dyDescent="0.2">
      <c r="A121" s="394" t="s">
        <v>537</v>
      </c>
      <c r="B121" s="488"/>
      <c r="C121" s="489"/>
      <c r="D121" s="489"/>
      <c r="E121" s="489"/>
      <c r="F121" s="489"/>
      <c r="G121" s="489"/>
      <c r="H121" s="490"/>
      <c r="I121" s="491"/>
      <c r="J121"/>
      <c r="K121"/>
      <c r="L121"/>
      <c r="M121"/>
      <c r="N121"/>
      <c r="O121"/>
    </row>
    <row r="122" spans="1:15" ht="24.75" customHeight="1" x14ac:dyDescent="0.2">
      <c r="A122" s="492"/>
      <c r="B122" s="493"/>
      <c r="C122" s="494"/>
      <c r="D122" s="494"/>
      <c r="E122" s="494"/>
      <c r="F122" s="494"/>
      <c r="G122" s="494"/>
      <c r="H122" s="495"/>
      <c r="I122" s="496"/>
      <c r="J122"/>
      <c r="K122"/>
      <c r="L122"/>
      <c r="M122"/>
      <c r="N122"/>
      <c r="O122"/>
    </row>
    <row r="123" spans="1:15" ht="15.75" customHeight="1" x14ac:dyDescent="0.2">
      <c r="A123" s="891"/>
      <c r="B123" s="891"/>
      <c r="C123" s="891"/>
      <c r="D123" s="891"/>
      <c r="E123" s="891"/>
      <c r="F123" s="891"/>
      <c r="G123" s="891"/>
      <c r="H123" s="891"/>
      <c r="I123" s="891"/>
      <c r="J123"/>
      <c r="K123"/>
      <c r="L123"/>
      <c r="M123"/>
      <c r="N123"/>
      <c r="O123"/>
    </row>
    <row r="124" spans="1:15" ht="15.75" customHeight="1" x14ac:dyDescent="0.2">
      <c r="A124" s="892"/>
      <c r="B124" s="892"/>
      <c r="C124" s="892"/>
      <c r="D124" s="892"/>
      <c r="E124" s="892"/>
      <c r="F124" s="892"/>
      <c r="G124" s="892"/>
      <c r="H124" s="892"/>
      <c r="I124" s="892"/>
      <c r="J124"/>
      <c r="K124"/>
      <c r="L124"/>
      <c r="M124"/>
      <c r="N124"/>
      <c r="O124"/>
    </row>
    <row r="125" spans="1:15" ht="54.75" customHeight="1" x14ac:dyDescent="0.2">
      <c r="A125" s="893" t="s">
        <v>538</v>
      </c>
      <c r="B125" s="893"/>
      <c r="C125" s="497" t="str">
        <f t="shared" ref="C125:I125" si="57">C10</f>
        <v>Servente 40h (banheirista)
(insalubridade 40%)</v>
      </c>
      <c r="D125" s="497" t="str">
        <f t="shared" si="57"/>
        <v>Servente 40h
(insalubridade 20%)</v>
      </c>
      <c r="E125" s="497" t="str">
        <f t="shared" si="57"/>
        <v>Servente 30h (banheirista)
(insalubridade 40%)</v>
      </c>
      <c r="F125" s="497" t="str">
        <f t="shared" si="57"/>
        <v>Servente 30h
(insalubridade 20%)</v>
      </c>
      <c r="G125" s="497" t="str">
        <f t="shared" si="57"/>
        <v>Servente 20h
(insalubridade 20%)</v>
      </c>
      <c r="H125" s="498" t="str">
        <f t="shared" si="57"/>
        <v>Limpador alpinista 44h (limpeza de esquadrias com risco)</v>
      </c>
      <c r="I125" s="499" t="str">
        <f t="shared" si="57"/>
        <v>Encarregada 40h</v>
      </c>
      <c r="J125"/>
      <c r="K125"/>
      <c r="L125"/>
      <c r="M125"/>
      <c r="N125"/>
      <c r="O125"/>
    </row>
    <row r="126" spans="1:15" ht="15.75" customHeight="1" x14ac:dyDescent="0.2">
      <c r="A126" s="894" t="s">
        <v>539</v>
      </c>
      <c r="B126" s="894"/>
      <c r="C126" s="500" t="s">
        <v>465</v>
      </c>
      <c r="D126" s="500" t="s">
        <v>465</v>
      </c>
      <c r="E126" s="500" t="s">
        <v>465</v>
      </c>
      <c r="F126" s="500" t="s">
        <v>465</v>
      </c>
      <c r="G126" s="500" t="s">
        <v>465</v>
      </c>
      <c r="H126" s="500" t="s">
        <v>465</v>
      </c>
      <c r="I126" s="501" t="s">
        <v>465</v>
      </c>
      <c r="J126"/>
      <c r="K126"/>
      <c r="L126"/>
      <c r="M126"/>
      <c r="N126"/>
      <c r="O126"/>
    </row>
    <row r="127" spans="1:15" ht="14.25" customHeight="1" x14ac:dyDescent="0.2">
      <c r="A127" s="895" t="s">
        <v>540</v>
      </c>
      <c r="B127" s="895"/>
      <c r="C127" s="502">
        <f t="shared" ref="C127:I127" si="58">C19</f>
        <v>1672.4781818181816</v>
      </c>
      <c r="D127" s="502">
        <f t="shared" si="58"/>
        <v>1433.5527272727272</v>
      </c>
      <c r="E127" s="502">
        <f t="shared" si="58"/>
        <v>1254.3586363636364</v>
      </c>
      <c r="F127" s="502">
        <f t="shared" si="58"/>
        <v>1075.1645454545453</v>
      </c>
      <c r="G127" s="502">
        <f t="shared" si="58"/>
        <v>716.77636363636361</v>
      </c>
      <c r="H127" s="502">
        <f t="shared" si="58"/>
        <v>1669.75</v>
      </c>
      <c r="I127" s="503">
        <f t="shared" si="58"/>
        <v>1673.9117345454545</v>
      </c>
      <c r="J127"/>
      <c r="K127"/>
      <c r="L127"/>
      <c r="M127"/>
      <c r="N127"/>
      <c r="O127"/>
    </row>
    <row r="128" spans="1:15" ht="14.25" customHeight="1" x14ac:dyDescent="0.2">
      <c r="A128" s="874" t="s">
        <v>541</v>
      </c>
      <c r="B128" s="874"/>
      <c r="C128" s="504">
        <f t="shared" ref="C128:I128" si="59">C49</f>
        <v>1332.6677272727272</v>
      </c>
      <c r="D128" s="504">
        <f t="shared" si="59"/>
        <v>1208.4509090909091</v>
      </c>
      <c r="E128" s="504">
        <f t="shared" si="59"/>
        <v>953.37329545454554</v>
      </c>
      <c r="F128" s="504">
        <f t="shared" si="59"/>
        <v>860.2056818181818</v>
      </c>
      <c r="G128" s="504">
        <f t="shared" si="59"/>
        <v>691.72045454545446</v>
      </c>
      <c r="H128" s="504">
        <f t="shared" si="59"/>
        <v>1302.7519444444445</v>
      </c>
      <c r="I128" s="505">
        <f t="shared" si="59"/>
        <v>1304.6675481818181</v>
      </c>
      <c r="J128"/>
      <c r="K128"/>
      <c r="L128"/>
      <c r="M128"/>
      <c r="N128"/>
      <c r="O128"/>
    </row>
    <row r="129" spans="1:15" ht="14.25" customHeight="1" x14ac:dyDescent="0.2">
      <c r="A129" s="874" t="s">
        <v>542</v>
      </c>
      <c r="B129" s="874"/>
      <c r="C129" s="504">
        <f t="shared" ref="C129:I129" si="60">C60</f>
        <v>109.54732090909087</v>
      </c>
      <c r="D129" s="504">
        <f t="shared" si="60"/>
        <v>93.897703636363616</v>
      </c>
      <c r="E129" s="504">
        <f t="shared" si="60"/>
        <v>82.160490681818175</v>
      </c>
      <c r="F129" s="504">
        <f t="shared" si="60"/>
        <v>70.423277727272705</v>
      </c>
      <c r="G129" s="504">
        <f t="shared" si="60"/>
        <v>46.948851818181808</v>
      </c>
      <c r="H129" s="504">
        <f t="shared" si="60"/>
        <v>109.36862499999998</v>
      </c>
      <c r="I129" s="505">
        <f t="shared" si="60"/>
        <v>109.64121861272724</v>
      </c>
      <c r="J129"/>
      <c r="K129"/>
      <c r="L129"/>
      <c r="M129"/>
      <c r="N129"/>
      <c r="O129"/>
    </row>
    <row r="130" spans="1:15" ht="14.25" customHeight="1" x14ac:dyDescent="0.2">
      <c r="A130" s="874" t="s">
        <v>543</v>
      </c>
      <c r="B130" s="874"/>
      <c r="C130" s="504">
        <f t="shared" ref="C130:H130" si="61">C80</f>
        <v>338.89852601848031</v>
      </c>
      <c r="D130" s="504">
        <f t="shared" si="61"/>
        <v>297.09402495093832</v>
      </c>
      <c r="E130" s="504">
        <f t="shared" si="61"/>
        <v>249.60355675218875</v>
      </c>
      <c r="F130" s="504">
        <f t="shared" si="61"/>
        <v>218.24963624011414</v>
      </c>
      <c r="G130" s="504">
        <f t="shared" si="61"/>
        <v>157.32046909042333</v>
      </c>
      <c r="H130" s="504">
        <f t="shared" si="61"/>
        <v>335.58107687627319</v>
      </c>
      <c r="I130" s="505">
        <f>I69</f>
        <v>307.78108391931568</v>
      </c>
      <c r="J130"/>
      <c r="K130"/>
      <c r="L130"/>
      <c r="M130"/>
      <c r="N130"/>
      <c r="O130"/>
    </row>
    <row r="131" spans="1:15" ht="15.75" customHeight="1" x14ac:dyDescent="0.2">
      <c r="A131" s="874" t="s">
        <v>544</v>
      </c>
      <c r="B131" s="874"/>
      <c r="C131" s="504">
        <f t="shared" ref="C131:I131" si="62">C91</f>
        <v>557.30844791666664</v>
      </c>
      <c r="D131" s="504">
        <f t="shared" si="62"/>
        <v>557.30844791666664</v>
      </c>
      <c r="E131" s="504">
        <f t="shared" si="62"/>
        <v>546.08844791666672</v>
      </c>
      <c r="F131" s="504">
        <f t="shared" si="62"/>
        <v>546.08844791666672</v>
      </c>
      <c r="G131" s="504">
        <f t="shared" si="62"/>
        <v>536.01386458333332</v>
      </c>
      <c r="H131" s="504">
        <f t="shared" si="62"/>
        <v>387.92070000000001</v>
      </c>
      <c r="I131" s="505">
        <f t="shared" si="62"/>
        <v>84.353749999999991</v>
      </c>
      <c r="J131"/>
      <c r="K131"/>
      <c r="L131"/>
      <c r="M131"/>
      <c r="N131"/>
      <c r="O131"/>
    </row>
    <row r="132" spans="1:15" ht="15.75" customHeight="1" x14ac:dyDescent="0.2">
      <c r="A132" s="896" t="s">
        <v>545</v>
      </c>
      <c r="B132" s="896"/>
      <c r="C132" s="506">
        <f t="shared" ref="C132:I132" si="63">SUM(C127:C131)</f>
        <v>4010.9002039351471</v>
      </c>
      <c r="D132" s="506">
        <f t="shared" si="63"/>
        <v>3590.3038128676044</v>
      </c>
      <c r="E132" s="506">
        <f t="shared" si="63"/>
        <v>3085.5844271688552</v>
      </c>
      <c r="F132" s="506">
        <f t="shared" si="63"/>
        <v>2770.1315891567806</v>
      </c>
      <c r="G132" s="506">
        <f t="shared" si="63"/>
        <v>2148.7800036737563</v>
      </c>
      <c r="H132" s="507">
        <f t="shared" si="63"/>
        <v>3805.3723463207175</v>
      </c>
      <c r="I132" s="508">
        <f t="shared" si="63"/>
        <v>3480.3553352593153</v>
      </c>
      <c r="J132"/>
      <c r="K132"/>
      <c r="L132"/>
      <c r="M132"/>
      <c r="N132"/>
      <c r="O132"/>
    </row>
    <row r="133" spans="1:15" ht="15.75" customHeight="1" x14ac:dyDescent="0.2">
      <c r="A133" s="877" t="s">
        <v>546</v>
      </c>
      <c r="B133" s="877"/>
      <c r="C133" s="509">
        <f t="shared" ref="C133:I135" si="64">C115</f>
        <v>960.07166943478421</v>
      </c>
      <c r="D133" s="509">
        <f t="shared" si="64"/>
        <v>859.3953477117243</v>
      </c>
      <c r="E133" s="509">
        <f t="shared" si="64"/>
        <v>738.5828720613747</v>
      </c>
      <c r="F133" s="509">
        <f t="shared" si="64"/>
        <v>663.07430355571717</v>
      </c>
      <c r="G133" s="509">
        <f t="shared" si="64"/>
        <v>514.34408748218789</v>
      </c>
      <c r="H133" s="509">
        <f t="shared" si="64"/>
        <v>910.87536353277096</v>
      </c>
      <c r="I133" s="510">
        <f t="shared" si="64"/>
        <v>839.9002183111877</v>
      </c>
      <c r="J133"/>
      <c r="K133"/>
      <c r="L133"/>
      <c r="M133"/>
      <c r="N133"/>
      <c r="O133"/>
    </row>
    <row r="134" spans="1:15" ht="15.75" customHeight="1" x14ac:dyDescent="0.2">
      <c r="A134" s="874" t="s">
        <v>547</v>
      </c>
      <c r="B134" s="874"/>
      <c r="C134" s="511">
        <f t="shared" si="64"/>
        <v>988.23581602611512</v>
      </c>
      <c r="D134" s="511">
        <f t="shared" si="64"/>
        <v>884.606107828321</v>
      </c>
      <c r="E134" s="511">
        <f t="shared" si="64"/>
        <v>760.24954231197091</v>
      </c>
      <c r="F134" s="511">
        <f t="shared" si="64"/>
        <v>682.52589501584453</v>
      </c>
      <c r="G134" s="511">
        <f t="shared" si="64"/>
        <v>529.43260924511105</v>
      </c>
      <c r="H134" s="511">
        <f t="shared" si="64"/>
        <v>937.59631373024126</v>
      </c>
      <c r="I134" s="512">
        <f t="shared" si="64"/>
        <v>864.53907978757456</v>
      </c>
      <c r="J134"/>
      <c r="K134"/>
      <c r="L134"/>
      <c r="M134"/>
      <c r="N134"/>
      <c r="O134"/>
    </row>
    <row r="135" spans="1:15" ht="15.75" customHeight="1" x14ac:dyDescent="0.2">
      <c r="A135" s="874" t="s">
        <v>548</v>
      </c>
      <c r="B135" s="874"/>
      <c r="C135" s="511">
        <f t="shared" si="64"/>
        <v>1016.72092155296</v>
      </c>
      <c r="D135" s="511">
        <f t="shared" si="64"/>
        <v>910.10417005450859</v>
      </c>
      <c r="E135" s="511">
        <f t="shared" si="64"/>
        <v>782.16312618365657</v>
      </c>
      <c r="F135" s="511">
        <f t="shared" si="64"/>
        <v>702.19915703392235</v>
      </c>
      <c r="G135" s="511">
        <f t="shared" si="64"/>
        <v>544.69307997399346</v>
      </c>
      <c r="H135" s="511">
        <f t="shared" si="64"/>
        <v>964.62177618067403</v>
      </c>
      <c r="I135" s="512">
        <f t="shared" si="64"/>
        <v>889.45872601013127</v>
      </c>
      <c r="J135"/>
      <c r="K135"/>
      <c r="L135"/>
      <c r="M135"/>
      <c r="N135"/>
      <c r="O135"/>
    </row>
    <row r="136" spans="1:15" ht="15.75" customHeight="1" x14ac:dyDescent="0.2">
      <c r="A136" s="874" t="s">
        <v>549</v>
      </c>
      <c r="B136" s="874"/>
      <c r="C136" s="511">
        <f>C118</f>
        <v>1045.5325039339805</v>
      </c>
      <c r="D136" s="511">
        <f t="shared" ref="D136:I136" si="65">D118</f>
        <v>935.89447368156948</v>
      </c>
      <c r="E136" s="511">
        <f t="shared" si="65"/>
        <v>804.32786860974534</v>
      </c>
      <c r="F136" s="511">
        <f t="shared" si="65"/>
        <v>722.0979005651011</v>
      </c>
      <c r="G136" s="511">
        <f t="shared" si="65"/>
        <v>560.12845581151646</v>
      </c>
      <c r="H136" s="511">
        <f t="shared" si="65"/>
        <v>991.95698605174221</v>
      </c>
      <c r="I136" s="511">
        <f t="shared" si="65"/>
        <v>914.66398422377745</v>
      </c>
      <c r="J136"/>
      <c r="K136"/>
      <c r="L136"/>
      <c r="M136"/>
      <c r="N136"/>
      <c r="O136"/>
    </row>
    <row r="137" spans="1:15" ht="15.75" customHeight="1" x14ac:dyDescent="0.2">
      <c r="A137" s="874" t="s">
        <v>550</v>
      </c>
      <c r="B137" s="874"/>
      <c r="C137" s="511">
        <f>C119</f>
        <v>1074.6762083021026</v>
      </c>
      <c r="D137" s="511">
        <f t="shared" ref="D137:I138" si="66">D119</f>
        <v>961.98207187493654</v>
      </c>
      <c r="E137" s="511">
        <f t="shared" si="66"/>
        <v>826.74811238944926</v>
      </c>
      <c r="F137" s="511">
        <f t="shared" si="66"/>
        <v>742.2260244251695</v>
      </c>
      <c r="G137" s="511">
        <f t="shared" si="66"/>
        <v>575.74176105350648</v>
      </c>
      <c r="H137" s="511">
        <f t="shared" si="66"/>
        <v>1019.6072992066267</v>
      </c>
      <c r="I137" s="512">
        <f t="shared" si="66"/>
        <v>940.15979296438218</v>
      </c>
      <c r="J137"/>
      <c r="K137"/>
      <c r="L137"/>
      <c r="M137"/>
      <c r="N137"/>
      <c r="O137"/>
    </row>
    <row r="138" spans="1:15" ht="15.75" customHeight="1" x14ac:dyDescent="0.2">
      <c r="A138" s="877" t="s">
        <v>551</v>
      </c>
      <c r="B138" s="877"/>
      <c r="C138" s="511">
        <f>C120</f>
        <v>1133.9832218558897</v>
      </c>
      <c r="D138" s="511">
        <f t="shared" si="66"/>
        <v>1015.0699539127505</v>
      </c>
      <c r="E138" s="511">
        <f t="shared" si="66"/>
        <v>872.3729816554353</v>
      </c>
      <c r="F138" s="511">
        <f t="shared" si="66"/>
        <v>783.18646306752476</v>
      </c>
      <c r="G138" s="511">
        <f t="shared" si="66"/>
        <v>607.51460962175452</v>
      </c>
      <c r="H138" s="511">
        <f t="shared" si="66"/>
        <v>1075.8752834110273</v>
      </c>
      <c r="I138" s="512">
        <f t="shared" si="66"/>
        <v>992.04339209249292</v>
      </c>
      <c r="J138"/>
      <c r="K138"/>
      <c r="L138"/>
      <c r="M138"/>
      <c r="N138"/>
      <c r="O138"/>
    </row>
    <row r="139" spans="1:15" ht="15.75" customHeight="1" x14ac:dyDescent="0.2">
      <c r="A139" s="513" t="s">
        <v>552</v>
      </c>
      <c r="B139" s="514"/>
      <c r="C139" s="515">
        <f t="shared" ref="C139:I139" si="67">C132+C133</f>
        <v>4970.971873369931</v>
      </c>
      <c r="D139" s="515">
        <f t="shared" si="67"/>
        <v>4449.6991605793282</v>
      </c>
      <c r="E139" s="515">
        <f t="shared" si="67"/>
        <v>3824.1672992302301</v>
      </c>
      <c r="F139" s="515">
        <f t="shared" si="67"/>
        <v>3433.2058927124976</v>
      </c>
      <c r="G139" s="515">
        <f t="shared" si="67"/>
        <v>2663.1240911559444</v>
      </c>
      <c r="H139" s="515">
        <f t="shared" si="67"/>
        <v>4716.2477098534882</v>
      </c>
      <c r="I139" s="516">
        <f t="shared" si="67"/>
        <v>4320.2555535705033</v>
      </c>
      <c r="J139"/>
      <c r="K139"/>
      <c r="L139"/>
      <c r="M139"/>
      <c r="N139"/>
      <c r="O139"/>
    </row>
    <row r="140" spans="1:15" ht="15.75" customHeight="1" x14ac:dyDescent="0.2">
      <c r="A140" s="517" t="s">
        <v>553</v>
      </c>
      <c r="B140" s="518"/>
      <c r="C140" s="519">
        <f t="shared" ref="C140:I140" si="68">C132+C134</f>
        <v>4999.1360199612627</v>
      </c>
      <c r="D140" s="519">
        <f t="shared" si="68"/>
        <v>4474.9099206959254</v>
      </c>
      <c r="E140" s="519">
        <f t="shared" si="68"/>
        <v>3845.833969480826</v>
      </c>
      <c r="F140" s="519">
        <f t="shared" si="68"/>
        <v>3452.6574841726251</v>
      </c>
      <c r="G140" s="519">
        <f t="shared" si="68"/>
        <v>2678.2126129188673</v>
      </c>
      <c r="H140" s="519">
        <f t="shared" si="68"/>
        <v>4742.9686600509585</v>
      </c>
      <c r="I140" s="520">
        <f t="shared" si="68"/>
        <v>4344.8944150468897</v>
      </c>
      <c r="J140"/>
      <c r="K140"/>
      <c r="L140"/>
      <c r="M140"/>
      <c r="N140"/>
      <c r="O140"/>
    </row>
    <row r="141" spans="1:15" ht="15.75" customHeight="1" x14ac:dyDescent="0.2">
      <c r="A141" s="517" t="s">
        <v>554</v>
      </c>
      <c r="B141" s="518"/>
      <c r="C141" s="519">
        <f t="shared" ref="C141:I141" si="69">C132+C135</f>
        <v>5027.6211254881073</v>
      </c>
      <c r="D141" s="519">
        <f t="shared" si="69"/>
        <v>4500.4079829221128</v>
      </c>
      <c r="E141" s="519">
        <f t="shared" si="69"/>
        <v>3867.7475533525117</v>
      </c>
      <c r="F141" s="519">
        <f t="shared" si="69"/>
        <v>3472.3307461907029</v>
      </c>
      <c r="G141" s="519">
        <f t="shared" si="69"/>
        <v>2693.4730836477497</v>
      </c>
      <c r="H141" s="519">
        <f t="shared" si="69"/>
        <v>4769.9941225013918</v>
      </c>
      <c r="I141" s="520">
        <f t="shared" si="69"/>
        <v>4369.8140612694469</v>
      </c>
      <c r="J141"/>
      <c r="K141"/>
      <c r="L141"/>
      <c r="M141"/>
      <c r="N141"/>
      <c r="O141"/>
    </row>
    <row r="142" spans="1:15" ht="15.75" customHeight="1" x14ac:dyDescent="0.2">
      <c r="A142" s="517" t="s">
        <v>555</v>
      </c>
      <c r="B142" s="518"/>
      <c r="C142" s="519">
        <f>C132+C136</f>
        <v>5056.4327078691276</v>
      </c>
      <c r="D142" s="519">
        <f t="shared" ref="D142:I142" si="70">D132+D136</f>
        <v>4526.1982865491736</v>
      </c>
      <c r="E142" s="519">
        <f t="shared" si="70"/>
        <v>3889.9122957786003</v>
      </c>
      <c r="F142" s="519">
        <f t="shared" si="70"/>
        <v>3492.2294897218817</v>
      </c>
      <c r="G142" s="519">
        <f t="shared" si="70"/>
        <v>2708.9084594852729</v>
      </c>
      <c r="H142" s="519">
        <f t="shared" si="70"/>
        <v>4797.3293323724592</v>
      </c>
      <c r="I142" s="519">
        <f t="shared" si="70"/>
        <v>4395.0193194830927</v>
      </c>
      <c r="J142"/>
      <c r="K142"/>
      <c r="L142"/>
      <c r="M142"/>
      <c r="N142"/>
      <c r="O142"/>
    </row>
    <row r="143" spans="1:15" ht="15.75" customHeight="1" x14ac:dyDescent="0.2">
      <c r="A143" s="517" t="s">
        <v>556</v>
      </c>
      <c r="B143" s="518"/>
      <c r="C143" s="519">
        <f t="shared" ref="C143:I143" si="71">C132+C137</f>
        <v>5085.5764122372493</v>
      </c>
      <c r="D143" s="519">
        <f t="shared" si="71"/>
        <v>4552.2858847425414</v>
      </c>
      <c r="E143" s="519">
        <f t="shared" si="71"/>
        <v>3912.3325395583042</v>
      </c>
      <c r="F143" s="519">
        <f t="shared" si="71"/>
        <v>3512.3576135819503</v>
      </c>
      <c r="G143" s="519">
        <f t="shared" si="71"/>
        <v>2724.521764727263</v>
      </c>
      <c r="H143" s="519">
        <f t="shared" si="71"/>
        <v>4824.9796455273445</v>
      </c>
      <c r="I143" s="520">
        <f t="shared" si="71"/>
        <v>4420.5151282236975</v>
      </c>
      <c r="J143"/>
      <c r="K143"/>
      <c r="L143"/>
      <c r="M143"/>
      <c r="N143"/>
      <c r="O143"/>
    </row>
    <row r="144" spans="1:15" ht="15.75" customHeight="1" x14ac:dyDescent="0.2">
      <c r="A144" s="517" t="s">
        <v>557</v>
      </c>
      <c r="B144" s="518"/>
      <c r="C144" s="519">
        <f t="shared" ref="C144:I144" si="72">C132+C138</f>
        <v>5144.8834257910366</v>
      </c>
      <c r="D144" s="519">
        <f t="shared" si="72"/>
        <v>4605.3737667803553</v>
      </c>
      <c r="E144" s="519">
        <f t="shared" si="72"/>
        <v>3957.9574088242907</v>
      </c>
      <c r="F144" s="519">
        <f t="shared" si="72"/>
        <v>3553.3180522243056</v>
      </c>
      <c r="G144" s="519">
        <f t="shared" si="72"/>
        <v>2756.2946132955108</v>
      </c>
      <c r="H144" s="519">
        <f t="shared" si="72"/>
        <v>4881.2476297317444</v>
      </c>
      <c r="I144" s="520">
        <f t="shared" si="72"/>
        <v>4472.3987273518087</v>
      </c>
      <c r="J144"/>
      <c r="K144"/>
      <c r="L144"/>
      <c r="M144"/>
      <c r="N144"/>
      <c r="O144"/>
    </row>
    <row r="145" spans="1:17 1025:1026" ht="15.75" customHeight="1" x14ac:dyDescent="0.2">
      <c r="A145" s="521" t="s">
        <v>558</v>
      </c>
      <c r="B145" s="522"/>
      <c r="C145" s="523">
        <f t="shared" ref="C145:C150" si="73">C139/200</f>
        <v>24.854859366849656</v>
      </c>
      <c r="D145" s="523"/>
      <c r="E145" s="523"/>
      <c r="F145" s="523"/>
      <c r="G145" s="523"/>
      <c r="H145" s="524"/>
      <c r="I145" s="525"/>
      <c r="J145"/>
      <c r="K145"/>
      <c r="L145"/>
      <c r="M145"/>
      <c r="N145"/>
      <c r="O145"/>
    </row>
    <row r="146" spans="1:17 1025:1026" ht="15.75" customHeight="1" x14ac:dyDescent="0.2">
      <c r="A146" s="526" t="s">
        <v>559</v>
      </c>
      <c r="B146" s="527"/>
      <c r="C146" s="528">
        <f t="shared" si="73"/>
        <v>24.995680099806314</v>
      </c>
      <c r="D146" s="528"/>
      <c r="E146" s="528"/>
      <c r="F146" s="528"/>
      <c r="G146" s="528"/>
      <c r="H146" s="529"/>
      <c r="I146" s="530"/>
      <c r="J146"/>
      <c r="K146"/>
      <c r="L146"/>
      <c r="M146"/>
      <c r="N146"/>
      <c r="O146"/>
    </row>
    <row r="147" spans="1:17 1025:1026" ht="15.75" customHeight="1" x14ac:dyDescent="0.2">
      <c r="A147" s="526" t="s">
        <v>560</v>
      </c>
      <c r="B147" s="527"/>
      <c r="C147" s="528">
        <f t="shared" si="73"/>
        <v>25.138105627440538</v>
      </c>
      <c r="D147" s="528"/>
      <c r="E147" s="528"/>
      <c r="F147" s="528"/>
      <c r="G147" s="528"/>
      <c r="H147" s="529"/>
      <c r="I147" s="530"/>
      <c r="J147"/>
      <c r="K147"/>
      <c r="L147"/>
      <c r="M147"/>
      <c r="N147"/>
      <c r="O147"/>
    </row>
    <row r="148" spans="1:17 1025:1026" ht="15.75" customHeight="1" x14ac:dyDescent="0.2">
      <c r="A148" s="526" t="s">
        <v>561</v>
      </c>
      <c r="B148" s="527"/>
      <c r="C148" s="528">
        <f t="shared" si="73"/>
        <v>25.282163539345639</v>
      </c>
      <c r="D148" s="528"/>
      <c r="E148" s="528"/>
      <c r="F148" s="528"/>
      <c r="G148" s="528"/>
      <c r="H148" s="529"/>
      <c r="I148" s="530"/>
      <c r="J148"/>
      <c r="K148"/>
      <c r="L148"/>
      <c r="M148"/>
      <c r="N148"/>
      <c r="O148"/>
    </row>
    <row r="149" spans="1:17 1025:1026" ht="15.75" customHeight="1" x14ac:dyDescent="0.2">
      <c r="A149" s="526" t="s">
        <v>562</v>
      </c>
      <c r="B149" s="527"/>
      <c r="C149" s="528">
        <f t="shared" si="73"/>
        <v>25.427882061186246</v>
      </c>
      <c r="D149" s="528"/>
      <c r="E149" s="528"/>
      <c r="F149" s="528"/>
      <c r="G149" s="528"/>
      <c r="H149" s="529"/>
      <c r="I149" s="530"/>
      <c r="J149"/>
      <c r="K149"/>
      <c r="L149"/>
      <c r="M149"/>
      <c r="N149"/>
      <c r="O149"/>
    </row>
    <row r="150" spans="1:17 1025:1026" ht="15.75" customHeight="1" x14ac:dyDescent="0.2">
      <c r="A150" s="531" t="s">
        <v>563</v>
      </c>
      <c r="B150" s="532"/>
      <c r="C150" s="533">
        <f t="shared" si="73"/>
        <v>25.724417128955182</v>
      </c>
      <c r="D150" s="533"/>
      <c r="E150" s="533"/>
      <c r="F150" s="533"/>
      <c r="G150" s="533"/>
      <c r="H150" s="534"/>
      <c r="I150" s="535"/>
      <c r="J150"/>
      <c r="K150"/>
      <c r="L150"/>
      <c r="M150"/>
      <c r="N150"/>
      <c r="O150"/>
    </row>
    <row r="151" spans="1:17 1025:1026" x14ac:dyDescent="0.2">
      <c r="A151" s="536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7 1025:1026" ht="14.25" customHeight="1" x14ac:dyDescent="0.2">
      <c r="A152" s="875" t="s">
        <v>564</v>
      </c>
      <c r="B152" s="875"/>
      <c r="C152" s="875" t="s">
        <v>565</v>
      </c>
      <c r="D152" s="875"/>
      <c r="E152" s="876" t="s">
        <v>566</v>
      </c>
      <c r="F152" s="876"/>
      <c r="G152" s="875" t="s">
        <v>567</v>
      </c>
      <c r="H152" s="875"/>
      <c r="I152" s="875" t="s">
        <v>568</v>
      </c>
      <c r="J152" s="875"/>
      <c r="K152" s="875" t="s">
        <v>569</v>
      </c>
      <c r="L152" s="875"/>
      <c r="M152" s="875" t="s">
        <v>570</v>
      </c>
      <c r="N152" s="875"/>
      <c r="O152"/>
      <c r="P152"/>
      <c r="Q152"/>
      <c r="AMK152" s="369"/>
      <c r="AML152" s="369"/>
    </row>
    <row r="153" spans="1:17 1025:1026" ht="38.25" x14ac:dyDescent="0.2">
      <c r="A153" s="537" t="s">
        <v>571</v>
      </c>
      <c r="B153" s="538" t="s">
        <v>572</v>
      </c>
      <c r="C153" s="538" t="s">
        <v>573</v>
      </c>
      <c r="D153" s="538" t="s">
        <v>574</v>
      </c>
      <c r="E153" s="538" t="s">
        <v>573</v>
      </c>
      <c r="F153" s="538" t="s">
        <v>574</v>
      </c>
      <c r="G153" s="538" t="s">
        <v>573</v>
      </c>
      <c r="H153" s="538" t="s">
        <v>574</v>
      </c>
      <c r="I153" s="538" t="s">
        <v>573</v>
      </c>
      <c r="J153" s="538" t="s">
        <v>574</v>
      </c>
      <c r="K153" s="538" t="s">
        <v>573</v>
      </c>
      <c r="L153" s="538" t="s">
        <v>574</v>
      </c>
      <c r="M153" s="538" t="s">
        <v>573</v>
      </c>
      <c r="N153" s="538" t="s">
        <v>574</v>
      </c>
      <c r="O153"/>
      <c r="P153"/>
      <c r="Q153"/>
      <c r="AMK153" s="369"/>
      <c r="AML153" s="369"/>
    </row>
    <row r="154" spans="1:17 1025:1026" x14ac:dyDescent="0.2">
      <c r="A154" s="539" t="s">
        <v>575</v>
      </c>
      <c r="B154" s="540">
        <f>1/'Prod. GEXPEL'!D18</f>
        <v>1.2195121951219512E-3</v>
      </c>
      <c r="C154" s="541">
        <f>D139</f>
        <v>4449.6991605793282</v>
      </c>
      <c r="D154" s="541">
        <f>B154*C154</f>
        <v>5.4264623909503999</v>
      </c>
      <c r="E154" s="541">
        <f>D140</f>
        <v>4474.9099206959254</v>
      </c>
      <c r="F154" s="541">
        <f>B154*E154</f>
        <v>5.4572072203608846</v>
      </c>
      <c r="G154" s="541">
        <f>D141</f>
        <v>4500.4079829221128</v>
      </c>
      <c r="H154" s="541">
        <f>B154*G154</f>
        <v>5.4883024181976987</v>
      </c>
      <c r="I154" s="541">
        <f>D142</f>
        <v>4526.1982865491736</v>
      </c>
      <c r="J154" s="541">
        <f>B154*I154</f>
        <v>5.5197540079867968</v>
      </c>
      <c r="K154" s="541">
        <f>D143</f>
        <v>4552.2858847425414</v>
      </c>
      <c r="L154" s="541">
        <f>B154*K154</f>
        <v>5.5515681521250508</v>
      </c>
      <c r="M154" s="541">
        <f>D144</f>
        <v>4605.3737667803553</v>
      </c>
      <c r="N154" s="541">
        <f>B154*M154</f>
        <v>5.6163094716833601</v>
      </c>
      <c r="O154"/>
      <c r="P154"/>
      <c r="Q154"/>
      <c r="AMK154" s="369"/>
      <c r="AML154" s="369"/>
    </row>
    <row r="155" spans="1:17 1025:1026" x14ac:dyDescent="0.2">
      <c r="A155" s="542" t="s">
        <v>576</v>
      </c>
      <c r="B155" s="540">
        <f>B154/'Prod. GEXPEL'!Q18</f>
        <v>6.0975609756097561E-5</v>
      </c>
      <c r="C155" s="541">
        <f>I142</f>
        <v>4395.0193194830927</v>
      </c>
      <c r="D155" s="541">
        <f>C155*B155</f>
        <v>0.26798898289531053</v>
      </c>
      <c r="E155" s="541">
        <f>I142</f>
        <v>4395.0193194830927</v>
      </c>
      <c r="F155" s="541">
        <f>B155*E155</f>
        <v>0.26798898289531053</v>
      </c>
      <c r="G155" s="541">
        <f>I142</f>
        <v>4395.0193194830927</v>
      </c>
      <c r="H155" s="541">
        <f>B155*G155</f>
        <v>0.26798898289531053</v>
      </c>
      <c r="I155" s="541">
        <f>I142</f>
        <v>4395.0193194830927</v>
      </c>
      <c r="J155" s="541">
        <f>B155*I155</f>
        <v>0.26798898289531053</v>
      </c>
      <c r="K155" s="541">
        <f>I142</f>
        <v>4395.0193194830927</v>
      </c>
      <c r="L155" s="541">
        <f>B155*K155</f>
        <v>0.26798898289531053</v>
      </c>
      <c r="M155" s="541">
        <f>I144</f>
        <v>4472.3987273518087</v>
      </c>
      <c r="N155" s="541">
        <f>B155*M155</f>
        <v>0.27270723947267128</v>
      </c>
      <c r="O155" s="897"/>
      <c r="P155" s="897"/>
      <c r="Q155" s="543"/>
      <c r="AMK155" s="369"/>
      <c r="AML155" s="369"/>
    </row>
    <row r="156" spans="1:17 1025:1026" x14ac:dyDescent="0.2">
      <c r="A156" s="544" t="s">
        <v>579</v>
      </c>
      <c r="B156" s="545"/>
      <c r="C156" s="546"/>
      <c r="D156" s="546">
        <f>SUM(D154:D155)</f>
        <v>5.6944513738457108</v>
      </c>
      <c r="E156" s="546"/>
      <c r="F156" s="546">
        <f>SUM(F154:F155)</f>
        <v>5.7251962032561954</v>
      </c>
      <c r="G156" s="546"/>
      <c r="H156" s="546">
        <f>SUM(H154:H155)</f>
        <v>5.7562914010930095</v>
      </c>
      <c r="I156" s="546"/>
      <c r="J156" s="546">
        <f>SUM(J154:J155)</f>
        <v>5.7877429908821076</v>
      </c>
      <c r="K156" s="546"/>
      <c r="L156" s="546">
        <f>SUM(L154:L155)</f>
        <v>5.8195571350203616</v>
      </c>
      <c r="M156" s="546"/>
      <c r="N156" s="546">
        <f>SUM(N154:N155)</f>
        <v>5.8890167111560316</v>
      </c>
      <c r="O156" s="547"/>
      <c r="P156" s="548"/>
      <c r="Q156"/>
      <c r="AMK156" s="369"/>
      <c r="AML156" s="369"/>
    </row>
    <row r="157" spans="1:17 1025:1026" x14ac:dyDescent="0.2">
      <c r="A157" s="536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AMK157" s="369"/>
      <c r="AML157" s="369"/>
    </row>
    <row r="158" spans="1:17 1025:1026" ht="14.25" customHeight="1" x14ac:dyDescent="0.2">
      <c r="A158" s="875" t="s">
        <v>580</v>
      </c>
      <c r="B158" s="875"/>
      <c r="C158" s="875" t="s">
        <v>565</v>
      </c>
      <c r="D158" s="875"/>
      <c r="E158" s="876" t="s">
        <v>566</v>
      </c>
      <c r="F158" s="876"/>
      <c r="G158" s="875" t="s">
        <v>567</v>
      </c>
      <c r="H158" s="875"/>
      <c r="I158" s="875" t="s">
        <v>568</v>
      </c>
      <c r="J158" s="875"/>
      <c r="K158" s="875" t="s">
        <v>569</v>
      </c>
      <c r="L158" s="875"/>
      <c r="M158" s="875" t="s">
        <v>570</v>
      </c>
      <c r="N158" s="875"/>
      <c r="O158"/>
      <c r="P158"/>
      <c r="Q158"/>
      <c r="AMK158" s="369"/>
      <c r="AML158" s="369"/>
    </row>
    <row r="159" spans="1:17 1025:1026" ht="38.25" x14ac:dyDescent="0.2">
      <c r="A159" s="537" t="s">
        <v>571</v>
      </c>
      <c r="B159" s="538" t="s">
        <v>572</v>
      </c>
      <c r="C159" s="538" t="s">
        <v>573</v>
      </c>
      <c r="D159" s="538" t="s">
        <v>574</v>
      </c>
      <c r="E159" s="538" t="s">
        <v>573</v>
      </c>
      <c r="F159" s="538" t="s">
        <v>574</v>
      </c>
      <c r="G159" s="538" t="s">
        <v>573</v>
      </c>
      <c r="H159" s="538" t="s">
        <v>574</v>
      </c>
      <c r="I159" s="538" t="s">
        <v>573</v>
      </c>
      <c r="J159" s="538" t="s">
        <v>574</v>
      </c>
      <c r="K159" s="538" t="s">
        <v>573</v>
      </c>
      <c r="L159" s="538" t="s">
        <v>574</v>
      </c>
      <c r="M159" s="538" t="s">
        <v>573</v>
      </c>
      <c r="N159" s="538" t="s">
        <v>574</v>
      </c>
      <c r="O159"/>
      <c r="P159"/>
      <c r="Q159"/>
      <c r="AMK159" s="369"/>
      <c r="AML159" s="369"/>
    </row>
    <row r="160" spans="1:17 1025:1026" x14ac:dyDescent="0.2">
      <c r="A160" s="539" t="s">
        <v>575</v>
      </c>
      <c r="B160" s="540">
        <f>1/'Prod. GEXPEL'!E18</f>
        <v>1.2195121951219512E-3</v>
      </c>
      <c r="C160" s="549">
        <f>C139</f>
        <v>4970.971873369931</v>
      </c>
      <c r="D160" s="541">
        <f>B160*C160</f>
        <v>6.0621608211828431</v>
      </c>
      <c r="E160" s="549">
        <f>C140</f>
        <v>4999.1360199612627</v>
      </c>
      <c r="F160" s="541">
        <f>B160*E160</f>
        <v>6.0965073414161743</v>
      </c>
      <c r="G160" s="549">
        <f>C141</f>
        <v>5027.6211254881073</v>
      </c>
      <c r="H160" s="541">
        <f>B160*G160</f>
        <v>6.1312452749854964</v>
      </c>
      <c r="I160" s="549">
        <f>C142</f>
        <v>5056.4327078691276</v>
      </c>
      <c r="J160" s="541">
        <f>B160*I160</f>
        <v>6.1663813510599121</v>
      </c>
      <c r="K160" s="549">
        <f>C143</f>
        <v>5085.5764122372493</v>
      </c>
      <c r="L160" s="541">
        <f>B160*K160</f>
        <v>6.2019224539478648</v>
      </c>
      <c r="M160" s="549">
        <f>C144</f>
        <v>5144.8834257910366</v>
      </c>
      <c r="N160" s="541">
        <f>B160*M160</f>
        <v>6.2742480802329714</v>
      </c>
      <c r="O160"/>
      <c r="P160"/>
      <c r="Q160"/>
      <c r="AMK160" s="369"/>
      <c r="AML160" s="369"/>
    </row>
    <row r="161" spans="1:17 1025:1026" x14ac:dyDescent="0.2">
      <c r="A161" s="542" t="s">
        <v>576</v>
      </c>
      <c r="B161" s="540">
        <f>B160/'Prod. GEXPEL'!Q18</f>
        <v>6.0975609756097561E-5</v>
      </c>
      <c r="C161" s="541">
        <f>I142</f>
        <v>4395.0193194830927</v>
      </c>
      <c r="D161" s="541">
        <f>C161*B161</f>
        <v>0.26798898289531053</v>
      </c>
      <c r="E161" s="541">
        <f>I142</f>
        <v>4395.0193194830927</v>
      </c>
      <c r="F161" s="541">
        <f>B161*E161</f>
        <v>0.26798898289531053</v>
      </c>
      <c r="G161" s="541">
        <f>I142</f>
        <v>4395.0193194830927</v>
      </c>
      <c r="H161" s="541">
        <f>B161*G161</f>
        <v>0.26798898289531053</v>
      </c>
      <c r="I161" s="541">
        <f>I142</f>
        <v>4395.0193194830927</v>
      </c>
      <c r="J161" s="541">
        <f>B161*I161</f>
        <v>0.26798898289531053</v>
      </c>
      <c r="K161" s="541">
        <f>I142</f>
        <v>4395.0193194830927</v>
      </c>
      <c r="L161" s="541">
        <f>B161*K161</f>
        <v>0.26798898289531053</v>
      </c>
      <c r="M161" s="541">
        <f>I142</f>
        <v>4395.0193194830927</v>
      </c>
      <c r="N161" s="541">
        <f>B161*M161</f>
        <v>0.26798898289531053</v>
      </c>
      <c r="O161" s="897"/>
      <c r="P161" s="897"/>
      <c r="Q161" s="543"/>
      <c r="AMK161" s="369"/>
      <c r="AML161" s="369"/>
    </row>
    <row r="162" spans="1:17 1025:1026" x14ac:dyDescent="0.2">
      <c r="A162" s="544" t="s">
        <v>579</v>
      </c>
      <c r="B162" s="545"/>
      <c r="C162" s="546"/>
      <c r="D162" s="546">
        <f>SUM(D160:D161)</f>
        <v>6.3301498040781539</v>
      </c>
      <c r="E162" s="546"/>
      <c r="F162" s="546">
        <f>SUM(F160:F161)</f>
        <v>6.3644963243114852</v>
      </c>
      <c r="G162" s="546"/>
      <c r="H162" s="546">
        <f>SUM(H160:H161)</f>
        <v>6.3992342578808072</v>
      </c>
      <c r="I162" s="546"/>
      <c r="J162" s="546">
        <f>SUM(J160:J161)</f>
        <v>6.434370333955223</v>
      </c>
      <c r="K162" s="546"/>
      <c r="L162" s="546">
        <f>SUM(L160:L161)</f>
        <v>6.4699114368431756</v>
      </c>
      <c r="M162" s="546"/>
      <c r="N162" s="546">
        <f>SUM(N160:N161)</f>
        <v>6.5422370631282822</v>
      </c>
      <c r="O162" s="547"/>
      <c r="P162" s="548"/>
      <c r="AMK162" s="369"/>
      <c r="AML162" s="369"/>
    </row>
    <row r="163" spans="1:17 1025:1026" x14ac:dyDescent="0.2">
      <c r="A163" s="550"/>
      <c r="B163" s="551"/>
      <c r="C163" s="551"/>
      <c r="D163" s="551"/>
      <c r="E163" s="552"/>
      <c r="F163" s="552"/>
      <c r="G163" s="552"/>
      <c r="H163" s="552"/>
      <c r="I163" s="552"/>
      <c r="J163" s="552"/>
      <c r="K163"/>
      <c r="L163"/>
      <c r="M163"/>
      <c r="N163"/>
      <c r="O163"/>
      <c r="P163"/>
      <c r="AMK163" s="369"/>
      <c r="AML163" s="369"/>
    </row>
    <row r="164" spans="1:17 1025:1026" ht="14.25" customHeight="1" x14ac:dyDescent="0.2">
      <c r="A164" s="876" t="s">
        <v>581</v>
      </c>
      <c r="B164" s="876"/>
      <c r="C164" s="876" t="s">
        <v>565</v>
      </c>
      <c r="D164" s="876"/>
      <c r="E164" s="876" t="s">
        <v>566</v>
      </c>
      <c r="F164" s="876"/>
      <c r="G164" s="876" t="s">
        <v>567</v>
      </c>
      <c r="H164" s="876"/>
      <c r="I164" s="876" t="s">
        <v>568</v>
      </c>
      <c r="J164" s="876"/>
      <c r="K164" s="876" t="s">
        <v>569</v>
      </c>
      <c r="L164" s="876"/>
      <c r="M164" s="876" t="s">
        <v>570</v>
      </c>
      <c r="N164" s="876"/>
      <c r="O164"/>
      <c r="P164"/>
      <c r="AMK164" s="369"/>
      <c r="AML164" s="369"/>
    </row>
    <row r="165" spans="1:17 1025:1026" ht="38.25" x14ac:dyDescent="0.2">
      <c r="A165" s="537" t="s">
        <v>571</v>
      </c>
      <c r="B165" s="538" t="s">
        <v>582</v>
      </c>
      <c r="C165" s="538" t="s">
        <v>573</v>
      </c>
      <c r="D165" s="538" t="s">
        <v>574</v>
      </c>
      <c r="E165" s="538" t="s">
        <v>573</v>
      </c>
      <c r="F165" s="538" t="s">
        <v>574</v>
      </c>
      <c r="G165" s="538" t="s">
        <v>573</v>
      </c>
      <c r="H165" s="538" t="s">
        <v>574</v>
      </c>
      <c r="I165" s="538" t="s">
        <v>573</v>
      </c>
      <c r="J165" s="538" t="s">
        <v>574</v>
      </c>
      <c r="K165" s="538" t="s">
        <v>573</v>
      </c>
      <c r="L165" s="538" t="s">
        <v>574</v>
      </c>
      <c r="M165" s="538" t="s">
        <v>573</v>
      </c>
      <c r="N165" s="538" t="s">
        <v>574</v>
      </c>
      <c r="O165"/>
      <c r="P165"/>
      <c r="AMK165" s="369"/>
      <c r="AML165" s="369"/>
    </row>
    <row r="166" spans="1:17 1025:1026" x14ac:dyDescent="0.2">
      <c r="A166" s="539" t="s">
        <v>575</v>
      </c>
      <c r="B166" s="553">
        <f>1/'Prod. GEXPEL'!F18</f>
        <v>4.0000000000000002E-4</v>
      </c>
      <c r="C166" s="554">
        <f>D139</f>
        <v>4449.6991605793282</v>
      </c>
      <c r="D166" s="541">
        <f>B166*C166</f>
        <v>1.7798796642317314</v>
      </c>
      <c r="E166" s="541">
        <f>D140</f>
        <v>4474.9099206959254</v>
      </c>
      <c r="F166" s="541">
        <f>B166*E166</f>
        <v>1.7899639682783703</v>
      </c>
      <c r="G166" s="541">
        <f>D141</f>
        <v>4500.4079829221128</v>
      </c>
      <c r="H166" s="541">
        <f>B166*G166</f>
        <v>1.8001631931688451</v>
      </c>
      <c r="I166" s="541">
        <f>D142</f>
        <v>4526.1982865491736</v>
      </c>
      <c r="J166" s="541">
        <f>B166*I166</f>
        <v>1.8104793146196696</v>
      </c>
      <c r="K166" s="541">
        <f>D143</f>
        <v>4552.2858847425414</v>
      </c>
      <c r="L166" s="541">
        <f>B166*K166</f>
        <v>1.8209143538970167</v>
      </c>
      <c r="M166" s="541">
        <f>D144</f>
        <v>4605.3737667803553</v>
      </c>
      <c r="N166" s="541">
        <f>B166*M166</f>
        <v>1.8421495067121423</v>
      </c>
      <c r="O166"/>
      <c r="P166"/>
      <c r="AMK166" s="369"/>
      <c r="AML166" s="369"/>
    </row>
    <row r="167" spans="1:17 1025:1026" x14ac:dyDescent="0.2">
      <c r="A167" s="542" t="s">
        <v>576</v>
      </c>
      <c r="B167" s="540">
        <f>B166/'Prod. GEXPEL'!Q18</f>
        <v>2.0000000000000002E-5</v>
      </c>
      <c r="C167" s="541">
        <f>I142</f>
        <v>4395.0193194830927</v>
      </c>
      <c r="D167" s="541">
        <f>B167*C167</f>
        <v>8.7900386389661855E-2</v>
      </c>
      <c r="E167" s="541">
        <f>I142</f>
        <v>4395.0193194830927</v>
      </c>
      <c r="F167" s="541">
        <f>B167*E167</f>
        <v>8.7900386389661855E-2</v>
      </c>
      <c r="G167" s="541">
        <f>I142</f>
        <v>4395.0193194830927</v>
      </c>
      <c r="H167" s="541">
        <f>B167*G167</f>
        <v>8.7900386389661855E-2</v>
      </c>
      <c r="I167" s="541">
        <f>I142</f>
        <v>4395.0193194830927</v>
      </c>
      <c r="J167" s="541">
        <f>B167*I167</f>
        <v>8.7900386389661855E-2</v>
      </c>
      <c r="K167" s="541">
        <f>I142</f>
        <v>4395.0193194830927</v>
      </c>
      <c r="L167" s="541">
        <f>B167*K167</f>
        <v>8.7900386389661855E-2</v>
      </c>
      <c r="M167" s="541">
        <f>I142</f>
        <v>4395.0193194830927</v>
      </c>
      <c r="N167" s="541">
        <f>B167*M167</f>
        <v>8.7900386389661855E-2</v>
      </c>
      <c r="O167"/>
      <c r="P167"/>
      <c r="AMK167" s="369"/>
      <c r="AML167" s="369"/>
    </row>
    <row r="168" spans="1:17 1025:1026" x14ac:dyDescent="0.2">
      <c r="A168" s="544" t="s">
        <v>583</v>
      </c>
      <c r="B168" s="545"/>
      <c r="C168" s="546"/>
      <c r="D168" s="546">
        <f>SUM(D166:D167)</f>
        <v>1.8677800506213933</v>
      </c>
      <c r="E168" s="546"/>
      <c r="F168" s="546">
        <f>SUM(F166:F167)</f>
        <v>1.8778643546680323</v>
      </c>
      <c r="G168" s="546"/>
      <c r="H168" s="546">
        <f>SUM(H166:H167)</f>
        <v>1.888063579558507</v>
      </c>
      <c r="I168" s="546"/>
      <c r="J168" s="546">
        <f>SUM(J166:J167)</f>
        <v>1.8983797010093315</v>
      </c>
      <c r="K168" s="546"/>
      <c r="L168" s="546">
        <f>SUM(L166:L167)</f>
        <v>1.9088147402866786</v>
      </c>
      <c r="M168" s="546"/>
      <c r="N168" s="546">
        <f>SUM(N166:N167)</f>
        <v>1.9300498931018042</v>
      </c>
      <c r="O168"/>
      <c r="P168"/>
      <c r="AMK168" s="369"/>
      <c r="AML168" s="369"/>
    </row>
    <row r="169" spans="1:17 1025:1026" x14ac:dyDescent="0.2">
      <c r="A169" s="550"/>
      <c r="B169" s="555"/>
      <c r="C169" s="555"/>
      <c r="D169" s="555"/>
      <c r="E169" s="555"/>
      <c r="F169" s="555"/>
      <c r="G169" s="555"/>
      <c r="H169" s="555"/>
      <c r="I169" s="555"/>
      <c r="J169" s="555"/>
      <c r="K169"/>
      <c r="L169"/>
      <c r="M169"/>
      <c r="N169"/>
      <c r="O169"/>
      <c r="P169"/>
      <c r="AMK169" s="369"/>
      <c r="AML169" s="369"/>
    </row>
    <row r="170" spans="1:17 1025:1026" ht="14.25" customHeight="1" x14ac:dyDescent="0.2">
      <c r="A170" s="876" t="s">
        <v>584</v>
      </c>
      <c r="B170" s="876"/>
      <c r="C170" s="876" t="s">
        <v>565</v>
      </c>
      <c r="D170" s="876"/>
      <c r="E170" s="876" t="s">
        <v>566</v>
      </c>
      <c r="F170" s="876"/>
      <c r="G170" s="876" t="s">
        <v>567</v>
      </c>
      <c r="H170" s="876"/>
      <c r="I170" s="876" t="s">
        <v>568</v>
      </c>
      <c r="J170" s="876"/>
      <c r="K170" s="876" t="s">
        <v>569</v>
      </c>
      <c r="L170" s="876"/>
      <c r="M170" s="876" t="s">
        <v>570</v>
      </c>
      <c r="N170" s="876"/>
      <c r="O170"/>
      <c r="P170"/>
      <c r="AMK170" s="369"/>
      <c r="AML170" s="369"/>
    </row>
    <row r="171" spans="1:17 1025:1026" ht="38.25" x14ac:dyDescent="0.2">
      <c r="A171" s="537" t="s">
        <v>571</v>
      </c>
      <c r="B171" s="538" t="s">
        <v>582</v>
      </c>
      <c r="C171" s="538" t="s">
        <v>573</v>
      </c>
      <c r="D171" s="538" t="s">
        <v>574</v>
      </c>
      <c r="E171" s="538" t="s">
        <v>573</v>
      </c>
      <c r="F171" s="538" t="s">
        <v>574</v>
      </c>
      <c r="G171" s="538" t="s">
        <v>573</v>
      </c>
      <c r="H171" s="538" t="s">
        <v>574</v>
      </c>
      <c r="I171" s="538" t="s">
        <v>573</v>
      </c>
      <c r="J171" s="538" t="s">
        <v>574</v>
      </c>
      <c r="K171" s="538" t="s">
        <v>573</v>
      </c>
      <c r="L171" s="538" t="s">
        <v>574</v>
      </c>
      <c r="M171" s="538" t="s">
        <v>573</v>
      </c>
      <c r="N171" s="538" t="s">
        <v>574</v>
      </c>
      <c r="O171"/>
      <c r="P171"/>
      <c r="AMK171" s="369"/>
      <c r="AML171" s="369"/>
    </row>
    <row r="172" spans="1:17 1025:1026" x14ac:dyDescent="0.2">
      <c r="A172" s="539" t="s">
        <v>575</v>
      </c>
      <c r="B172" s="553">
        <f>1/'Prod. GEXPEL'!G18</f>
        <v>6.6666666666666664E-4</v>
      </c>
      <c r="C172" s="554">
        <f>D139</f>
        <v>4449.6991605793282</v>
      </c>
      <c r="D172" s="541">
        <f>B172*C172</f>
        <v>2.9664661070528853</v>
      </c>
      <c r="E172" s="541">
        <f>D140</f>
        <v>4474.9099206959254</v>
      </c>
      <c r="F172" s="541">
        <f>B172*E172</f>
        <v>2.9832732804639503</v>
      </c>
      <c r="G172" s="541">
        <f>D141</f>
        <v>4500.4079829221128</v>
      </c>
      <c r="H172" s="541">
        <f>B172*G172</f>
        <v>3.0002719886147418</v>
      </c>
      <c r="I172" s="541">
        <f>D142</f>
        <v>4526.1982865491736</v>
      </c>
      <c r="J172" s="541">
        <f>B172*I172</f>
        <v>3.0174655243661155</v>
      </c>
      <c r="K172" s="541">
        <f>D143</f>
        <v>4552.2858847425414</v>
      </c>
      <c r="L172" s="541">
        <f>B172*K172</f>
        <v>3.0348572564950276</v>
      </c>
      <c r="M172" s="541">
        <f>D144</f>
        <v>4605.3737667803553</v>
      </c>
      <c r="N172" s="541">
        <f>B172*M172</f>
        <v>3.0702491778535701</v>
      </c>
      <c r="O172"/>
      <c r="P172"/>
      <c r="AMK172" s="369"/>
      <c r="AML172" s="369"/>
    </row>
    <row r="173" spans="1:17 1025:1026" x14ac:dyDescent="0.2">
      <c r="A173" s="542" t="s">
        <v>576</v>
      </c>
      <c r="B173" s="540">
        <f>B172/'Prod. GEXPEL'!Q18</f>
        <v>3.3333333333333335E-5</v>
      </c>
      <c r="C173" s="541">
        <f>I142</f>
        <v>4395.0193194830927</v>
      </c>
      <c r="D173" s="541">
        <f>B173*C173</f>
        <v>0.14650064398276977</v>
      </c>
      <c r="E173" s="541">
        <f>I142</f>
        <v>4395.0193194830927</v>
      </c>
      <c r="F173" s="541">
        <f>B173*E173</f>
        <v>0.14650064398276977</v>
      </c>
      <c r="G173" s="541">
        <f>I142</f>
        <v>4395.0193194830927</v>
      </c>
      <c r="H173" s="541">
        <f>B173*G173</f>
        <v>0.14650064398276977</v>
      </c>
      <c r="I173" s="541">
        <f>I142</f>
        <v>4395.0193194830927</v>
      </c>
      <c r="J173" s="541">
        <f>B173*I173</f>
        <v>0.14650064398276977</v>
      </c>
      <c r="K173" s="541">
        <f>I142</f>
        <v>4395.0193194830927</v>
      </c>
      <c r="L173" s="541">
        <f>B173*K173</f>
        <v>0.14650064398276977</v>
      </c>
      <c r="M173" s="541">
        <f>I142</f>
        <v>4395.0193194830927</v>
      </c>
      <c r="N173" s="541">
        <f>B173*M173</f>
        <v>0.14650064398276977</v>
      </c>
      <c r="O173"/>
      <c r="P173"/>
      <c r="AMK173" s="369"/>
      <c r="AML173" s="369"/>
    </row>
    <row r="174" spans="1:17 1025:1026" x14ac:dyDescent="0.2">
      <c r="A174" s="544" t="s">
        <v>583</v>
      </c>
      <c r="B174" s="545"/>
      <c r="C174" s="546"/>
      <c r="D174" s="546">
        <f>SUM(D172:D173)</f>
        <v>3.1129667510356551</v>
      </c>
      <c r="E174" s="546"/>
      <c r="F174" s="546">
        <f>SUM(F172:F173)</f>
        <v>3.1297739244467202</v>
      </c>
      <c r="G174" s="546"/>
      <c r="H174" s="546">
        <f>SUM(H172:H173)</f>
        <v>3.1467726325975116</v>
      </c>
      <c r="I174" s="546"/>
      <c r="J174" s="546">
        <f>SUM(J172:J173)</f>
        <v>3.1639661683488853</v>
      </c>
      <c r="K174" s="546"/>
      <c r="L174" s="546">
        <f>SUM(L172:L173)</f>
        <v>3.1813579004777974</v>
      </c>
      <c r="M174" s="546"/>
      <c r="N174" s="546">
        <f>SUM(N172:N173)</f>
        <v>3.21674982183634</v>
      </c>
      <c r="O174"/>
      <c r="P174"/>
      <c r="AMK174" s="369"/>
      <c r="AML174" s="369"/>
    </row>
    <row r="175" spans="1:17 1025:1026" x14ac:dyDescent="0.2">
      <c r="A175" s="550"/>
      <c r="B175" s="555"/>
      <c r="C175" s="555"/>
      <c r="D175" s="555"/>
      <c r="E175" s="555"/>
      <c r="F175" s="555"/>
      <c r="G175" s="555"/>
      <c r="H175" s="555"/>
      <c r="I175" s="555"/>
      <c r="J175" s="555"/>
      <c r="K175"/>
      <c r="L175"/>
      <c r="M175"/>
      <c r="N175"/>
      <c r="O175"/>
      <c r="P175"/>
      <c r="AMK175" s="369"/>
      <c r="AML175" s="369"/>
    </row>
    <row r="176" spans="1:17 1025:1026" ht="14.25" customHeight="1" x14ac:dyDescent="0.2">
      <c r="A176" s="876" t="s">
        <v>585</v>
      </c>
      <c r="B176" s="876"/>
      <c r="C176" s="876" t="s">
        <v>565</v>
      </c>
      <c r="D176" s="876"/>
      <c r="E176" s="876" t="s">
        <v>566</v>
      </c>
      <c r="F176" s="876"/>
      <c r="G176" s="876" t="s">
        <v>567</v>
      </c>
      <c r="H176" s="876"/>
      <c r="I176" s="876" t="s">
        <v>568</v>
      </c>
      <c r="J176" s="876"/>
      <c r="K176" s="876" t="s">
        <v>569</v>
      </c>
      <c r="L176" s="876"/>
      <c r="M176" s="876" t="s">
        <v>570</v>
      </c>
      <c r="N176" s="876"/>
      <c r="O176"/>
      <c r="P176"/>
      <c r="AMK176" s="369"/>
      <c r="AML176" s="369"/>
    </row>
    <row r="177" spans="1:16 1025:1026" ht="38.25" x14ac:dyDescent="0.2">
      <c r="A177" s="537" t="s">
        <v>571</v>
      </c>
      <c r="B177" s="538" t="s">
        <v>582</v>
      </c>
      <c r="C177" s="538" t="s">
        <v>573</v>
      </c>
      <c r="D177" s="538" t="s">
        <v>574</v>
      </c>
      <c r="E177" s="538" t="s">
        <v>573</v>
      </c>
      <c r="F177" s="538" t="s">
        <v>574</v>
      </c>
      <c r="G177" s="538" t="s">
        <v>573</v>
      </c>
      <c r="H177" s="538" t="s">
        <v>574</v>
      </c>
      <c r="I177" s="538" t="s">
        <v>573</v>
      </c>
      <c r="J177" s="538" t="s">
        <v>574</v>
      </c>
      <c r="K177" s="538" t="s">
        <v>573</v>
      </c>
      <c r="L177" s="538" t="s">
        <v>574</v>
      </c>
      <c r="M177" s="538" t="s">
        <v>573</v>
      </c>
      <c r="N177" s="538" t="s">
        <v>574</v>
      </c>
      <c r="O177"/>
      <c r="P177"/>
      <c r="AMK177" s="369"/>
      <c r="AML177" s="369"/>
    </row>
    <row r="178" spans="1:16 1025:1026" x14ac:dyDescent="0.2">
      <c r="A178" s="539" t="s">
        <v>575</v>
      </c>
      <c r="B178" s="553">
        <f>1/'Prod. GEXPEL'!H18</f>
        <v>3.3333333333333335E-3</v>
      </c>
      <c r="C178" s="549">
        <f>C139</f>
        <v>4970.971873369931</v>
      </c>
      <c r="D178" s="541">
        <f>B178*C178</f>
        <v>16.569906244566436</v>
      </c>
      <c r="E178" s="549">
        <f>C140</f>
        <v>4999.1360199612627</v>
      </c>
      <c r="F178" s="541">
        <f>B178*E178</f>
        <v>16.663786733204208</v>
      </c>
      <c r="G178" s="549">
        <f>C141</f>
        <v>5027.6211254881073</v>
      </c>
      <c r="H178" s="541">
        <f>B178*G178</f>
        <v>16.758737084960359</v>
      </c>
      <c r="I178" s="549">
        <f>C142</f>
        <v>5056.4327078691276</v>
      </c>
      <c r="J178" s="541">
        <f>B178*I178</f>
        <v>16.854775692897093</v>
      </c>
      <c r="K178" s="549">
        <f>C143</f>
        <v>5085.5764122372493</v>
      </c>
      <c r="L178" s="541">
        <f>B178*K178</f>
        <v>16.951921374124165</v>
      </c>
      <c r="M178" s="549">
        <f>C144</f>
        <v>5144.8834257910366</v>
      </c>
      <c r="N178" s="541">
        <f>B178*M178</f>
        <v>17.149611419303458</v>
      </c>
      <c r="O178"/>
      <c r="P178"/>
      <c r="AMK178" s="369"/>
      <c r="AML178" s="369"/>
    </row>
    <row r="179" spans="1:16 1025:1026" x14ac:dyDescent="0.2">
      <c r="A179" s="542" t="s">
        <v>576</v>
      </c>
      <c r="B179" s="540">
        <f>B178/'Prod. GEXPEL'!Q18</f>
        <v>1.6666666666666669E-4</v>
      </c>
      <c r="C179" s="541">
        <f>I139</f>
        <v>4320.2555535705033</v>
      </c>
      <c r="D179" s="541">
        <f>C179*B179</f>
        <v>0.7200425922617506</v>
      </c>
      <c r="E179" s="541">
        <f>I142</f>
        <v>4395.0193194830927</v>
      </c>
      <c r="F179" s="541">
        <f>B179*E179</f>
        <v>0.73250321991384892</v>
      </c>
      <c r="G179" s="541">
        <f>I142</f>
        <v>4395.0193194830927</v>
      </c>
      <c r="H179" s="541">
        <f>B179*G179</f>
        <v>0.73250321991384892</v>
      </c>
      <c r="I179" s="541">
        <f>I142</f>
        <v>4395.0193194830927</v>
      </c>
      <c r="J179" s="541">
        <f>B179*I179</f>
        <v>0.73250321991384892</v>
      </c>
      <c r="K179" s="541">
        <f>I142</f>
        <v>4395.0193194830927</v>
      </c>
      <c r="L179" s="541">
        <f>B179*K179</f>
        <v>0.73250321991384892</v>
      </c>
      <c r="M179" s="541">
        <f>I142</f>
        <v>4395.0193194830927</v>
      </c>
      <c r="N179" s="541">
        <f>B179*M179</f>
        <v>0.73250321991384892</v>
      </c>
      <c r="O179"/>
      <c r="P179"/>
      <c r="AMK179" s="369"/>
      <c r="AML179" s="369"/>
    </row>
    <row r="180" spans="1:16 1025:1026" x14ac:dyDescent="0.2">
      <c r="A180" s="544" t="s">
        <v>583</v>
      </c>
      <c r="B180" s="545"/>
      <c r="C180" s="546"/>
      <c r="D180" s="546">
        <f>SUM(D178:D179)</f>
        <v>17.289948836828188</v>
      </c>
      <c r="E180" s="546"/>
      <c r="F180" s="546">
        <f>SUM(F178:F179)</f>
        <v>17.396289953118057</v>
      </c>
      <c r="G180" s="546"/>
      <c r="H180" s="546">
        <f>SUM(H178:H179)</f>
        <v>17.491240304874207</v>
      </c>
      <c r="I180" s="546"/>
      <c r="J180" s="546">
        <f>SUM(J178:J179)</f>
        <v>17.587278912810941</v>
      </c>
      <c r="K180" s="546"/>
      <c r="L180" s="546">
        <f>SUM(L178:L179)</f>
        <v>17.684424594038013</v>
      </c>
      <c r="M180" s="546"/>
      <c r="N180" s="546">
        <f>SUM(N178:N179)</f>
        <v>17.882114639217306</v>
      </c>
      <c r="O180"/>
      <c r="P180"/>
      <c r="AMK180" s="369"/>
      <c r="AML180" s="369"/>
    </row>
    <row r="181" spans="1:16 1025:1026" x14ac:dyDescent="0.2">
      <c r="A181" s="550"/>
      <c r="B181" s="556"/>
      <c r="C181" s="556"/>
      <c r="D181" s="556"/>
      <c r="E181" s="556"/>
      <c r="F181" s="556"/>
      <c r="G181" s="556"/>
      <c r="H181" s="556"/>
      <c r="I181" s="556"/>
      <c r="J181" s="556"/>
      <c r="K181"/>
      <c r="L181"/>
      <c r="M181"/>
      <c r="N181"/>
      <c r="O181"/>
      <c r="P181"/>
      <c r="AMK181" s="369"/>
      <c r="AML181" s="369"/>
    </row>
    <row r="182" spans="1:16 1025:1026" ht="14.25" customHeight="1" x14ac:dyDescent="0.2">
      <c r="A182" s="898" t="s">
        <v>586</v>
      </c>
      <c r="B182" s="898"/>
      <c r="C182" s="898" t="s">
        <v>565</v>
      </c>
      <c r="D182" s="898"/>
      <c r="E182" s="898" t="s">
        <v>566</v>
      </c>
      <c r="F182" s="898"/>
      <c r="G182" s="898" t="s">
        <v>567</v>
      </c>
      <c r="H182" s="898"/>
      <c r="I182" s="898" t="s">
        <v>568</v>
      </c>
      <c r="J182" s="898"/>
      <c r="K182" s="898" t="s">
        <v>569</v>
      </c>
      <c r="L182" s="898"/>
      <c r="M182" s="898" t="s">
        <v>570</v>
      </c>
      <c r="N182" s="898"/>
      <c r="O182"/>
      <c r="P182"/>
      <c r="AMK182" s="369"/>
      <c r="AML182" s="369"/>
    </row>
    <row r="183" spans="1:16 1025:1026" ht="38.25" x14ac:dyDescent="0.2">
      <c r="A183" s="537" t="s">
        <v>571</v>
      </c>
      <c r="B183" s="538" t="s">
        <v>582</v>
      </c>
      <c r="C183" s="538" t="s">
        <v>573</v>
      </c>
      <c r="D183" s="538" t="s">
        <v>574</v>
      </c>
      <c r="E183" s="538" t="s">
        <v>573</v>
      </c>
      <c r="F183" s="538" t="s">
        <v>574</v>
      </c>
      <c r="G183" s="538" t="s">
        <v>573</v>
      </c>
      <c r="H183" s="538" t="s">
        <v>574</v>
      </c>
      <c r="I183" s="538" t="s">
        <v>573</v>
      </c>
      <c r="J183" s="538" t="s">
        <v>574</v>
      </c>
      <c r="K183" s="538" t="s">
        <v>573</v>
      </c>
      <c r="L183" s="538" t="s">
        <v>574</v>
      </c>
      <c r="M183" s="538" t="s">
        <v>573</v>
      </c>
      <c r="N183" s="538" t="s">
        <v>574</v>
      </c>
      <c r="O183"/>
      <c r="P183"/>
      <c r="AMK183" s="369"/>
      <c r="AML183" s="369"/>
    </row>
    <row r="184" spans="1:16 1025:1026" x14ac:dyDescent="0.2">
      <c r="A184" s="539" t="s">
        <v>587</v>
      </c>
      <c r="B184" s="553">
        <f>1/'Prod. GEXPEL'!I18</f>
        <v>3.7037037037037035E-4</v>
      </c>
      <c r="C184" s="541">
        <f>D139</f>
        <v>4449.6991605793282</v>
      </c>
      <c r="D184" s="541">
        <f>B184*C184</f>
        <v>1.6480367261404918</v>
      </c>
      <c r="E184" s="541">
        <f>D140</f>
        <v>4474.9099206959254</v>
      </c>
      <c r="F184" s="541">
        <f>B184*E184</f>
        <v>1.6573740447021945</v>
      </c>
      <c r="G184" s="541">
        <f>D141</f>
        <v>4500.4079829221128</v>
      </c>
      <c r="H184" s="541">
        <f>B184*G184</f>
        <v>1.6668177714526342</v>
      </c>
      <c r="I184" s="541">
        <f>D142</f>
        <v>4526.1982865491736</v>
      </c>
      <c r="J184" s="541">
        <f>B184*I184</f>
        <v>1.6763697357589531</v>
      </c>
      <c r="K184" s="541">
        <f>D143</f>
        <v>4552.2858847425414</v>
      </c>
      <c r="L184" s="541">
        <f>B184*K184</f>
        <v>1.6860318091639042</v>
      </c>
      <c r="M184" s="541">
        <f>D144</f>
        <v>4605.3737667803553</v>
      </c>
      <c r="N184" s="541">
        <f>B184*M184</f>
        <v>1.7056939876964279</v>
      </c>
      <c r="O184"/>
      <c r="P184"/>
      <c r="AMK184" s="369"/>
      <c r="AML184" s="369"/>
    </row>
    <row r="185" spans="1:16 1025:1026" x14ac:dyDescent="0.2">
      <c r="A185" s="542" t="s">
        <v>576</v>
      </c>
      <c r="B185" s="540">
        <f>B184/'Prod. GEXPEL'!Q18</f>
        <v>1.8518518518518518E-5</v>
      </c>
      <c r="C185" s="541">
        <f>I142</f>
        <v>4395.0193194830927</v>
      </c>
      <c r="D185" s="541">
        <f>B185*C185</f>
        <v>8.1389246657094308E-2</v>
      </c>
      <c r="E185" s="541">
        <f>I142</f>
        <v>4395.0193194830927</v>
      </c>
      <c r="F185" s="541">
        <f>B185*E185</f>
        <v>8.1389246657094308E-2</v>
      </c>
      <c r="G185" s="541">
        <f>I142</f>
        <v>4395.0193194830927</v>
      </c>
      <c r="H185" s="541">
        <f>B185*G185</f>
        <v>8.1389246657094308E-2</v>
      </c>
      <c r="I185" s="541">
        <f>I142</f>
        <v>4395.0193194830927</v>
      </c>
      <c r="J185" s="541">
        <f>B185*I185</f>
        <v>8.1389246657094308E-2</v>
      </c>
      <c r="K185" s="541">
        <f>I142</f>
        <v>4395.0193194830927</v>
      </c>
      <c r="L185" s="541">
        <f>B185*K185</f>
        <v>8.1389246657094308E-2</v>
      </c>
      <c r="M185" s="541">
        <f>I142</f>
        <v>4395.0193194830927</v>
      </c>
      <c r="N185" s="541">
        <f>B185*M185</f>
        <v>8.1389246657094308E-2</v>
      </c>
      <c r="O185" s="897"/>
      <c r="P185" s="897"/>
      <c r="AMK185" s="369"/>
      <c r="AML185" s="369"/>
    </row>
    <row r="186" spans="1:16 1025:1026" x14ac:dyDescent="0.2">
      <c r="A186" s="557" t="s">
        <v>588</v>
      </c>
      <c r="B186" s="558"/>
      <c r="C186" s="559"/>
      <c r="D186" s="560">
        <f>SUM(D184:D185)</f>
        <v>1.729425972797586</v>
      </c>
      <c r="E186" s="559"/>
      <c r="F186" s="560">
        <f>SUM(F184:F185)</f>
        <v>1.7387632913592888</v>
      </c>
      <c r="G186" s="559"/>
      <c r="H186" s="560">
        <f>SUM(H184:H185)</f>
        <v>1.7482070181097285</v>
      </c>
      <c r="I186" s="559"/>
      <c r="J186" s="560">
        <f>SUM(J184:J185)</f>
        <v>1.7577589824160473</v>
      </c>
      <c r="K186" s="559"/>
      <c r="L186" s="560">
        <f>SUM(L184:L185)</f>
        <v>1.7674210558209984</v>
      </c>
      <c r="M186" s="559"/>
      <c r="N186" s="560">
        <f>SUM(N184:N185)</f>
        <v>1.7870832343535221</v>
      </c>
      <c r="O186" s="547"/>
      <c r="P186" s="548"/>
      <c r="AMK186" s="369"/>
      <c r="AML186" s="369"/>
    </row>
    <row r="187" spans="1:16 1025:1026" x14ac:dyDescent="0.2">
      <c r="A187" s="539" t="s">
        <v>589</v>
      </c>
      <c r="B187" s="553">
        <f>1/'Prod. GEXPEL'!J18</f>
        <v>1.0000000000000001E-5</v>
      </c>
      <c r="C187" s="541">
        <f>D139</f>
        <v>4449.6991605793282</v>
      </c>
      <c r="D187" s="541">
        <f>B187*C187</f>
        <v>4.4496991605793283E-2</v>
      </c>
      <c r="E187" s="541">
        <f>D140</f>
        <v>4474.9099206959254</v>
      </c>
      <c r="F187" s="541">
        <f>B187*E187</f>
        <v>4.4749099206959256E-2</v>
      </c>
      <c r="G187" s="541">
        <f>D141</f>
        <v>4500.4079829221128</v>
      </c>
      <c r="H187" s="541">
        <f>B187*G187</f>
        <v>4.5004079829221132E-2</v>
      </c>
      <c r="I187" s="541">
        <f>D142</f>
        <v>4526.1982865491736</v>
      </c>
      <c r="J187" s="541">
        <f>B187*I187</f>
        <v>4.526198286549174E-2</v>
      </c>
      <c r="K187" s="541">
        <f>D143</f>
        <v>4552.2858847425414</v>
      </c>
      <c r="L187" s="541">
        <f>B187*K187</f>
        <v>4.5522858847425421E-2</v>
      </c>
      <c r="M187" s="541">
        <f>D144</f>
        <v>4605.3737667803553</v>
      </c>
      <c r="N187" s="541">
        <f>B187*M187</f>
        <v>4.6053737667803553E-2</v>
      </c>
      <c r="O187"/>
      <c r="P187"/>
      <c r="AMK187" s="369"/>
      <c r="AML187" s="369"/>
    </row>
    <row r="188" spans="1:16 1025:1026" x14ac:dyDescent="0.2">
      <c r="A188" s="542" t="s">
        <v>576</v>
      </c>
      <c r="B188" s="540">
        <f>B187/'Prod. GEXPEL'!Q18</f>
        <v>5.0000000000000008E-7</v>
      </c>
      <c r="C188" s="541">
        <f>I142</f>
        <v>4395.0193194830927</v>
      </c>
      <c r="D188" s="541">
        <f>B188*C188</f>
        <v>2.1975096597415468E-3</v>
      </c>
      <c r="E188" s="541">
        <f>I142</f>
        <v>4395.0193194830927</v>
      </c>
      <c r="F188" s="541">
        <f>B188*E188</f>
        <v>2.1975096597415468E-3</v>
      </c>
      <c r="G188" s="541">
        <f>I142</f>
        <v>4395.0193194830927</v>
      </c>
      <c r="H188" s="541">
        <f>B188*G188</f>
        <v>2.1975096597415468E-3</v>
      </c>
      <c r="I188" s="541">
        <f>I142</f>
        <v>4395.0193194830927</v>
      </c>
      <c r="J188" s="541">
        <f>B188*I188</f>
        <v>2.1975096597415468E-3</v>
      </c>
      <c r="K188" s="541">
        <f>I142</f>
        <v>4395.0193194830927</v>
      </c>
      <c r="L188" s="541">
        <f>B188*K188</f>
        <v>2.1975096597415468E-3</v>
      </c>
      <c r="M188" s="541">
        <f>I142</f>
        <v>4395.0193194830927</v>
      </c>
      <c r="N188" s="541">
        <f>B188*M188</f>
        <v>2.1975096597415468E-3</v>
      </c>
      <c r="O188"/>
      <c r="P188"/>
      <c r="AMK188" s="369"/>
      <c r="AML188" s="369"/>
    </row>
    <row r="189" spans="1:16 1025:1026" x14ac:dyDescent="0.2">
      <c r="A189" s="557" t="s">
        <v>590</v>
      </c>
      <c r="B189" s="561"/>
      <c r="C189" s="559"/>
      <c r="D189" s="560">
        <f>SUM(D187:D188)</f>
        <v>4.669450126553483E-2</v>
      </c>
      <c r="E189" s="559"/>
      <c r="F189" s="560">
        <f>SUM(F187:F188)</f>
        <v>4.6946608866700802E-2</v>
      </c>
      <c r="G189" s="559"/>
      <c r="H189" s="560">
        <f>SUM(H187:H188)</f>
        <v>4.7201589488962678E-2</v>
      </c>
      <c r="I189" s="559"/>
      <c r="J189" s="560">
        <f>SUM(J187:J188)</f>
        <v>4.7459492525233286E-2</v>
      </c>
      <c r="K189" s="559"/>
      <c r="L189" s="560">
        <f>SUM(L187:L188)</f>
        <v>4.7720368507166967E-2</v>
      </c>
      <c r="M189" s="559"/>
      <c r="N189" s="560">
        <f>SUM(N187:N188)</f>
        <v>4.8251247327545099E-2</v>
      </c>
      <c r="O189"/>
      <c r="P189"/>
      <c r="AMK189" s="369"/>
      <c r="AML189" s="369"/>
    </row>
    <row r="190" spans="1:16 1025:1026" x14ac:dyDescent="0.2">
      <c r="A190" s="539" t="s">
        <v>591</v>
      </c>
      <c r="B190" s="553">
        <f>1/'Prod. GEXPEL'!K18</f>
        <v>1.1111111111111112E-4</v>
      </c>
      <c r="C190" s="541">
        <f>D139</f>
        <v>4449.6991605793282</v>
      </c>
      <c r="D190" s="541">
        <f>B190*C190</f>
        <v>0.49441101784214758</v>
      </c>
      <c r="E190" s="541">
        <f>D140</f>
        <v>4474.9099206959254</v>
      </c>
      <c r="F190" s="541">
        <f>B190*E190</f>
        <v>0.49721221341065841</v>
      </c>
      <c r="G190" s="541">
        <f>D141</f>
        <v>4500.4079829221128</v>
      </c>
      <c r="H190" s="541">
        <f>B190*G190</f>
        <v>0.50004533143579033</v>
      </c>
      <c r="I190" s="541">
        <f>D142</f>
        <v>4526.1982865491736</v>
      </c>
      <c r="J190" s="541">
        <f>D190*I190</f>
        <v>2237.8023018081612</v>
      </c>
      <c r="K190" s="541">
        <f>D143</f>
        <v>4552.2858847425414</v>
      </c>
      <c r="L190" s="541">
        <f>B190*K190</f>
        <v>0.50580954274917134</v>
      </c>
      <c r="M190" s="541">
        <f>D144</f>
        <v>4605.3737667803553</v>
      </c>
      <c r="N190" s="541">
        <f>B190*M190</f>
        <v>0.51170819630892839</v>
      </c>
      <c r="O190"/>
      <c r="P190"/>
      <c r="AMK190" s="369"/>
      <c r="AML190" s="369"/>
    </row>
    <row r="191" spans="1:16 1025:1026" x14ac:dyDescent="0.2">
      <c r="A191" s="542" t="s">
        <v>576</v>
      </c>
      <c r="B191" s="540">
        <f>B190/'Prod. GEXPEL'!Q18</f>
        <v>5.5555555555555558E-6</v>
      </c>
      <c r="C191" s="541">
        <f>I142</f>
        <v>4395.0193194830927</v>
      </c>
      <c r="D191" s="541">
        <f>B191*C191</f>
        <v>2.4416773997128292E-2</v>
      </c>
      <c r="E191" s="541">
        <f>I142</f>
        <v>4395.0193194830927</v>
      </c>
      <c r="F191" s="541">
        <f>B191*E191</f>
        <v>2.4416773997128292E-2</v>
      </c>
      <c r="G191" s="541">
        <f>I142</f>
        <v>4395.0193194830927</v>
      </c>
      <c r="H191" s="541">
        <f>B191*G191</f>
        <v>2.4416773997128292E-2</v>
      </c>
      <c r="I191" s="541">
        <f>I142</f>
        <v>4395.0193194830927</v>
      </c>
      <c r="J191" s="541">
        <f>D191*I191</f>
        <v>107.31219343683127</v>
      </c>
      <c r="K191" s="541">
        <f>I142</f>
        <v>4395.0193194830927</v>
      </c>
      <c r="L191" s="541">
        <f>B191*K191</f>
        <v>2.4416773997128292E-2</v>
      </c>
      <c r="M191" s="541">
        <f>I142</f>
        <v>4395.0193194830927</v>
      </c>
      <c r="N191" s="541">
        <f>B191*M191</f>
        <v>2.4416773997128292E-2</v>
      </c>
      <c r="O191"/>
      <c r="P191"/>
      <c r="AMK191" s="369"/>
      <c r="AML191" s="369"/>
    </row>
    <row r="192" spans="1:16 1025:1026" x14ac:dyDescent="0.2">
      <c r="A192" s="557" t="s">
        <v>592</v>
      </c>
      <c r="B192" s="561"/>
      <c r="C192" s="559"/>
      <c r="D192" s="560">
        <f>SUM(D190:D191)</f>
        <v>0.51882779183927585</v>
      </c>
      <c r="E192" s="559"/>
      <c r="F192" s="560">
        <f>SUM(F190:F191)</f>
        <v>0.52162898740778674</v>
      </c>
      <c r="G192" s="559"/>
      <c r="H192" s="560">
        <f>SUM(H190:H191)</f>
        <v>0.5244621054329186</v>
      </c>
      <c r="I192" s="559"/>
      <c r="J192" s="560">
        <f>SUM(J190:J191)</f>
        <v>2345.1144952449927</v>
      </c>
      <c r="K192" s="559"/>
      <c r="L192" s="560">
        <f>SUM(L190:L191)</f>
        <v>0.53022631674629961</v>
      </c>
      <c r="M192" s="559"/>
      <c r="N192" s="560">
        <f>SUM(N190:N191)</f>
        <v>0.53612497030605666</v>
      </c>
      <c r="O192"/>
      <c r="P192"/>
      <c r="AMK192" s="369"/>
      <c r="AML192" s="369"/>
    </row>
    <row r="193" spans="1:16 1025:1026" x14ac:dyDescent="0.2">
      <c r="A193" s="550"/>
      <c r="B193" s="555"/>
      <c r="C193" s="555"/>
      <c r="D193" s="555"/>
      <c r="E193" s="555"/>
      <c r="F193" s="555"/>
      <c r="G193" s="555"/>
      <c r="H193" s="555"/>
      <c r="I193" s="555"/>
      <c r="J193" s="555"/>
      <c r="K193"/>
      <c r="L193"/>
      <c r="M193"/>
      <c r="N193"/>
      <c r="O193"/>
      <c r="P193"/>
      <c r="AMK193" s="369"/>
      <c r="AML193" s="369"/>
    </row>
    <row r="194" spans="1:16 1025:1026" ht="14.25" customHeight="1" x14ac:dyDescent="0.2">
      <c r="A194" s="899" t="s">
        <v>593</v>
      </c>
      <c r="B194" s="899"/>
      <c r="C194" s="899" t="s">
        <v>565</v>
      </c>
      <c r="D194" s="899"/>
      <c r="E194" s="899" t="s">
        <v>566</v>
      </c>
      <c r="F194" s="899"/>
      <c r="G194" s="899" t="s">
        <v>567</v>
      </c>
      <c r="H194" s="899"/>
      <c r="I194" s="899" t="s">
        <v>568</v>
      </c>
      <c r="J194" s="899"/>
      <c r="K194" s="899" t="s">
        <v>569</v>
      </c>
      <c r="L194" s="899"/>
      <c r="M194" s="899" t="s">
        <v>570</v>
      </c>
      <c r="N194" s="899"/>
      <c r="O194"/>
      <c r="P194"/>
      <c r="AMK194" s="369"/>
      <c r="AML194" s="369"/>
    </row>
    <row r="195" spans="1:16 1025:1026" ht="38.25" x14ac:dyDescent="0.2">
      <c r="A195" s="537" t="s">
        <v>571</v>
      </c>
      <c r="B195" s="538" t="s">
        <v>582</v>
      </c>
      <c r="C195" s="538" t="s">
        <v>573</v>
      </c>
      <c r="D195" s="538" t="s">
        <v>574</v>
      </c>
      <c r="E195" s="538" t="s">
        <v>573</v>
      </c>
      <c r="F195" s="538" t="s">
        <v>574</v>
      </c>
      <c r="G195" s="538" t="s">
        <v>573</v>
      </c>
      <c r="H195" s="538" t="s">
        <v>574</v>
      </c>
      <c r="I195" s="538" t="s">
        <v>573</v>
      </c>
      <c r="J195" s="538" t="s">
        <v>574</v>
      </c>
      <c r="K195" s="538" t="s">
        <v>573</v>
      </c>
      <c r="L195" s="538" t="s">
        <v>574</v>
      </c>
      <c r="M195" s="538" t="s">
        <v>573</v>
      </c>
      <c r="N195" s="538" t="s">
        <v>574</v>
      </c>
      <c r="O195"/>
      <c r="P195"/>
      <c r="AMK195" s="369"/>
      <c r="AML195" s="369"/>
    </row>
    <row r="196" spans="1:16 1025:1026" x14ac:dyDescent="0.2">
      <c r="A196" s="562" t="s">
        <v>594</v>
      </c>
      <c r="B196" s="553">
        <f>(1/'Prod. GEXPEL'!L18)*(1/(30/7*44*6))*8</f>
        <v>4.4191919191919199E-5</v>
      </c>
      <c r="C196" s="563">
        <f>H139</f>
        <v>4716.2477098534882</v>
      </c>
      <c r="D196" s="541">
        <f>B196*C196</f>
        <v>0.20842003768291933</v>
      </c>
      <c r="E196" s="563">
        <f>H140</f>
        <v>4742.9686600509585</v>
      </c>
      <c r="F196" s="541">
        <f>B196*E196</f>
        <v>0.20960088775477723</v>
      </c>
      <c r="G196" s="563">
        <f>H141</f>
        <v>4769.9941225013918</v>
      </c>
      <c r="H196" s="541">
        <f>B196*G196</f>
        <v>0.21079519480751102</v>
      </c>
      <c r="I196" s="563">
        <f>H142</f>
        <v>4797.3293323724592</v>
      </c>
      <c r="J196" s="541">
        <f>B196*I196</f>
        <v>0.21200319019322739</v>
      </c>
      <c r="K196" s="563">
        <f>H143</f>
        <v>4824.9796455273445</v>
      </c>
      <c r="L196" s="541">
        <f>B196*K196</f>
        <v>0.21322511059779933</v>
      </c>
      <c r="M196" s="563">
        <f>H144</f>
        <v>4881.2476297317444</v>
      </c>
      <c r="N196" s="541">
        <f>B196*M196</f>
        <v>0.21571170080885238</v>
      </c>
      <c r="O196"/>
      <c r="P196"/>
      <c r="AMK196" s="369"/>
      <c r="AML196" s="369"/>
    </row>
    <row r="197" spans="1:16 1025:1026" x14ac:dyDescent="0.2">
      <c r="A197" s="542" t="s">
        <v>576</v>
      </c>
      <c r="B197" s="553">
        <f>B196/4</f>
        <v>1.10479797979798E-5</v>
      </c>
      <c r="C197" s="541">
        <f>I142</f>
        <v>4395.0193194830927</v>
      </c>
      <c r="D197" s="541">
        <f>B197*C197</f>
        <v>4.8556084653380134E-2</v>
      </c>
      <c r="E197" s="541">
        <f>I142</f>
        <v>4395.0193194830927</v>
      </c>
      <c r="F197" s="541">
        <f>B197*E197</f>
        <v>4.8556084653380134E-2</v>
      </c>
      <c r="G197" s="541">
        <f>I142</f>
        <v>4395.0193194830927</v>
      </c>
      <c r="H197" s="541">
        <f>B197*G197</f>
        <v>4.8556084653380134E-2</v>
      </c>
      <c r="I197" s="541">
        <f>I142</f>
        <v>4395.0193194830927</v>
      </c>
      <c r="J197" s="541">
        <f>B197*I197</f>
        <v>4.8556084653380134E-2</v>
      </c>
      <c r="K197" s="541">
        <f>I142</f>
        <v>4395.0193194830927</v>
      </c>
      <c r="L197" s="541">
        <f>B197*K197</f>
        <v>4.8556084653380134E-2</v>
      </c>
      <c r="M197" s="541">
        <f>I144</f>
        <v>4472.3987273518087</v>
      </c>
      <c r="N197" s="541">
        <f>B197*M197</f>
        <v>4.9410970788293346E-2</v>
      </c>
      <c r="O197" s="897" t="s">
        <v>577</v>
      </c>
      <c r="P197" s="897"/>
      <c r="AMK197" s="369"/>
      <c r="AML197" s="369"/>
    </row>
    <row r="198" spans="1:16 1025:1026" x14ac:dyDescent="0.2">
      <c r="A198" s="564" t="s">
        <v>595</v>
      </c>
      <c r="B198" s="565"/>
      <c r="C198" s="566"/>
      <c r="D198" s="567">
        <f>SUM(D196:D197)</f>
        <v>0.25697612233629946</v>
      </c>
      <c r="E198" s="566"/>
      <c r="F198" s="567">
        <f>SUM(F196:F197)</f>
        <v>0.25815697240815738</v>
      </c>
      <c r="G198" s="566"/>
      <c r="H198" s="567">
        <f>SUM(H196:H197)</f>
        <v>0.25935127946089115</v>
      </c>
      <c r="I198" s="566"/>
      <c r="J198" s="567">
        <f>SUM(J196:J197)</f>
        <v>0.26055927484660751</v>
      </c>
      <c r="K198" s="566"/>
      <c r="L198" s="567">
        <f>SUM(L196:L197)</f>
        <v>0.26178119525117949</v>
      </c>
      <c r="M198" s="566"/>
      <c r="N198" s="567">
        <f>SUM(N196:N197)</f>
        <v>0.26512267159714575</v>
      </c>
      <c r="O198" s="547">
        <v>0.2</v>
      </c>
      <c r="P198" s="548">
        <v>0.3</v>
      </c>
      <c r="AMK198" s="369"/>
      <c r="AML198" s="369"/>
    </row>
    <row r="199" spans="1:16 1025:1026" x14ac:dyDescent="0.2">
      <c r="A199" s="562" t="s">
        <v>596</v>
      </c>
      <c r="B199" s="553">
        <f>1/'Prod. GEXPEL'!M18*16*(1/188.76)</f>
        <v>2.2306242401936183E-4</v>
      </c>
      <c r="C199" s="541">
        <f>D139</f>
        <v>4449.6991605793282</v>
      </c>
      <c r="D199" s="541">
        <f>B199*C199</f>
        <v>0.99256068091574456</v>
      </c>
      <c r="E199" s="541">
        <f>D140</f>
        <v>4474.9099206959254</v>
      </c>
      <c r="F199" s="541">
        <f>B199*E199</f>
        <v>0.99818425417872336</v>
      </c>
      <c r="G199" s="541">
        <f>D141</f>
        <v>4500.4079829221128</v>
      </c>
      <c r="H199" s="541">
        <f>B199*G199</f>
        <v>1.0038719137466932</v>
      </c>
      <c r="I199" s="541">
        <f>D142</f>
        <v>4526.1982865491736</v>
      </c>
      <c r="J199" s="541">
        <f>B199*I199</f>
        <v>1.0096247613899407</v>
      </c>
      <c r="K199" s="541">
        <f>D143</f>
        <v>4552.2858847425414</v>
      </c>
      <c r="L199" s="541">
        <f>B199*K199</f>
        <v>1.0154439242797966</v>
      </c>
      <c r="M199" s="541">
        <f>D144</f>
        <v>4605.3737667803553</v>
      </c>
      <c r="N199" s="541">
        <f>B199*M199</f>
        <v>1.0272858359332051</v>
      </c>
      <c r="O199"/>
      <c r="P199"/>
      <c r="AMK199" s="369"/>
      <c r="AML199" s="369"/>
    </row>
    <row r="200" spans="1:16 1025:1026" x14ac:dyDescent="0.2">
      <c r="A200" s="542" t="s">
        <v>576</v>
      </c>
      <c r="B200" s="553">
        <f>1/('Prod. GEXPEL'!Q18*'Prod. GEXPEL'!M18)*16*(1/188.76)</f>
        <v>1.1153121200968092E-5</v>
      </c>
      <c r="C200" s="541">
        <f>I142</f>
        <v>4395.0193194830927</v>
      </c>
      <c r="D200" s="541">
        <f>B200*C200</f>
        <v>4.9018183150791234E-2</v>
      </c>
      <c r="E200" s="541">
        <f>I142</f>
        <v>4395.0193194830927</v>
      </c>
      <c r="F200" s="541">
        <f>B200*E200</f>
        <v>4.9018183150791234E-2</v>
      </c>
      <c r="G200" s="541">
        <f>I142</f>
        <v>4395.0193194830927</v>
      </c>
      <c r="H200" s="541">
        <f>B200*G200</f>
        <v>4.9018183150791234E-2</v>
      </c>
      <c r="I200" s="541">
        <f>I142</f>
        <v>4395.0193194830927</v>
      </c>
      <c r="J200" s="541">
        <f>B200*I200</f>
        <v>4.9018183150791234E-2</v>
      </c>
      <c r="K200" s="541">
        <f>I142</f>
        <v>4395.0193194830927</v>
      </c>
      <c r="L200" s="541">
        <f>B200*K200</f>
        <v>4.9018183150791234E-2</v>
      </c>
      <c r="M200" s="541">
        <f>I144</f>
        <v>4472.3987273518087</v>
      </c>
      <c r="N200" s="541">
        <f>B200*M200</f>
        <v>4.9881205065210169E-2</v>
      </c>
      <c r="O200" s="897"/>
      <c r="P200" s="897"/>
      <c r="AMK200" s="369"/>
      <c r="AML200" s="369"/>
    </row>
    <row r="201" spans="1:16 1025:1026" x14ac:dyDescent="0.2">
      <c r="A201" s="564" t="s">
        <v>597</v>
      </c>
      <c r="B201" s="565"/>
      <c r="C201" s="566"/>
      <c r="D201" s="567">
        <f>SUM(D199:D200)</f>
        <v>1.0415788640665358</v>
      </c>
      <c r="E201" s="566"/>
      <c r="F201" s="567">
        <f>SUM(F199:F200)</f>
        <v>1.0472024373295146</v>
      </c>
      <c r="G201" s="566"/>
      <c r="H201" s="567">
        <f>SUM(H199:H200)</f>
        <v>1.0528900968974844</v>
      </c>
      <c r="I201" s="566"/>
      <c r="J201" s="567">
        <f>SUM(J199:J200)</f>
        <v>1.0586429445407319</v>
      </c>
      <c r="K201" s="566"/>
      <c r="L201" s="567">
        <f>SUM(L199:L200)</f>
        <v>1.0644621074305878</v>
      </c>
      <c r="M201" s="566"/>
      <c r="N201" s="567">
        <f>SUM(N199:N200)</f>
        <v>1.0771670409984153</v>
      </c>
      <c r="O201" s="547"/>
      <c r="P201" s="548"/>
      <c r="AMK201" s="369"/>
      <c r="AML201" s="369"/>
    </row>
    <row r="202" spans="1:16 1025:1026" x14ac:dyDescent="0.2">
      <c r="A202" s="539" t="s">
        <v>598</v>
      </c>
      <c r="B202" s="553">
        <f>1/'Prod. GEXPEL'!N18*16*(1/188.76)</f>
        <v>2.2306242401936183E-4</v>
      </c>
      <c r="C202" s="541">
        <f>D139</f>
        <v>4449.6991605793282</v>
      </c>
      <c r="D202" s="541">
        <f>B202*C202</f>
        <v>0.99256068091574456</v>
      </c>
      <c r="E202" s="541">
        <f>D140</f>
        <v>4474.9099206959254</v>
      </c>
      <c r="F202" s="541">
        <f>B202*E202</f>
        <v>0.99818425417872336</v>
      </c>
      <c r="G202" s="541">
        <f>D141</f>
        <v>4500.4079829221128</v>
      </c>
      <c r="H202" s="541">
        <f>B202*G202</f>
        <v>1.0038719137466932</v>
      </c>
      <c r="I202" s="541">
        <f>D142</f>
        <v>4526.1982865491736</v>
      </c>
      <c r="J202" s="541">
        <f>B202*I202</f>
        <v>1.0096247613899407</v>
      </c>
      <c r="K202" s="541">
        <f>D143</f>
        <v>4552.2858847425414</v>
      </c>
      <c r="L202" s="541">
        <f>B202*K202</f>
        <v>1.0154439242797966</v>
      </c>
      <c r="M202" s="541">
        <f>D144</f>
        <v>4605.3737667803553</v>
      </c>
      <c r="N202" s="541">
        <f>B202*M202</f>
        <v>1.0272858359332051</v>
      </c>
      <c r="O202"/>
      <c r="P202"/>
      <c r="AMK202" s="369"/>
      <c r="AML202" s="369"/>
    </row>
    <row r="203" spans="1:16 1025:1026" x14ac:dyDescent="0.2">
      <c r="A203" s="542" t="s">
        <v>576</v>
      </c>
      <c r="B203" s="553">
        <f>1/('Prod. GEXPEL'!Q18*'Prod. GEXPEL'!N18)*16*(1/188.76)</f>
        <v>1.1153121200968092E-5</v>
      </c>
      <c r="C203" s="541">
        <f>I142</f>
        <v>4395.0193194830927</v>
      </c>
      <c r="D203" s="541">
        <f>B203*C203</f>
        <v>4.9018183150791234E-2</v>
      </c>
      <c r="E203" s="541">
        <f>I142</f>
        <v>4395.0193194830927</v>
      </c>
      <c r="F203" s="541">
        <f>B203*E203</f>
        <v>4.9018183150791234E-2</v>
      </c>
      <c r="G203" s="541">
        <f>I142</f>
        <v>4395.0193194830927</v>
      </c>
      <c r="H203" s="541">
        <f>B203*G203</f>
        <v>4.9018183150791234E-2</v>
      </c>
      <c r="I203" s="541">
        <f>I142</f>
        <v>4395.0193194830927</v>
      </c>
      <c r="J203" s="541">
        <f>B203*I203</f>
        <v>4.9018183150791234E-2</v>
      </c>
      <c r="K203" s="541">
        <f>I142</f>
        <v>4395.0193194830927</v>
      </c>
      <c r="L203" s="541">
        <f>B203*K203</f>
        <v>4.9018183150791234E-2</v>
      </c>
      <c r="M203" s="541">
        <f>I144</f>
        <v>4472.3987273518087</v>
      </c>
      <c r="N203" s="541">
        <f>B203*M203</f>
        <v>4.9881205065210169E-2</v>
      </c>
      <c r="O203" s="897" t="s">
        <v>577</v>
      </c>
      <c r="P203" s="897"/>
      <c r="AMK203" s="369"/>
      <c r="AML203" s="369"/>
    </row>
    <row r="204" spans="1:16 1025:1026" x14ac:dyDescent="0.2">
      <c r="A204" s="564" t="s">
        <v>599</v>
      </c>
      <c r="B204" s="565"/>
      <c r="C204" s="566"/>
      <c r="D204" s="567">
        <f>SUM(D202:D203)</f>
        <v>1.0415788640665358</v>
      </c>
      <c r="E204" s="566"/>
      <c r="F204" s="567">
        <f>SUM(F202:F203)</f>
        <v>1.0472024373295146</v>
      </c>
      <c r="G204" s="566"/>
      <c r="H204" s="567">
        <f>SUM(H202:H203)</f>
        <v>1.0528900968974844</v>
      </c>
      <c r="I204" s="566"/>
      <c r="J204" s="567">
        <f>SUM(J202:J203)</f>
        <v>1.0586429445407319</v>
      </c>
      <c r="K204" s="566"/>
      <c r="L204" s="567">
        <f>SUM(L202:L203)</f>
        <v>1.0644621074305878</v>
      </c>
      <c r="M204" s="566"/>
      <c r="N204" s="567">
        <f>SUM(N202:N203)</f>
        <v>1.0771670409984153</v>
      </c>
      <c r="O204" s="547">
        <v>0.82</v>
      </c>
      <c r="P204" s="548">
        <v>1.26</v>
      </c>
      <c r="AMK204" s="369"/>
      <c r="AML204" s="369"/>
    </row>
    <row r="205" spans="1:16 1025:1026" x14ac:dyDescent="0.2">
      <c r="A205" s="536"/>
    </row>
  </sheetData>
  <mergeCells count="94">
    <mergeCell ref="O197:P197"/>
    <mergeCell ref="O200:P200"/>
    <mergeCell ref="O203:P203"/>
    <mergeCell ref="M182:N182"/>
    <mergeCell ref="O185:P185"/>
    <mergeCell ref="M194:N194"/>
    <mergeCell ref="A194:B194"/>
    <mergeCell ref="C194:D194"/>
    <mergeCell ref="E194:F194"/>
    <mergeCell ref="G194:H194"/>
    <mergeCell ref="K194:L194"/>
    <mergeCell ref="I194:J194"/>
    <mergeCell ref="A182:B182"/>
    <mergeCell ref="C182:D182"/>
    <mergeCell ref="E182:F182"/>
    <mergeCell ref="G182:H182"/>
    <mergeCell ref="K182:L182"/>
    <mergeCell ref="I182:J182"/>
    <mergeCell ref="M170:N170"/>
    <mergeCell ref="A176:B176"/>
    <mergeCell ref="C176:D176"/>
    <mergeCell ref="E176:F176"/>
    <mergeCell ref="G176:H176"/>
    <mergeCell ref="K176:L176"/>
    <mergeCell ref="M176:N176"/>
    <mergeCell ref="A170:B170"/>
    <mergeCell ref="C170:D170"/>
    <mergeCell ref="E170:F170"/>
    <mergeCell ref="G170:H170"/>
    <mergeCell ref="K170:L170"/>
    <mergeCell ref="I176:J176"/>
    <mergeCell ref="O161:P161"/>
    <mergeCell ref="A164:B164"/>
    <mergeCell ref="C164:D164"/>
    <mergeCell ref="E164:F164"/>
    <mergeCell ref="G164:H164"/>
    <mergeCell ref="K164:L164"/>
    <mergeCell ref="M164:N164"/>
    <mergeCell ref="K152:L152"/>
    <mergeCell ref="M152:N152"/>
    <mergeCell ref="O155:P155"/>
    <mergeCell ref="A158:B158"/>
    <mergeCell ref="C158:D158"/>
    <mergeCell ref="E158:F158"/>
    <mergeCell ref="G158:H158"/>
    <mergeCell ref="K158:L158"/>
    <mergeCell ref="M158:N158"/>
    <mergeCell ref="A131:B131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92:B92"/>
    <mergeCell ref="A115:A120"/>
    <mergeCell ref="A123:I123"/>
    <mergeCell ref="A124:I124"/>
    <mergeCell ref="A125:B125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  <mergeCell ref="A136:B136"/>
    <mergeCell ref="I152:J152"/>
    <mergeCell ref="I158:J158"/>
    <mergeCell ref="I164:J164"/>
    <mergeCell ref="I170:J170"/>
    <mergeCell ref="A137:B137"/>
    <mergeCell ref="A138:B138"/>
    <mergeCell ref="A152:B152"/>
    <mergeCell ref="C152:D152"/>
    <mergeCell ref="E152:F152"/>
    <mergeCell ref="G152:H15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F146"/>
  <sheetViews>
    <sheetView topLeftCell="A130" zoomScaleNormal="100" workbookViewId="0">
      <selection activeCell="E14" sqref="E14"/>
    </sheetView>
  </sheetViews>
  <sheetFormatPr defaultColWidth="9" defaultRowHeight="14.25" x14ac:dyDescent="0.2"/>
  <cols>
    <col min="1" max="1" width="55.5" style="369" customWidth="1"/>
    <col min="2" max="5" width="14" style="369" customWidth="1"/>
    <col min="6" max="1020" width="9" style="369"/>
    <col min="1021" max="1024" width="8.625" customWidth="1"/>
  </cols>
  <sheetData>
    <row r="1" spans="1:1020" ht="15.75" x14ac:dyDescent="0.2">
      <c r="A1" s="878" t="s">
        <v>441</v>
      </c>
      <c r="B1" s="878"/>
      <c r="C1" s="878"/>
      <c r="D1" s="878"/>
      <c r="E1" s="87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1:1020" ht="15.75" x14ac:dyDescent="0.2">
      <c r="A2" s="879" t="s">
        <v>442</v>
      </c>
      <c r="B2" s="879"/>
      <c r="C2" s="879"/>
      <c r="D2" s="879"/>
      <c r="E2" s="879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1:1020" ht="15.75" customHeight="1" x14ac:dyDescent="0.2">
      <c r="A3" s="879" t="s">
        <v>443</v>
      </c>
      <c r="B3" s="879"/>
      <c r="C3" s="879"/>
      <c r="D3" s="879"/>
      <c r="E3" s="87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1:1020" ht="15.75" x14ac:dyDescent="0.2">
      <c r="A4" s="370"/>
      <c r="B4" s="371"/>
      <c r="C4" s="372" t="s">
        <v>444</v>
      </c>
      <c r="D4" s="375" t="s">
        <v>445</v>
      </c>
      <c r="E4" s="375" t="s">
        <v>446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0" x14ac:dyDescent="0.2">
      <c r="A5" s="376"/>
      <c r="B5" s="377" t="s">
        <v>449</v>
      </c>
      <c r="C5" s="378">
        <f>MC!D11</f>
        <v>1194.6272727272726</v>
      </c>
      <c r="D5" s="378">
        <f>MC!E11</f>
        <v>895.97045454545446</v>
      </c>
      <c r="E5" s="380">
        <f>MC!F11</f>
        <v>597.31363636363631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1:1020" x14ac:dyDescent="0.2">
      <c r="A6" s="376"/>
      <c r="B6" s="377" t="s">
        <v>450</v>
      </c>
      <c r="C6" s="381">
        <f>MC!E8</f>
        <v>44562</v>
      </c>
      <c r="D6" s="383">
        <f>MC!E8</f>
        <v>44562</v>
      </c>
      <c r="E6" s="383">
        <f>MC!E8</f>
        <v>44562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1:1020" x14ac:dyDescent="0.2">
      <c r="A7" s="376"/>
      <c r="B7" s="377" t="s">
        <v>451</v>
      </c>
      <c r="C7" s="381" t="str">
        <f>MC!C8</f>
        <v>RS000051/2022</v>
      </c>
      <c r="D7" s="383" t="str">
        <f>MC!C8</f>
        <v>RS000051/2022</v>
      </c>
      <c r="E7" s="383" t="str">
        <f>MC!C8</f>
        <v>RS000051/2022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0" x14ac:dyDescent="0.2">
      <c r="A8" s="376"/>
      <c r="B8" s="377" t="s">
        <v>452</v>
      </c>
      <c r="C8" s="384" t="str">
        <f>MC!F8</f>
        <v>5143-20</v>
      </c>
      <c r="D8" s="386" t="str">
        <f>MC!F8</f>
        <v>5143-20</v>
      </c>
      <c r="E8" s="386" t="str">
        <f>MC!F8</f>
        <v>5143-20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0" x14ac:dyDescent="0.2">
      <c r="A9" s="892"/>
      <c r="B9" s="892"/>
      <c r="C9" s="892"/>
      <c r="D9" s="892"/>
      <c r="E9" s="892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0" ht="66.75" customHeight="1" x14ac:dyDescent="0.2">
      <c r="A10" s="758" t="s">
        <v>453</v>
      </c>
      <c r="B10" s="759" t="s">
        <v>454</v>
      </c>
      <c r="C10" s="759" t="s">
        <v>600</v>
      </c>
      <c r="D10" s="759" t="s">
        <v>601</v>
      </c>
      <c r="E10" s="760" t="s">
        <v>602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0" ht="14.25" customHeight="1" x14ac:dyDescent="0.2">
      <c r="A11" s="900" t="s">
        <v>462</v>
      </c>
      <c r="B11" s="901"/>
      <c r="C11" s="901"/>
      <c r="D11" s="901"/>
      <c r="E11" s="902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0" ht="14.25" customHeight="1" x14ac:dyDescent="0.2">
      <c r="A12" s="698" t="s">
        <v>463</v>
      </c>
      <c r="B12" s="688" t="s">
        <v>464</v>
      </c>
      <c r="C12" s="688" t="s">
        <v>465</v>
      </c>
      <c r="D12" s="688" t="s">
        <v>465</v>
      </c>
      <c r="E12" s="699" t="s">
        <v>465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0" ht="14.25" customHeight="1" x14ac:dyDescent="0.2">
      <c r="A13" s="700" t="s">
        <v>466</v>
      </c>
      <c r="B13" s="755"/>
      <c r="C13" s="711">
        <f>C5</f>
        <v>1194.6272727272726</v>
      </c>
      <c r="D13" s="711">
        <f>D5</f>
        <v>895.97045454545446</v>
      </c>
      <c r="E13" s="717">
        <f>E5</f>
        <v>597.31363636363631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1:1020" ht="14.25" customHeight="1" x14ac:dyDescent="0.2">
      <c r="A14" s="700" t="s">
        <v>467</v>
      </c>
      <c r="B14" s="761">
        <v>0.2</v>
      </c>
      <c r="C14" s="711">
        <f>C13*$B$14</f>
        <v>238.92545454545453</v>
      </c>
      <c r="D14" s="711">
        <f>D13*$B$14</f>
        <v>179.1940909090909</v>
      </c>
      <c r="E14" s="711">
        <f>E13*$B$14</f>
        <v>119.46272727272726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0" ht="14.25" customHeight="1" x14ac:dyDescent="0.2">
      <c r="A15" s="700" t="s">
        <v>470</v>
      </c>
      <c r="B15" s="756"/>
      <c r="C15" s="711"/>
      <c r="D15" s="711"/>
      <c r="E15" s="717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0" ht="14.25" customHeight="1" x14ac:dyDescent="0.2">
      <c r="A16" s="700" t="s">
        <v>471</v>
      </c>
      <c r="B16" s="756"/>
      <c r="C16" s="711"/>
      <c r="D16" s="711"/>
      <c r="E16" s="717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0" ht="14.25" customHeight="1" x14ac:dyDescent="0.2">
      <c r="A17" s="700" t="s">
        <v>472</v>
      </c>
      <c r="B17" s="756"/>
      <c r="C17" s="711"/>
      <c r="D17" s="711"/>
      <c r="E17" s="7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1:1020" ht="14.25" customHeight="1" x14ac:dyDescent="0.2">
      <c r="A18" s="700" t="s">
        <v>473</v>
      </c>
      <c r="B18" s="757"/>
      <c r="C18" s="711"/>
      <c r="D18" s="711"/>
      <c r="E18" s="717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1:1020" ht="14.25" customHeight="1" x14ac:dyDescent="0.2">
      <c r="A19" s="737" t="s">
        <v>474</v>
      </c>
      <c r="B19" s="738"/>
      <c r="C19" s="739">
        <f>SUM(C13:C18)</f>
        <v>1433.5527272727272</v>
      </c>
      <c r="D19" s="739">
        <f>SUM(D13:D18)</f>
        <v>1075.1645454545453</v>
      </c>
      <c r="E19" s="740">
        <f>SUM(E13:E18)</f>
        <v>716.77636363636361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1:1020" ht="14.25" customHeight="1" x14ac:dyDescent="0.2">
      <c r="A20" s="903"/>
      <c r="B20" s="903"/>
      <c r="C20" s="903"/>
      <c r="D20" s="903"/>
      <c r="E20" s="90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1:1020" ht="14.25" customHeight="1" x14ac:dyDescent="0.2">
      <c r="A21" s="904" t="s">
        <v>475</v>
      </c>
      <c r="B21" s="905"/>
      <c r="C21" s="905"/>
      <c r="D21" s="905"/>
      <c r="E21" s="90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1:1020" ht="14.25" customHeight="1" x14ac:dyDescent="0.2">
      <c r="A22" s="732" t="s">
        <v>476</v>
      </c>
      <c r="B22" s="725" t="s">
        <v>464</v>
      </c>
      <c r="C22" s="725" t="s">
        <v>465</v>
      </c>
      <c r="D22" s="725" t="s">
        <v>465</v>
      </c>
      <c r="E22" s="733" t="s">
        <v>465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1:1020" ht="14.25" customHeight="1" x14ac:dyDescent="0.2">
      <c r="A23" s="716" t="s">
        <v>477</v>
      </c>
      <c r="B23" s="689">
        <f>1/12</f>
        <v>8.3333333333333329E-2</v>
      </c>
      <c r="C23" s="711">
        <f>ROUND($B23*C$19,2)</f>
        <v>119.46</v>
      </c>
      <c r="D23" s="711">
        <f>ROUND($B23*D$19,2)</f>
        <v>89.6</v>
      </c>
      <c r="E23" s="717">
        <f>ROUND($B23*E$19,2)</f>
        <v>59.73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1:1020" ht="14.25" customHeight="1" x14ac:dyDescent="0.2">
      <c r="A24" s="716" t="s">
        <v>478</v>
      </c>
      <c r="B24" s="689">
        <f>1/3*1/12</f>
        <v>2.7777777777777776E-2</v>
      </c>
      <c r="C24" s="711">
        <f>C$19*$B$24</f>
        <v>39.82090909090909</v>
      </c>
      <c r="D24" s="711">
        <f>D$19*$B$24</f>
        <v>29.865681818181812</v>
      </c>
      <c r="E24" s="717">
        <f>E$19*$B$24</f>
        <v>19.910454545454545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1:1020" ht="14.25" customHeight="1" x14ac:dyDescent="0.2">
      <c r="A25" s="752" t="s">
        <v>474</v>
      </c>
      <c r="B25" s="743">
        <f>SUM(B23:B24)</f>
        <v>0.1111111111111111</v>
      </c>
      <c r="C25" s="731">
        <f>SUM(C23:C24)</f>
        <v>159.28090909090909</v>
      </c>
      <c r="D25" s="731">
        <f>SUM(D23:D24)</f>
        <v>119.46568181818181</v>
      </c>
      <c r="E25" s="753">
        <f>SUM(E23:E24)</f>
        <v>79.640454545454546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1:1020" ht="14.25" customHeight="1" x14ac:dyDescent="0.2">
      <c r="A26" s="732" t="s">
        <v>479</v>
      </c>
      <c r="B26" s="725" t="s">
        <v>464</v>
      </c>
      <c r="C26" s="725" t="s">
        <v>465</v>
      </c>
      <c r="D26" s="725" t="s">
        <v>465</v>
      </c>
      <c r="E26" s="733" t="s">
        <v>465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1:1020" ht="14.25" customHeight="1" x14ac:dyDescent="0.2">
      <c r="A27" s="732" t="s">
        <v>480</v>
      </c>
      <c r="B27" s="724"/>
      <c r="C27" s="724"/>
      <c r="D27" s="724"/>
      <c r="E27" s="75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1:1020" ht="14.25" customHeight="1" x14ac:dyDescent="0.2">
      <c r="A28" s="716" t="s">
        <v>481</v>
      </c>
      <c r="B28" s="689">
        <v>0.2</v>
      </c>
      <c r="C28" s="690">
        <f t="shared" ref="C28:E35" si="0">ROUND((C$19+C$25)*$B28,2)</f>
        <v>318.57</v>
      </c>
      <c r="D28" s="690">
        <f t="shared" si="0"/>
        <v>238.93</v>
      </c>
      <c r="E28" s="701">
        <f t="shared" si="0"/>
        <v>159.28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1:1020" ht="14.25" customHeight="1" x14ac:dyDescent="0.2">
      <c r="A29" s="716" t="s">
        <v>482</v>
      </c>
      <c r="B29" s="689">
        <v>2.5000000000000001E-2</v>
      </c>
      <c r="C29" s="690">
        <f t="shared" si="0"/>
        <v>39.82</v>
      </c>
      <c r="D29" s="690">
        <f t="shared" si="0"/>
        <v>29.87</v>
      </c>
      <c r="E29" s="701">
        <f t="shared" si="0"/>
        <v>19.91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1:1020" ht="14.25" customHeight="1" x14ac:dyDescent="0.2">
      <c r="A30" s="716" t="s">
        <v>483</v>
      </c>
      <c r="B30" s="689">
        <v>0.03</v>
      </c>
      <c r="C30" s="690">
        <f t="shared" si="0"/>
        <v>47.79</v>
      </c>
      <c r="D30" s="690">
        <f t="shared" si="0"/>
        <v>35.840000000000003</v>
      </c>
      <c r="E30" s="701">
        <f t="shared" si="0"/>
        <v>23.89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1:1020" ht="14.25" customHeight="1" x14ac:dyDescent="0.2">
      <c r="A31" s="716" t="s">
        <v>484</v>
      </c>
      <c r="B31" s="689">
        <v>1.4999999999999999E-2</v>
      </c>
      <c r="C31" s="690">
        <f t="shared" si="0"/>
        <v>23.89</v>
      </c>
      <c r="D31" s="690">
        <f t="shared" si="0"/>
        <v>17.920000000000002</v>
      </c>
      <c r="E31" s="701">
        <f t="shared" si="0"/>
        <v>11.95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1:1020" ht="14.25" customHeight="1" x14ac:dyDescent="0.2">
      <c r="A32" s="716" t="s">
        <v>485</v>
      </c>
      <c r="B32" s="689">
        <v>0.01</v>
      </c>
      <c r="C32" s="690">
        <f t="shared" si="0"/>
        <v>15.93</v>
      </c>
      <c r="D32" s="690">
        <f t="shared" si="0"/>
        <v>11.95</v>
      </c>
      <c r="E32" s="701">
        <f t="shared" si="0"/>
        <v>7.96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1:1020" ht="14.25" customHeight="1" x14ac:dyDescent="0.2">
      <c r="A33" s="716" t="s">
        <v>486</v>
      </c>
      <c r="B33" s="689">
        <v>6.0000000000000001E-3</v>
      </c>
      <c r="C33" s="690">
        <f t="shared" si="0"/>
        <v>9.56</v>
      </c>
      <c r="D33" s="690">
        <f t="shared" si="0"/>
        <v>7.17</v>
      </c>
      <c r="E33" s="701">
        <f t="shared" si="0"/>
        <v>4.78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1:1020" ht="14.25" customHeight="1" x14ac:dyDescent="0.2">
      <c r="A34" s="716" t="s">
        <v>487</v>
      </c>
      <c r="B34" s="689">
        <v>2E-3</v>
      </c>
      <c r="C34" s="690">
        <f t="shared" si="0"/>
        <v>3.19</v>
      </c>
      <c r="D34" s="690">
        <f t="shared" si="0"/>
        <v>2.39</v>
      </c>
      <c r="E34" s="701">
        <f t="shared" si="0"/>
        <v>1.59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1:1020" ht="14.25" customHeight="1" x14ac:dyDescent="0.2">
      <c r="A35" s="716" t="s">
        <v>488</v>
      </c>
      <c r="B35" s="689">
        <v>0.08</v>
      </c>
      <c r="C35" s="690">
        <f t="shared" si="0"/>
        <v>127.43</v>
      </c>
      <c r="D35" s="690">
        <f t="shared" si="0"/>
        <v>95.57</v>
      </c>
      <c r="E35" s="701">
        <f t="shared" si="0"/>
        <v>63.71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1:1020" ht="14.25" customHeight="1" x14ac:dyDescent="0.2">
      <c r="A36" s="752" t="s">
        <v>474</v>
      </c>
      <c r="B36" s="743">
        <f>SUM(B28:B35)</f>
        <v>0.36800000000000005</v>
      </c>
      <c r="C36" s="731">
        <f>SUM(C27:C35)</f>
        <v>586.18000000000006</v>
      </c>
      <c r="D36" s="731">
        <f>SUM(D27:D35)</f>
        <v>439.64</v>
      </c>
      <c r="E36" s="753">
        <f>SUM(E27:E35)</f>
        <v>293.07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1:1020" ht="14.25" customHeight="1" x14ac:dyDescent="0.2">
      <c r="A37" s="732" t="s">
        <v>489</v>
      </c>
      <c r="B37" s="725" t="s">
        <v>490</v>
      </c>
      <c r="C37" s="725" t="s">
        <v>465</v>
      </c>
      <c r="D37" s="725" t="s">
        <v>465</v>
      </c>
      <c r="E37" s="733" t="s">
        <v>465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1:1020" ht="14.25" customHeight="1" x14ac:dyDescent="0.2">
      <c r="A38" s="716" t="s">
        <v>491</v>
      </c>
      <c r="B38" s="749">
        <f>MC!D85</f>
        <v>3.584848484848485</v>
      </c>
      <c r="C38" s="711">
        <f>ROUND(((2*22*$B$38)-0.06*C$13),2)</f>
        <v>86.06</v>
      </c>
      <c r="D38" s="711">
        <f>ROUND(((2*22*$B$38)-0.06*D$13),2)</f>
        <v>103.98</v>
      </c>
      <c r="E38" s="717">
        <f>ROUND(((2*22*$B$38)-0.06*E$13),2)</f>
        <v>121.89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1:1020" ht="14.25" customHeight="1" x14ac:dyDescent="0.2">
      <c r="A39" s="716" t="s">
        <v>492</v>
      </c>
      <c r="B39" s="750"/>
      <c r="C39" s="690">
        <f>MC!E19</f>
        <v>359.61</v>
      </c>
      <c r="D39" s="690">
        <f>MC!E20</f>
        <v>179.8</v>
      </c>
      <c r="E39" s="701">
        <f>MC!E20</f>
        <v>179.8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1:1020" ht="14.25" customHeight="1" x14ac:dyDescent="0.2">
      <c r="A40" s="716" t="s">
        <v>493</v>
      </c>
      <c r="B40" s="689">
        <f>MC!C24</f>
        <v>0</v>
      </c>
      <c r="C40" s="690"/>
      <c r="D40" s="690"/>
      <c r="E40" s="70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1:1020" ht="14.25" customHeight="1" x14ac:dyDescent="0.2">
      <c r="A41" s="716" t="s">
        <v>603</v>
      </c>
      <c r="B41" s="751">
        <f>MC!E26</f>
        <v>0</v>
      </c>
      <c r="C41" s="690">
        <f>B41</f>
        <v>0</v>
      </c>
      <c r="D41" s="690">
        <f>B41</f>
        <v>0</v>
      </c>
      <c r="E41" s="70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1:1020" ht="14.25" customHeight="1" x14ac:dyDescent="0.2">
      <c r="A42" s="716" t="s">
        <v>604</v>
      </c>
      <c r="B42" s="751">
        <f>MC!E27</f>
        <v>17.32</v>
      </c>
      <c r="C42" s="690">
        <f>$B42</f>
        <v>17.32</v>
      </c>
      <c r="D42" s="690">
        <f>$B42</f>
        <v>17.32</v>
      </c>
      <c r="E42" s="701">
        <f>$B42</f>
        <v>17.32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1:1020" ht="14.25" customHeight="1" x14ac:dyDescent="0.2">
      <c r="A43" s="716" t="s">
        <v>496</v>
      </c>
      <c r="B43" s="689"/>
      <c r="C43" s="690"/>
      <c r="D43" s="690"/>
      <c r="E43" s="70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1:1020" ht="14.25" customHeight="1" x14ac:dyDescent="0.2">
      <c r="A44" s="752" t="s">
        <v>474</v>
      </c>
      <c r="B44" s="730"/>
      <c r="C44" s="731">
        <f>SUM(C38:C43)</f>
        <v>462.99</v>
      </c>
      <c r="D44" s="731">
        <f>SUM(D38:D43)</f>
        <v>301.10000000000002</v>
      </c>
      <c r="E44" s="753">
        <f>SUM(E38:E43)</f>
        <v>319.01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1:1020" ht="14.25" customHeight="1" x14ac:dyDescent="0.2">
      <c r="A45" s="698" t="s">
        <v>497</v>
      </c>
      <c r="B45" s="688" t="s">
        <v>464</v>
      </c>
      <c r="C45" s="688" t="s">
        <v>465</v>
      </c>
      <c r="D45" s="688" t="s">
        <v>465</v>
      </c>
      <c r="E45" s="699" t="s">
        <v>465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1:1020" ht="14.25" customHeight="1" x14ac:dyDescent="0.2">
      <c r="A46" s="716" t="s">
        <v>476</v>
      </c>
      <c r="B46" s="728">
        <f>B25</f>
        <v>0.1111111111111111</v>
      </c>
      <c r="C46" s="729">
        <f>C25</f>
        <v>159.28090909090909</v>
      </c>
      <c r="D46" s="729">
        <f>D25</f>
        <v>119.46568181818181</v>
      </c>
      <c r="E46" s="736">
        <f>E25</f>
        <v>79.640454545454546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1:1020" ht="14.25" customHeight="1" x14ac:dyDescent="0.2">
      <c r="A47" s="716" t="s">
        <v>498</v>
      </c>
      <c r="B47" s="728">
        <f>B36</f>
        <v>0.36800000000000005</v>
      </c>
      <c r="C47" s="729">
        <f>C36</f>
        <v>586.18000000000006</v>
      </c>
      <c r="D47" s="729">
        <f>D36</f>
        <v>439.64</v>
      </c>
      <c r="E47" s="736">
        <f>E36</f>
        <v>293.07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1:1020" ht="14.25" customHeight="1" x14ac:dyDescent="0.2">
      <c r="A48" s="716" t="s">
        <v>489</v>
      </c>
      <c r="B48" s="728"/>
      <c r="C48" s="729">
        <f>C44</f>
        <v>462.99</v>
      </c>
      <c r="D48" s="729">
        <f>D44</f>
        <v>301.10000000000002</v>
      </c>
      <c r="E48" s="736">
        <f>E44</f>
        <v>319.01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1:1020" ht="14.25" customHeight="1" x14ac:dyDescent="0.2">
      <c r="A49" s="737" t="s">
        <v>474</v>
      </c>
      <c r="B49" s="738"/>
      <c r="C49" s="739">
        <f>SUM(C46:C48)</f>
        <v>1208.4509090909091</v>
      </c>
      <c r="D49" s="739">
        <f>SUM(D46:D48)</f>
        <v>860.2056818181818</v>
      </c>
      <c r="E49" s="740">
        <f>SUM(E46:E48)</f>
        <v>691.72045454545446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1:1020" ht="14.25" customHeight="1" x14ac:dyDescent="0.2">
      <c r="A50" s="903"/>
      <c r="B50" s="903"/>
      <c r="C50" s="903"/>
      <c r="D50" s="903"/>
      <c r="E50" s="90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1:1020" s="437" customFormat="1" ht="14.25" customHeight="1" x14ac:dyDescent="0.2">
      <c r="A51" s="904" t="s">
        <v>499</v>
      </c>
      <c r="B51" s="905"/>
      <c r="C51" s="905"/>
      <c r="D51" s="905"/>
      <c r="E51" s="906"/>
    </row>
    <row r="52" spans="1:1020" ht="14.25" customHeight="1" x14ac:dyDescent="0.2">
      <c r="A52" s="698" t="s">
        <v>500</v>
      </c>
      <c r="B52" s="688" t="s">
        <v>464</v>
      </c>
      <c r="C52" s="688" t="s">
        <v>465</v>
      </c>
      <c r="D52" s="688" t="s">
        <v>465</v>
      </c>
      <c r="E52" s="699" t="s">
        <v>465</v>
      </c>
      <c r="F52"/>
    </row>
    <row r="53" spans="1:1020" ht="14.25" customHeight="1" x14ac:dyDescent="0.2">
      <c r="A53" s="732" t="s">
        <v>501</v>
      </c>
      <c r="B53" s="741"/>
      <c r="C53" s="741"/>
      <c r="D53" s="741"/>
      <c r="E53" s="748"/>
      <c r="F53"/>
    </row>
    <row r="54" spans="1:1020" ht="14.25" customHeight="1" x14ac:dyDescent="0.2">
      <c r="A54" s="716" t="s">
        <v>502</v>
      </c>
      <c r="B54" s="728">
        <f>1/12*0.05</f>
        <v>4.1666666666666666E-3</v>
      </c>
      <c r="C54" s="742">
        <f>C19*$B54</f>
        <v>5.973136363636363</v>
      </c>
      <c r="D54" s="742">
        <f>D19*$B54</f>
        <v>4.479852272727272</v>
      </c>
      <c r="E54" s="744">
        <f>E19*$B54</f>
        <v>2.9865681818181815</v>
      </c>
      <c r="F54"/>
    </row>
    <row r="55" spans="1:1020" ht="14.25" customHeight="1" x14ac:dyDescent="0.2">
      <c r="A55" s="716" t="s">
        <v>503</v>
      </c>
      <c r="B55" s="728">
        <f>B35*B54</f>
        <v>3.3333333333333332E-4</v>
      </c>
      <c r="C55" s="742">
        <f>$B$55*C19</f>
        <v>0.47785090909090905</v>
      </c>
      <c r="D55" s="742">
        <f>$B$55*D19</f>
        <v>0.35838818181818177</v>
      </c>
      <c r="E55" s="744">
        <f>$B$55*E19</f>
        <v>0.23892545454545452</v>
      </c>
      <c r="F55"/>
    </row>
    <row r="56" spans="1:1020" ht="14.25" customHeight="1" x14ac:dyDescent="0.2">
      <c r="A56" s="716" t="s">
        <v>504</v>
      </c>
      <c r="B56" s="728">
        <v>0</v>
      </c>
      <c r="C56" s="742">
        <f>C35*$B56</f>
        <v>0</v>
      </c>
      <c r="D56" s="742">
        <f>D35*$B56</f>
        <v>0</v>
      </c>
      <c r="E56" s="744">
        <f>E35*$B56</f>
        <v>0</v>
      </c>
      <c r="F56"/>
    </row>
    <row r="57" spans="1:1020" ht="14.25" customHeight="1" x14ac:dyDescent="0.2">
      <c r="A57" s="716" t="s">
        <v>505</v>
      </c>
      <c r="B57" s="728">
        <f>1/12*1/30*7</f>
        <v>1.9444444444444441E-2</v>
      </c>
      <c r="C57" s="729">
        <f>C19*$B57</f>
        <v>27.874636363636359</v>
      </c>
      <c r="D57" s="729">
        <f>D19*$B57</f>
        <v>20.905977272727267</v>
      </c>
      <c r="E57" s="736">
        <f>E19*$B57</f>
        <v>13.937318181818179</v>
      </c>
      <c r="F57"/>
    </row>
    <row r="58" spans="1:1020" ht="14.25" customHeight="1" x14ac:dyDescent="0.2">
      <c r="A58" s="716" t="s">
        <v>506</v>
      </c>
      <c r="B58" s="728">
        <f>B36*B57</f>
        <v>7.1555555555555556E-3</v>
      </c>
      <c r="C58" s="729">
        <f>$B58*C19</f>
        <v>10.257866181818182</v>
      </c>
      <c r="D58" s="729">
        <f>$B58*D19</f>
        <v>7.693399636363635</v>
      </c>
      <c r="E58" s="736">
        <f>$B58*E19</f>
        <v>5.1289330909090909</v>
      </c>
      <c r="F58"/>
    </row>
    <row r="59" spans="1:1020" ht="14.25" customHeight="1" x14ac:dyDescent="0.2">
      <c r="A59" s="716" t="s">
        <v>507</v>
      </c>
      <c r="B59" s="728">
        <f>B35*40/100*90/100*(1+1/12+1/12+1/3*1/12)</f>
        <v>3.4399999999999993E-2</v>
      </c>
      <c r="C59" s="729">
        <f>C19*$B59</f>
        <v>49.314213818181805</v>
      </c>
      <c r="D59" s="729">
        <f>D19*$B59</f>
        <v>36.985660363636349</v>
      </c>
      <c r="E59" s="736">
        <f>E19*$B59</f>
        <v>24.657106909090903</v>
      </c>
      <c r="F59"/>
    </row>
    <row r="60" spans="1:1020" ht="14.25" customHeight="1" x14ac:dyDescent="0.2">
      <c r="A60" s="737" t="s">
        <v>474</v>
      </c>
      <c r="B60" s="745">
        <f>SUM(B54:B59)</f>
        <v>6.5499999999999989E-2</v>
      </c>
      <c r="C60" s="746">
        <f>SUM(C54:C59)</f>
        <v>93.897703636363616</v>
      </c>
      <c r="D60" s="746">
        <f>SUM(D54:D59)</f>
        <v>70.423277727272705</v>
      </c>
      <c r="E60" s="747">
        <f>SUM(E54:E59)</f>
        <v>46.948851818181808</v>
      </c>
      <c r="F60"/>
    </row>
    <row r="61" spans="1:1020" ht="14.25" customHeight="1" x14ac:dyDescent="0.2">
      <c r="A61" s="903"/>
      <c r="B61" s="903"/>
      <c r="C61" s="903"/>
      <c r="D61" s="903"/>
      <c r="E61" s="903"/>
      <c r="F61"/>
    </row>
    <row r="62" spans="1:1020" ht="14.25" customHeight="1" x14ac:dyDescent="0.2">
      <c r="A62" s="904" t="s">
        <v>508</v>
      </c>
      <c r="B62" s="905"/>
      <c r="C62" s="905"/>
      <c r="D62" s="905"/>
      <c r="E62" s="906"/>
      <c r="F62"/>
    </row>
    <row r="63" spans="1:1020" ht="14.25" customHeight="1" x14ac:dyDescent="0.2">
      <c r="A63" s="732" t="s">
        <v>46</v>
      </c>
      <c r="B63" s="725" t="s">
        <v>464</v>
      </c>
      <c r="C63" s="725" t="s">
        <v>465</v>
      </c>
      <c r="D63" s="725" t="s">
        <v>465</v>
      </c>
      <c r="E63" s="733" t="s">
        <v>465</v>
      </c>
      <c r="F63"/>
    </row>
    <row r="64" spans="1:1020" ht="14.25" customHeight="1" x14ac:dyDescent="0.2">
      <c r="A64" s="716" t="s">
        <v>47</v>
      </c>
      <c r="B64" s="689">
        <f>1/12</f>
        <v>8.3333333333333329E-2</v>
      </c>
      <c r="C64" s="690">
        <f t="shared" ref="C64:E67" si="1">$B64*(C$19+C$49+C$60)</f>
        <v>227.99177833333331</v>
      </c>
      <c r="D64" s="690">
        <f t="shared" si="1"/>
        <v>167.14945874999998</v>
      </c>
      <c r="E64" s="701">
        <f t="shared" si="1"/>
        <v>121.28713916666665</v>
      </c>
      <c r="F64"/>
    </row>
    <row r="65" spans="1:6" ht="14.25" customHeight="1" x14ac:dyDescent="0.2">
      <c r="A65" s="716" t="s">
        <v>509</v>
      </c>
      <c r="B65" s="689">
        <f>MC!E54/30/12</f>
        <v>1.3538888888888885E-2</v>
      </c>
      <c r="C65" s="690">
        <f t="shared" si="1"/>
        <v>37.04106425322221</v>
      </c>
      <c r="D65" s="690">
        <f t="shared" si="1"/>
        <v>27.156215398249991</v>
      </c>
      <c r="E65" s="701">
        <f t="shared" si="1"/>
        <v>19.705117209944436</v>
      </c>
      <c r="F65"/>
    </row>
    <row r="66" spans="1:6" ht="14.25" customHeight="1" x14ac:dyDescent="0.2">
      <c r="A66" s="716" t="s">
        <v>510</v>
      </c>
      <c r="B66" s="726">
        <f>(5/30)/12*MC!F56*MC!C57</f>
        <v>1.0764583333333333E-4</v>
      </c>
      <c r="C66" s="690">
        <f t="shared" si="1"/>
        <v>0.29450837966208332</v>
      </c>
      <c r="D66" s="690">
        <f t="shared" si="1"/>
        <v>0.21591531334031247</v>
      </c>
      <c r="E66" s="701">
        <f t="shared" si="1"/>
        <v>0.15667266201854166</v>
      </c>
      <c r="F66"/>
    </row>
    <row r="67" spans="1:6" ht="14.25" customHeight="1" x14ac:dyDescent="0.2">
      <c r="A67" s="716" t="s">
        <v>511</v>
      </c>
      <c r="B67" s="726">
        <f>MC!C59/30/12</f>
        <v>2.6830555555555553E-3</v>
      </c>
      <c r="C67" s="690">
        <f t="shared" si="1"/>
        <v>7.3405752897388883</v>
      </c>
      <c r="D67" s="690">
        <f t="shared" si="1"/>
        <v>5.3816554068874991</v>
      </c>
      <c r="E67" s="701">
        <f t="shared" si="1"/>
        <v>3.9050415907027771</v>
      </c>
      <c r="F67"/>
    </row>
    <row r="68" spans="1:6" ht="14.25" customHeight="1" x14ac:dyDescent="0.2">
      <c r="A68" s="716" t="s">
        <v>473</v>
      </c>
      <c r="B68" s="689"/>
      <c r="C68" s="690"/>
      <c r="D68" s="690"/>
      <c r="E68" s="701"/>
      <c r="F68"/>
    </row>
    <row r="69" spans="1:6" ht="14.25" customHeight="1" x14ac:dyDescent="0.2">
      <c r="A69" s="734" t="s">
        <v>512</v>
      </c>
      <c r="B69" s="727">
        <f>SUM(B64:B68)</f>
        <v>9.9662923611111107E-2</v>
      </c>
      <c r="C69" s="715">
        <f>SUM(C64:C68)</f>
        <v>272.6679262559565</v>
      </c>
      <c r="D69" s="715">
        <f>SUM(D64:D68)</f>
        <v>199.90324486847777</v>
      </c>
      <c r="E69" s="735">
        <f>SUM(E64:E68)</f>
        <v>145.05397062933241</v>
      </c>
      <c r="F69"/>
    </row>
    <row r="70" spans="1:6" ht="14.25" customHeight="1" x14ac:dyDescent="0.2">
      <c r="A70" s="732" t="s">
        <v>513</v>
      </c>
      <c r="B70" s="725" t="s">
        <v>464</v>
      </c>
      <c r="C70" s="725" t="s">
        <v>465</v>
      </c>
      <c r="D70" s="725" t="s">
        <v>465</v>
      </c>
      <c r="E70" s="733" t="s">
        <v>465</v>
      </c>
      <c r="F70"/>
    </row>
    <row r="71" spans="1:6" ht="14.25" customHeight="1" x14ac:dyDescent="0.2">
      <c r="A71" s="716" t="s">
        <v>514</v>
      </c>
      <c r="B71" s="689"/>
      <c r="C71" s="690"/>
      <c r="D71" s="690"/>
      <c r="E71" s="701"/>
      <c r="F71"/>
    </row>
    <row r="72" spans="1:6" ht="14.25" customHeight="1" x14ac:dyDescent="0.2">
      <c r="A72" s="734" t="s">
        <v>512</v>
      </c>
      <c r="B72" s="727"/>
      <c r="C72" s="715">
        <f>C71</f>
        <v>0</v>
      </c>
      <c r="D72" s="715"/>
      <c r="E72" s="735"/>
      <c r="F72"/>
    </row>
    <row r="73" spans="1:6" ht="14.25" customHeight="1" x14ac:dyDescent="0.2">
      <c r="A73" s="732" t="s">
        <v>68</v>
      </c>
      <c r="B73" s="725" t="s">
        <v>464</v>
      </c>
      <c r="C73" s="725" t="s">
        <v>465</v>
      </c>
      <c r="D73" s="725" t="s">
        <v>465</v>
      </c>
      <c r="E73" s="733" t="s">
        <v>465</v>
      </c>
      <c r="F73"/>
    </row>
    <row r="74" spans="1:6" ht="14.25" customHeight="1" x14ac:dyDescent="0.2">
      <c r="A74" s="716" t="s">
        <v>69</v>
      </c>
      <c r="B74" s="689">
        <f>120/30*MC!C62*MC!C63</f>
        <v>6.18624E-3</v>
      </c>
      <c r="C74" s="690">
        <f>(((C19*2)+ (C19*1/3))+(C36)+(C44-C38-C39))*$B$74</f>
        <v>24.426098694981821</v>
      </c>
      <c r="D74" s="690">
        <f>(((D19*2)+ (D19*1/3))+(D36)+(D44-D38-D39))*$B$74</f>
        <v>18.346391371636361</v>
      </c>
      <c r="E74" s="701">
        <f>(((E19*2)+ (E19*1/3))+(E36)+(E44-E38-E39))*$B$74</f>
        <v>12.266498461090908</v>
      </c>
      <c r="F74"/>
    </row>
    <row r="75" spans="1:6" ht="14.25" customHeight="1" x14ac:dyDescent="0.2">
      <c r="A75" s="734" t="s">
        <v>474</v>
      </c>
      <c r="B75" s="727"/>
      <c r="C75" s="715"/>
      <c r="D75" s="715"/>
      <c r="E75" s="735"/>
      <c r="F75"/>
    </row>
    <row r="76" spans="1:6" ht="14.25" customHeight="1" x14ac:dyDescent="0.2">
      <c r="A76" s="698" t="s">
        <v>515</v>
      </c>
      <c r="B76" s="688" t="s">
        <v>464</v>
      </c>
      <c r="C76" s="688" t="s">
        <v>465</v>
      </c>
      <c r="D76" s="688" t="s">
        <v>465</v>
      </c>
      <c r="E76" s="699" t="s">
        <v>465</v>
      </c>
      <c r="F76"/>
    </row>
    <row r="77" spans="1:6" ht="14.25" customHeight="1" x14ac:dyDescent="0.2">
      <c r="A77" s="716" t="s">
        <v>46</v>
      </c>
      <c r="B77" s="728">
        <f>B69</f>
        <v>9.9662923611111107E-2</v>
      </c>
      <c r="C77" s="729">
        <f>C69</f>
        <v>272.6679262559565</v>
      </c>
      <c r="D77" s="729">
        <f>D69</f>
        <v>199.90324486847777</v>
      </c>
      <c r="E77" s="736">
        <f>E69</f>
        <v>145.05397062933241</v>
      </c>
      <c r="F77"/>
    </row>
    <row r="78" spans="1:6" ht="14.25" customHeight="1" x14ac:dyDescent="0.2">
      <c r="A78" s="716" t="s">
        <v>513</v>
      </c>
      <c r="B78" s="728">
        <f>B72</f>
        <v>0</v>
      </c>
      <c r="C78" s="729">
        <f>C72</f>
        <v>0</v>
      </c>
      <c r="D78" s="729">
        <f>D72</f>
        <v>0</v>
      </c>
      <c r="E78" s="736">
        <f>E72</f>
        <v>0</v>
      </c>
      <c r="F78"/>
    </row>
    <row r="79" spans="1:6" ht="14.25" customHeight="1" x14ac:dyDescent="0.2">
      <c r="A79" s="716" t="s">
        <v>68</v>
      </c>
      <c r="B79" s="728">
        <f>B74</f>
        <v>6.18624E-3</v>
      </c>
      <c r="C79" s="729">
        <f>C74</f>
        <v>24.426098694981821</v>
      </c>
      <c r="D79" s="729">
        <f>D74</f>
        <v>18.346391371636361</v>
      </c>
      <c r="E79" s="736">
        <f>E74</f>
        <v>12.266498461090908</v>
      </c>
      <c r="F79"/>
    </row>
    <row r="80" spans="1:6" ht="14.25" customHeight="1" x14ac:dyDescent="0.2">
      <c r="A80" s="737" t="s">
        <v>474</v>
      </c>
      <c r="B80" s="738"/>
      <c r="C80" s="739">
        <f>SUM(C77:C79)</f>
        <v>297.09402495093832</v>
      </c>
      <c r="D80" s="739">
        <f>SUM(D77:D79)</f>
        <v>218.24963624011414</v>
      </c>
      <c r="E80" s="740">
        <f>SUM(E77:E79)</f>
        <v>157.32046909042333</v>
      </c>
      <c r="F80"/>
    </row>
    <row r="81" spans="1:6" ht="14.25" customHeight="1" x14ac:dyDescent="0.2">
      <c r="A81" s="903"/>
      <c r="B81" s="903"/>
      <c r="C81" s="903"/>
      <c r="D81" s="903"/>
      <c r="E81" s="903"/>
      <c r="F81"/>
    </row>
    <row r="82" spans="1:6" ht="14.25" customHeight="1" x14ac:dyDescent="0.2">
      <c r="A82" s="904" t="s">
        <v>516</v>
      </c>
      <c r="B82" s="905"/>
      <c r="C82" s="905"/>
      <c r="D82" s="905"/>
      <c r="E82" s="906"/>
      <c r="F82"/>
    </row>
    <row r="83" spans="1:6" ht="14.25" customHeight="1" x14ac:dyDescent="0.2">
      <c r="A83" s="698" t="s">
        <v>517</v>
      </c>
      <c r="B83" s="688" t="s">
        <v>490</v>
      </c>
      <c r="C83" s="688" t="s">
        <v>465</v>
      </c>
      <c r="D83" s="688" t="s">
        <v>465</v>
      </c>
      <c r="E83" s="699" t="s">
        <v>465</v>
      </c>
      <c r="F83"/>
    </row>
    <row r="84" spans="1:6" ht="14.25" customHeight="1" x14ac:dyDescent="0.2">
      <c r="A84" s="716" t="s">
        <v>519</v>
      </c>
      <c r="B84" s="710"/>
      <c r="C84" s="711">
        <f>Insumos!$I118</f>
        <v>27.875416666666666</v>
      </c>
      <c r="D84" s="711">
        <f>Insumos!$I118</f>
        <v>27.875416666666666</v>
      </c>
      <c r="E84" s="717">
        <f>Insumos!$I118</f>
        <v>27.875416666666666</v>
      </c>
      <c r="F84"/>
    </row>
    <row r="85" spans="1:6" ht="14.25" customHeight="1" x14ac:dyDescent="0.2">
      <c r="A85" s="718" t="s">
        <v>520</v>
      </c>
      <c r="B85" s="710"/>
      <c r="C85" s="711">
        <f>Insumos!$G70</f>
        <v>247.1166666666667</v>
      </c>
      <c r="D85" s="711">
        <f>Insumos!$G70</f>
        <v>247.1166666666667</v>
      </c>
      <c r="E85" s="717">
        <f>Insumos!$G70</f>
        <v>247.1166666666667</v>
      </c>
      <c r="F85"/>
    </row>
    <row r="86" spans="1:6" ht="14.25" customHeight="1" x14ac:dyDescent="0.2">
      <c r="A86" s="718" t="s">
        <v>521</v>
      </c>
      <c r="B86" s="712"/>
      <c r="C86" s="713" t="s">
        <v>469</v>
      </c>
      <c r="D86" s="713" t="s">
        <v>469</v>
      </c>
      <c r="E86" s="719" t="s">
        <v>469</v>
      </c>
      <c r="F86"/>
    </row>
    <row r="87" spans="1:6" ht="14.25" customHeight="1" x14ac:dyDescent="0.2">
      <c r="A87" s="718" t="s">
        <v>522</v>
      </c>
      <c r="B87" s="714"/>
      <c r="C87" s="711">
        <f>Insumos!$I123</f>
        <v>142.21333333333334</v>
      </c>
      <c r="D87" s="711">
        <f>Insumos!$H123</f>
        <v>122.52333333333333</v>
      </c>
      <c r="E87" s="717">
        <f>Insumos!$H123</f>
        <v>122.52333333333333</v>
      </c>
      <c r="F87"/>
    </row>
    <row r="88" spans="1:6" ht="14.25" customHeight="1" x14ac:dyDescent="0.2">
      <c r="A88" s="720" t="s">
        <v>474</v>
      </c>
      <c r="B88" s="721"/>
      <c r="C88" s="722">
        <f>SUM(C84:C87)</f>
        <v>417.20541666666668</v>
      </c>
      <c r="D88" s="722">
        <f>SUM(D84:D87)</f>
        <v>397.51541666666668</v>
      </c>
      <c r="E88" s="723">
        <f>SUM(E84:E87)</f>
        <v>397.51541666666668</v>
      </c>
      <c r="F88"/>
    </row>
    <row r="89" spans="1:6" ht="14.25" customHeight="1" x14ac:dyDescent="0.2">
      <c r="A89" s="903"/>
      <c r="B89" s="903"/>
      <c r="C89" s="903"/>
      <c r="D89" s="903"/>
      <c r="E89" s="903"/>
      <c r="F89"/>
    </row>
    <row r="90" spans="1:6" ht="14.25" customHeight="1" x14ac:dyDescent="0.2">
      <c r="A90" s="904" t="s">
        <v>526</v>
      </c>
      <c r="B90" s="905"/>
      <c r="C90" s="905"/>
      <c r="D90" s="905"/>
      <c r="E90" s="906"/>
      <c r="F90"/>
    </row>
    <row r="91" spans="1:6" ht="14.25" customHeight="1" x14ac:dyDescent="0.2">
      <c r="A91" s="698" t="s">
        <v>527</v>
      </c>
      <c r="B91" s="688" t="s">
        <v>464</v>
      </c>
      <c r="C91" s="688" t="s">
        <v>465</v>
      </c>
      <c r="D91" s="688" t="s">
        <v>465</v>
      </c>
      <c r="E91" s="699" t="s">
        <v>465</v>
      </c>
      <c r="F91"/>
    </row>
    <row r="92" spans="1:6" ht="14.25" customHeight="1" x14ac:dyDescent="0.2">
      <c r="A92" s="700" t="s">
        <v>74</v>
      </c>
      <c r="B92" s="689">
        <v>0.03</v>
      </c>
      <c r="C92" s="690">
        <f>($C$19+$C$49+$C$60+$C$80+$C$88)*$B$92</f>
        <v>103.50602344852814</v>
      </c>
      <c r="D92" s="690">
        <f>(D$19+D$49+D$60+D$80+D$88)*$B$92</f>
        <v>78.646756737203418</v>
      </c>
      <c r="E92" s="701">
        <f>(E$19+E$49+E$60+E$80+E$88)*$B$92</f>
        <v>60.308446672712691</v>
      </c>
      <c r="F92"/>
    </row>
    <row r="93" spans="1:6" ht="14.25" customHeight="1" x14ac:dyDescent="0.2">
      <c r="A93" s="700" t="s">
        <v>75</v>
      </c>
      <c r="B93" s="689">
        <v>6.7900000000000002E-2</v>
      </c>
      <c r="C93" s="690">
        <f>($C$19+$C$49+$C$60+$C$80+$C$88+C92)*B93</f>
        <v>241.29669206399043</v>
      </c>
      <c r="D93" s="690">
        <f>(D$19+D$49+D$60+D$80+D$88+D$92)*$B$93</f>
        <v>183.34394086432653</v>
      </c>
      <c r="E93" s="701">
        <f>(E$19+E$49+E$60+E$80+E$88+E$92)*$B$93</f>
        <v>140.5930611649836</v>
      </c>
      <c r="F93"/>
    </row>
    <row r="94" spans="1:6" ht="14.25" customHeight="1" x14ac:dyDescent="0.2">
      <c r="A94" s="702" t="s">
        <v>528</v>
      </c>
      <c r="B94" s="691">
        <f>B95+B96</f>
        <v>0.1125</v>
      </c>
      <c r="C94" s="692">
        <f>((C19+C49+C60+C80+C88+C92+C93)/(1-($B$94)))*$B$94</f>
        <v>481.0567813263537</v>
      </c>
      <c r="D94" s="692">
        <f>((D19+D49+D60+D80+D88+D92+D93)/(1-($B$94)))*$B$94</f>
        <v>365.52032816302534</v>
      </c>
      <c r="E94" s="703">
        <f>((E19+E49+E60+E80+E88+E92+E93)/(1-($B$94)))*$B$94</f>
        <v>280.29081087821237</v>
      </c>
      <c r="F94"/>
    </row>
    <row r="95" spans="1:6" ht="14.25" customHeight="1" x14ac:dyDescent="0.2">
      <c r="A95" s="700" t="s">
        <v>529</v>
      </c>
      <c r="B95" s="689">
        <f>0.0165+0.076</f>
        <v>9.2499999999999999E-2</v>
      </c>
      <c r="C95" s="693">
        <f>((C$19+C$49+C$60+C$80+C$88+C$92+C$93)/(1-($B$94)))*$B$95</f>
        <v>395.53557575722414</v>
      </c>
      <c r="D95" s="693">
        <f>((D$19+D$49+D$60+D$80+D$88+D$92+D$93)/(1-($B$94)))*$B$95</f>
        <v>300.5389364895986</v>
      </c>
      <c r="E95" s="704">
        <f>((E$19+E$49+E$60+E$80+E$88+E$92+E$93)/(1-($B$94)))*$B$95</f>
        <v>230.46133338875239</v>
      </c>
      <c r="F95"/>
    </row>
    <row r="96" spans="1:6" ht="14.25" customHeight="1" x14ac:dyDescent="0.2">
      <c r="A96" s="700" t="s">
        <v>530</v>
      </c>
      <c r="B96" s="689">
        <v>0.02</v>
      </c>
      <c r="C96" s="693">
        <f>((C$19+C$49+C$60+C$80+C$88+C$92+C$93)/(1-($B$94)))*$B$96</f>
        <v>85.521205569129549</v>
      </c>
      <c r="D96" s="693">
        <f>((D$19+D$49+D$60+D$80+D$88+D$92+D$93)/(1-($B$94)))*$B$96</f>
        <v>64.981391673426728</v>
      </c>
      <c r="E96" s="704">
        <f>((E$19+E$49+E$60+E$80+E$88+E$92+E$93)/(1-($B$94)))*$B$96</f>
        <v>49.829477489459975</v>
      </c>
      <c r="F96"/>
    </row>
    <row r="97" spans="1:6" ht="14.25" customHeight="1" x14ac:dyDescent="0.2">
      <c r="A97" s="702" t="s">
        <v>531</v>
      </c>
      <c r="B97" s="691">
        <f>B98+B99</f>
        <v>0.11749999999999999</v>
      </c>
      <c r="C97" s="692">
        <f>((C19+C49+C60+C80+C88+C92+C93)/(1-($B$97)))*$B$97</f>
        <v>505.28375174253762</v>
      </c>
      <c r="D97" s="692">
        <f>((D19+D49+D60+D80+D88+D92+D93)/(1-($B$97)))*$B$97</f>
        <v>383.92865441612065</v>
      </c>
      <c r="E97" s="703">
        <f>((E19+E49+E60+E80+E88+E92+E93)/(1-($B$97)))*$B$97</f>
        <v>294.40681016701114</v>
      </c>
      <c r="F97"/>
    </row>
    <row r="98" spans="1:6" ht="14.25" customHeight="1" x14ac:dyDescent="0.2">
      <c r="A98" s="700" t="s">
        <v>529</v>
      </c>
      <c r="B98" s="689">
        <f>0.0165+0.076</f>
        <v>9.2499999999999999E-2</v>
      </c>
      <c r="C98" s="694">
        <f>((C19+C49+C60+C80+C88+C92+C93)/(1-($B$97)))*$B$98</f>
        <v>397.77657052072112</v>
      </c>
      <c r="D98" s="694">
        <f>((D19+D49+D60+D80+D88+D92+D93)/(1-($B$97)))*$B$98</f>
        <v>302.2417066680099</v>
      </c>
      <c r="E98" s="705">
        <f>((E19+E49+E60+E80+E88+E92+E93)/(1-($B$97)))*$B$98</f>
        <v>231.76706332296624</v>
      </c>
      <c r="F98"/>
    </row>
    <row r="99" spans="1:6" ht="14.25" customHeight="1" x14ac:dyDescent="0.2">
      <c r="A99" s="700" t="s">
        <v>530</v>
      </c>
      <c r="B99" s="689">
        <v>2.5000000000000001E-2</v>
      </c>
      <c r="C99" s="694">
        <f>((C$19+C$49+C$60+C$80+C$88+C$92+C$93)/(1-($B$97)))*$B$99</f>
        <v>107.50718122181652</v>
      </c>
      <c r="D99" s="694">
        <f>((D$19+D$49+D$60+D$80+D$88+D$92+D$93)/(1-($B$97)))*$B$99</f>
        <v>81.686947748110782</v>
      </c>
      <c r="E99" s="705">
        <f>((E$19+E$49+E$60+E$80+E$88+E$92+E$93)/(1-($B$97)))*$B$99</f>
        <v>62.639746844044936</v>
      </c>
      <c r="F99"/>
    </row>
    <row r="100" spans="1:6" ht="14.25" customHeight="1" x14ac:dyDescent="0.2">
      <c r="A100" s="702" t="s">
        <v>532</v>
      </c>
      <c r="B100" s="691">
        <f>B101+B102</f>
        <v>0.1225</v>
      </c>
      <c r="C100" s="692">
        <f>((C19+C49+C60+C80+C88+C92+C93)/(1-($B$100)))*$B$100</f>
        <v>529.78681298967535</v>
      </c>
      <c r="D100" s="692">
        <f>((D19+D49+D60+D80+D88+D92+D93)/(1-($B$100)))*$B$100</f>
        <v>402.54676216497785</v>
      </c>
      <c r="E100" s="703">
        <f>((E19+E49+E60+E80+E88+E92+E93)/(1-($B$100)))*$B$100</f>
        <v>308.68367554457132</v>
      </c>
      <c r="F100"/>
    </row>
    <row r="101" spans="1:6" ht="14.25" customHeight="1" x14ac:dyDescent="0.2">
      <c r="A101" s="700" t="s">
        <v>529</v>
      </c>
      <c r="B101" s="689">
        <f>0.0165+0.076</f>
        <v>9.2499999999999999E-2</v>
      </c>
      <c r="C101" s="694">
        <f>((C19+C49+C60+C80+C88+C92+C93)/(1-($B$100)))*$B$101</f>
        <v>400.04310368608139</v>
      </c>
      <c r="D101" s="694">
        <f>((D19+D49+D60+D80+D88+D92+D93)/(1-($B$100)))*$B$101</f>
        <v>303.96388163477923</v>
      </c>
      <c r="E101" s="705">
        <f>((E19+E49+E60+E80+E88+E92+E93)/(1-($B$100)))*$B$101</f>
        <v>233.0876733703906</v>
      </c>
      <c r="F101"/>
    </row>
    <row r="102" spans="1:6" ht="14.25" customHeight="1" x14ac:dyDescent="0.2">
      <c r="A102" s="700" t="s">
        <v>530</v>
      </c>
      <c r="B102" s="689">
        <v>0.03</v>
      </c>
      <c r="C102" s="694">
        <f>((C19+C49+C60+C80+C88+C92+C93)/(1-($B$100)))*$B$102</f>
        <v>129.74370930359396</v>
      </c>
      <c r="D102" s="694">
        <f>((D19+D49+D60+D80+D88+D92+D93)/(1-($B$100)))*$B$102</f>
        <v>98.582880530198665</v>
      </c>
      <c r="E102" s="705">
        <f>((E19+E49+E60+E80+E88+E92+E93)/(1-($B$100)))*$B$102</f>
        <v>75.596002174180725</v>
      </c>
      <c r="F102" s="473"/>
    </row>
    <row r="103" spans="1:6" ht="14.25" customHeight="1" x14ac:dyDescent="0.2">
      <c r="A103" s="702" t="s">
        <v>533</v>
      </c>
      <c r="B103" s="691">
        <f>B104+B105</f>
        <v>0.1275</v>
      </c>
      <c r="C103" s="692">
        <f>((C19+C49+C60+C80+C88+C92+C93)/(1-($B$103)))*$B$103</f>
        <v>554.57071161500369</v>
      </c>
      <c r="D103" s="692">
        <f t="shared" ref="D103:E103" si="2">((D19+D49+D60+D80+D88+D92+D93)/(1-($B$103)))*$B$103</f>
        <v>421.37825796826314</v>
      </c>
      <c r="E103" s="703">
        <f t="shared" si="2"/>
        <v>323.12417261700313</v>
      </c>
      <c r="F103" s="473"/>
    </row>
    <row r="104" spans="1:6" ht="14.25" customHeight="1" x14ac:dyDescent="0.2">
      <c r="A104" s="700" t="s">
        <v>529</v>
      </c>
      <c r="B104" s="689">
        <f>0.0165+0.076</f>
        <v>9.2499999999999999E-2</v>
      </c>
      <c r="C104" s="694">
        <f>((C19+C49+C60+C80+C88+C92+C93)/(1-($B$103)))*$B$104</f>
        <v>402.33561430892428</v>
      </c>
      <c r="D104" s="694">
        <f t="shared" ref="D104:E104" si="3">((D19+D49+D60+D80+D88+D92+D93)/(1-($B$103)))*$B$104</f>
        <v>305.70579499658305</v>
      </c>
      <c r="E104" s="705">
        <f t="shared" si="3"/>
        <v>234.42341934959049</v>
      </c>
      <c r="F104" s="473"/>
    </row>
    <row r="105" spans="1:6" ht="14.25" customHeight="1" x14ac:dyDescent="0.2">
      <c r="A105" s="700" t="s">
        <v>530</v>
      </c>
      <c r="B105" s="689">
        <v>3.5000000000000003E-2</v>
      </c>
      <c r="C105" s="694">
        <f>((C19+C49+C60+C80+C88+C92+C93)/(1-($B$103)))*$B$105</f>
        <v>152.23509730607947</v>
      </c>
      <c r="D105" s="694">
        <f t="shared" ref="D105:E105" si="4">((D19+D49+D60+D80+D88+D92+D93)/(1-($B$103)))*$B$105</f>
        <v>115.67246297168008</v>
      </c>
      <c r="E105" s="705">
        <f t="shared" si="4"/>
        <v>88.700753267412622</v>
      </c>
      <c r="F105" s="473"/>
    </row>
    <row r="106" spans="1:6" ht="14.25" customHeight="1" x14ac:dyDescent="0.2">
      <c r="A106" s="702" t="s">
        <v>534</v>
      </c>
      <c r="B106" s="691">
        <f>B107+B108</f>
        <v>0.13250000000000001</v>
      </c>
      <c r="C106" s="692">
        <f>((C19+C49+C60+C80+C88+C92+C93)/(1-($B$106)))*$B$106</f>
        <v>579.64030359624371</v>
      </c>
      <c r="D106" s="692">
        <f>((D19+D49+D60+D80+D88+D92+D93)/(1-($B$106)))*$B$106</f>
        <v>440.42683153296969</v>
      </c>
      <c r="E106" s="703">
        <f>((E19+E49+E60+E80+E88+E92+E93)/(1-($B$106)))*$B$106</f>
        <v>337.73113075078874</v>
      </c>
      <c r="F106"/>
    </row>
    <row r="107" spans="1:6" ht="14.25" customHeight="1" x14ac:dyDescent="0.2">
      <c r="A107" s="700" t="s">
        <v>529</v>
      </c>
      <c r="B107" s="689">
        <f>0.0165+0.076</f>
        <v>9.2499999999999999E-2</v>
      </c>
      <c r="C107" s="694">
        <f>((C19+C49+C60+C80+C88+C92+C93)/(1-($B$106)))*$B$107</f>
        <v>404.654551567189</v>
      </c>
      <c r="D107" s="694">
        <f>((D19+D49+D60+D80+D88+D92+D93)/(1-($B$106)))*$B$107</f>
        <v>307.46778805131845</v>
      </c>
      <c r="E107" s="705">
        <f>((E19+E49+E60+E80+E88+E92+E93)/(1-($B$106)))*$B$107</f>
        <v>235.77456297696571</v>
      </c>
      <c r="F107"/>
    </row>
    <row r="108" spans="1:6" ht="14.25" customHeight="1" x14ac:dyDescent="0.2">
      <c r="A108" s="700" t="s">
        <v>530</v>
      </c>
      <c r="B108" s="689">
        <v>0.04</v>
      </c>
      <c r="C108" s="694">
        <f>((C19+C49+C60+C80+C88+C92+C93)/(1-($B$106)))*$B$108</f>
        <v>174.98575202905471</v>
      </c>
      <c r="D108" s="694">
        <f>((D19+D49+D60+D80+D88+D92+D93)/(1-($B$106)))*$B$108</f>
        <v>132.95904348165124</v>
      </c>
      <c r="E108" s="705">
        <f>((E19+E49+E60+E80+E88+E92+E93)/(1-($B$106)))*$B$108</f>
        <v>101.95656777382301</v>
      </c>
      <c r="F108"/>
    </row>
    <row r="109" spans="1:6" ht="14.25" customHeight="1" x14ac:dyDescent="0.2">
      <c r="A109" s="702" t="s">
        <v>535</v>
      </c>
      <c r="B109" s="691">
        <f>B110+B111</f>
        <v>0.14250000000000002</v>
      </c>
      <c r="C109" s="692">
        <f>((C19+C49+C60+C80+C88+C92+C93)/(1-($B$109)))*$B$109</f>
        <v>630.6565578321198</v>
      </c>
      <c r="D109" s="692">
        <f>((D19+D49+D60+D80+D88+D92+D93)/(1-($B$109)))*$B$109</f>
        <v>479.1904010611479</v>
      </c>
      <c r="E109" s="703">
        <f>((E19+E49+E60+E80+E88+E92+E93)/(1-($B$109)))*$B$109</f>
        <v>367.45607762362346</v>
      </c>
      <c r="F109"/>
    </row>
    <row r="110" spans="1:6" ht="14.25" customHeight="1" x14ac:dyDescent="0.2">
      <c r="A110" s="700" t="s">
        <v>529</v>
      </c>
      <c r="B110" s="689">
        <f>0.0165+0.076</f>
        <v>9.2499999999999999E-2</v>
      </c>
      <c r="C110" s="693">
        <f>((C19+C49+C60+C80+C88+C92+C93)/(1-($B$109)))*$B$110</f>
        <v>409.37355508400753</v>
      </c>
      <c r="D110" s="693">
        <f>((D19+D49+D60+D80+D88+D92+D93)/(1-($B$109)))*$B$110</f>
        <v>311.05341823267491</v>
      </c>
      <c r="E110" s="704">
        <f>((E19+E49+E60+E80+E88+E92+E93)/(1-($B$109)))*$B$110</f>
        <v>238.5241205627029</v>
      </c>
      <c r="F110"/>
    </row>
    <row r="111" spans="1:6" ht="14.25" customHeight="1" x14ac:dyDescent="0.2">
      <c r="A111" s="706" t="s">
        <v>530</v>
      </c>
      <c r="B111" s="707">
        <v>0.05</v>
      </c>
      <c r="C111" s="708">
        <f>((C19+C49+C60+C80+C88+C92+C93)/(1-($B$109)))*$B$111</f>
        <v>221.28300274811218</v>
      </c>
      <c r="D111" s="708">
        <f>((D19+D49+D60+D80+D88+D92+D93)/(1-($B$109)))*$B$111</f>
        <v>168.13698282847292</v>
      </c>
      <c r="E111" s="709">
        <f>((E19+E49+E60+E80+E88+E92+E93)/(1-($B$109)))*$B$111</f>
        <v>128.9319570609205</v>
      </c>
      <c r="F111"/>
    </row>
    <row r="112" spans="1:6" ht="14.25" customHeight="1" x14ac:dyDescent="0.2">
      <c r="A112" s="907" t="s">
        <v>536</v>
      </c>
      <c r="B112" s="695">
        <v>0.02</v>
      </c>
      <c r="C112" s="696">
        <f>C92+C93+C94</f>
        <v>825.85949683887225</v>
      </c>
      <c r="D112" s="696">
        <f>D92+D93+D94</f>
        <v>627.51102576455537</v>
      </c>
      <c r="E112" s="697">
        <f>E92+E93+E94</f>
        <v>481.19231871590864</v>
      </c>
      <c r="F112"/>
    </row>
    <row r="113" spans="1:6" ht="14.25" customHeight="1" x14ac:dyDescent="0.2">
      <c r="A113" s="908"/>
      <c r="B113" s="682">
        <v>2.5000000000000001E-2</v>
      </c>
      <c r="C113" s="683">
        <f>C92+C93+C97</f>
        <v>850.08646725505628</v>
      </c>
      <c r="D113" s="683">
        <f>D92+D93+D97</f>
        <v>645.91935201765068</v>
      </c>
      <c r="E113" s="684">
        <f>E92+E93+E97</f>
        <v>495.30831800470742</v>
      </c>
      <c r="F113"/>
    </row>
    <row r="114" spans="1:6" ht="14.25" customHeight="1" x14ac:dyDescent="0.2">
      <c r="A114" s="908"/>
      <c r="B114" s="682">
        <v>0.03</v>
      </c>
      <c r="C114" s="683">
        <f>C92+C93+C100</f>
        <v>874.58952850219396</v>
      </c>
      <c r="D114" s="683">
        <f>D92+D93+D100</f>
        <v>664.53745976650782</v>
      </c>
      <c r="E114" s="684">
        <f>E92+E93+E100</f>
        <v>509.58518338226759</v>
      </c>
      <c r="F114" s="473"/>
    </row>
    <row r="115" spans="1:6" ht="14.25" customHeight="1" x14ac:dyDescent="0.2">
      <c r="A115" s="908"/>
      <c r="B115" s="682">
        <v>3.5000000000000003E-2</v>
      </c>
      <c r="C115" s="683">
        <f>C92+C93+C103</f>
        <v>899.37342712752229</v>
      </c>
      <c r="D115" s="683">
        <f t="shared" ref="D115:E115" si="5">D92+D93+D103</f>
        <v>683.36895556979312</v>
      </c>
      <c r="E115" s="684">
        <f t="shared" si="5"/>
        <v>524.02568045469934</v>
      </c>
      <c r="F115" s="473"/>
    </row>
    <row r="116" spans="1:6" ht="14.25" customHeight="1" x14ac:dyDescent="0.2">
      <c r="A116" s="908"/>
      <c r="B116" s="682">
        <v>0.04</v>
      </c>
      <c r="C116" s="683">
        <f>C92+C93+C106</f>
        <v>924.44301910876231</v>
      </c>
      <c r="D116" s="683">
        <f>D92+D93+D106</f>
        <v>702.41752913449966</v>
      </c>
      <c r="E116" s="684">
        <f>E92+E93+E106</f>
        <v>538.63263858848495</v>
      </c>
    </row>
    <row r="117" spans="1:6" ht="14.25" customHeight="1" x14ac:dyDescent="0.2">
      <c r="A117" s="909"/>
      <c r="B117" s="685">
        <v>0.05</v>
      </c>
      <c r="C117" s="686">
        <f>C92+C93+C109</f>
        <v>975.4592733446384</v>
      </c>
      <c r="D117" s="686">
        <f>D92+D93+D109</f>
        <v>741.18109866267787</v>
      </c>
      <c r="E117" s="687">
        <f>E92+E93+E109</f>
        <v>568.35758546131979</v>
      </c>
    </row>
    <row r="118" spans="1:6" ht="7.5" customHeight="1" x14ac:dyDescent="0.2">
      <c r="A118" s="892"/>
      <c r="B118" s="892"/>
      <c r="C118" s="892"/>
      <c r="D118" s="892"/>
      <c r="E118" s="892"/>
    </row>
    <row r="119" spans="1:6" ht="7.5" customHeight="1" x14ac:dyDescent="0.2">
      <c r="A119" s="892"/>
      <c r="B119" s="892"/>
      <c r="C119" s="892"/>
      <c r="D119" s="892"/>
      <c r="E119" s="892"/>
    </row>
    <row r="120" spans="1:6" ht="54.75" customHeight="1" x14ac:dyDescent="0.2">
      <c r="A120" s="893" t="s">
        <v>538</v>
      </c>
      <c r="B120" s="893"/>
      <c r="C120" s="497" t="str">
        <f>C10</f>
        <v>Servente 40h
COVID</v>
      </c>
      <c r="D120" s="568" t="str">
        <f>D10</f>
        <v>Servente 30h
COVID</v>
      </c>
      <c r="E120" s="569" t="str">
        <f>E10</f>
        <v>Servente 20h
COVID</v>
      </c>
    </row>
    <row r="121" spans="1:6" ht="15.75" customHeight="1" x14ac:dyDescent="0.2">
      <c r="A121" s="894" t="s">
        <v>539</v>
      </c>
      <c r="B121" s="894"/>
      <c r="C121" s="500" t="s">
        <v>465</v>
      </c>
      <c r="D121" s="570" t="s">
        <v>465</v>
      </c>
      <c r="E121" s="571" t="s">
        <v>465</v>
      </c>
    </row>
    <row r="122" spans="1:6" ht="14.25" customHeight="1" x14ac:dyDescent="0.2">
      <c r="A122" s="895" t="s">
        <v>540</v>
      </c>
      <c r="B122" s="895"/>
      <c r="C122" s="502">
        <f>C19</f>
        <v>1433.5527272727272</v>
      </c>
      <c r="D122" s="572">
        <f>D19</f>
        <v>1075.1645454545453</v>
      </c>
      <c r="E122" s="573">
        <f>E19</f>
        <v>716.77636363636361</v>
      </c>
    </row>
    <row r="123" spans="1:6" ht="14.25" customHeight="1" x14ac:dyDescent="0.2">
      <c r="A123" s="874" t="s">
        <v>541</v>
      </c>
      <c r="B123" s="874"/>
      <c r="C123" s="504">
        <f>C49</f>
        <v>1208.4509090909091</v>
      </c>
      <c r="D123" s="574">
        <f>D49</f>
        <v>860.2056818181818</v>
      </c>
      <c r="E123" s="575">
        <f>E49</f>
        <v>691.72045454545446</v>
      </c>
    </row>
    <row r="124" spans="1:6" ht="14.25" customHeight="1" x14ac:dyDescent="0.2">
      <c r="A124" s="874" t="s">
        <v>542</v>
      </c>
      <c r="B124" s="874"/>
      <c r="C124" s="504">
        <f>C60</f>
        <v>93.897703636363616</v>
      </c>
      <c r="D124" s="574">
        <f>D60</f>
        <v>70.423277727272705</v>
      </c>
      <c r="E124" s="575">
        <f>E60</f>
        <v>46.948851818181808</v>
      </c>
    </row>
    <row r="125" spans="1:6" ht="14.25" customHeight="1" x14ac:dyDescent="0.2">
      <c r="A125" s="874" t="s">
        <v>543</v>
      </c>
      <c r="B125" s="874"/>
      <c r="C125" s="504">
        <f>C80</f>
        <v>297.09402495093832</v>
      </c>
      <c r="D125" s="574">
        <f>D80</f>
        <v>218.24963624011414</v>
      </c>
      <c r="E125" s="575">
        <f>E80</f>
        <v>157.32046909042333</v>
      </c>
    </row>
    <row r="126" spans="1:6" ht="15.75" customHeight="1" x14ac:dyDescent="0.2">
      <c r="A126" s="874" t="s">
        <v>544</v>
      </c>
      <c r="B126" s="874"/>
      <c r="C126" s="504">
        <f>C88</f>
        <v>417.20541666666668</v>
      </c>
      <c r="D126" s="574">
        <f>D88</f>
        <v>397.51541666666668</v>
      </c>
      <c r="E126" s="575">
        <f>E88</f>
        <v>397.51541666666668</v>
      </c>
    </row>
    <row r="127" spans="1:6" ht="15.75" customHeight="1" x14ac:dyDescent="0.2">
      <c r="A127" s="896" t="s">
        <v>545</v>
      </c>
      <c r="B127" s="896"/>
      <c r="C127" s="506">
        <f>SUM(C122:C126)</f>
        <v>3450.2007816176047</v>
      </c>
      <c r="D127" s="576">
        <f>SUM(D122:D126)</f>
        <v>2621.5585579067806</v>
      </c>
      <c r="E127" s="577">
        <f>SUM(E122:E126)</f>
        <v>2010.2815557570898</v>
      </c>
    </row>
    <row r="128" spans="1:6" ht="15.75" customHeight="1" x14ac:dyDescent="0.2">
      <c r="A128" s="877" t="s">
        <v>546</v>
      </c>
      <c r="B128" s="877"/>
      <c r="C128" s="509">
        <f t="shared" ref="C128:E130" si="6">C112</f>
        <v>825.85949683887225</v>
      </c>
      <c r="D128" s="576">
        <f t="shared" si="6"/>
        <v>627.51102576455537</v>
      </c>
      <c r="E128" s="577">
        <f t="shared" si="6"/>
        <v>481.19231871590864</v>
      </c>
    </row>
    <row r="129" spans="1:5" ht="15.75" customHeight="1" x14ac:dyDescent="0.2">
      <c r="A129" s="874" t="s">
        <v>547</v>
      </c>
      <c r="B129" s="874"/>
      <c r="C129" s="511">
        <f t="shared" si="6"/>
        <v>850.08646725505628</v>
      </c>
      <c r="D129" s="576">
        <f t="shared" si="6"/>
        <v>645.91935201765068</v>
      </c>
      <c r="E129" s="577">
        <f t="shared" si="6"/>
        <v>495.30831800470742</v>
      </c>
    </row>
    <row r="130" spans="1:5" ht="15.75" customHeight="1" x14ac:dyDescent="0.2">
      <c r="A130" s="874" t="s">
        <v>548</v>
      </c>
      <c r="B130" s="874"/>
      <c r="C130" s="511">
        <f t="shared" si="6"/>
        <v>874.58952850219396</v>
      </c>
      <c r="D130" s="576">
        <f t="shared" si="6"/>
        <v>664.53745976650782</v>
      </c>
      <c r="E130" s="577">
        <f t="shared" si="6"/>
        <v>509.58518338226759</v>
      </c>
    </row>
    <row r="131" spans="1:5" ht="15.75" customHeight="1" x14ac:dyDescent="0.2">
      <c r="A131" s="874" t="s">
        <v>549</v>
      </c>
      <c r="B131" s="874"/>
      <c r="C131" s="511">
        <f>C115</f>
        <v>899.37342712752229</v>
      </c>
      <c r="D131" s="511">
        <f t="shared" ref="D131:E131" si="7">D115</f>
        <v>683.36895556979312</v>
      </c>
      <c r="E131" s="511">
        <f t="shared" si="7"/>
        <v>524.02568045469934</v>
      </c>
    </row>
    <row r="132" spans="1:5" ht="15.75" customHeight="1" x14ac:dyDescent="0.2">
      <c r="A132" s="874" t="s">
        <v>550</v>
      </c>
      <c r="B132" s="874"/>
      <c r="C132" s="511">
        <f>C116</f>
        <v>924.44301910876231</v>
      </c>
      <c r="D132" s="576">
        <f>D116</f>
        <v>702.41752913449966</v>
      </c>
      <c r="E132" s="577">
        <f>E116</f>
        <v>538.63263858848495</v>
      </c>
    </row>
    <row r="133" spans="1:5" ht="15.75" customHeight="1" x14ac:dyDescent="0.2">
      <c r="A133" s="877" t="s">
        <v>551</v>
      </c>
      <c r="B133" s="877"/>
      <c r="C133" s="511">
        <f>C117</f>
        <v>975.4592733446384</v>
      </c>
      <c r="D133" s="578">
        <f>D117</f>
        <v>741.18109866267787</v>
      </c>
      <c r="E133" s="579">
        <f>E117</f>
        <v>568.35758546131979</v>
      </c>
    </row>
    <row r="134" spans="1:5" ht="15.75" customHeight="1" x14ac:dyDescent="0.2">
      <c r="A134" s="513" t="s">
        <v>552</v>
      </c>
      <c r="B134" s="514"/>
      <c r="C134" s="515">
        <f>C127+C128</f>
        <v>4276.0602784564771</v>
      </c>
      <c r="D134" s="515">
        <f>D127+D128</f>
        <v>3249.0695836713357</v>
      </c>
      <c r="E134" s="516">
        <f>E127+E128</f>
        <v>2491.4738744729984</v>
      </c>
    </row>
    <row r="135" spans="1:5" ht="15.75" customHeight="1" x14ac:dyDescent="0.2">
      <c r="A135" s="517" t="s">
        <v>553</v>
      </c>
      <c r="B135" s="518"/>
      <c r="C135" s="519">
        <f>C127+C129</f>
        <v>4300.2872488726607</v>
      </c>
      <c r="D135" s="519">
        <f>D127+D129</f>
        <v>3267.4779099244315</v>
      </c>
      <c r="E135" s="520">
        <f>E127+E129</f>
        <v>2505.5898737617972</v>
      </c>
    </row>
    <row r="136" spans="1:5" ht="15.75" customHeight="1" x14ac:dyDescent="0.2">
      <c r="A136" s="517" t="s">
        <v>554</v>
      </c>
      <c r="B136" s="518"/>
      <c r="C136" s="519">
        <f>C127+C130</f>
        <v>4324.790310119799</v>
      </c>
      <c r="D136" s="519">
        <f>D127+D130</f>
        <v>3286.0960176732883</v>
      </c>
      <c r="E136" s="520">
        <f>E127+E130</f>
        <v>2519.8667391393574</v>
      </c>
    </row>
    <row r="137" spans="1:5" ht="15.75" customHeight="1" x14ac:dyDescent="0.2">
      <c r="A137" s="517" t="s">
        <v>555</v>
      </c>
      <c r="B137" s="518"/>
      <c r="C137" s="519">
        <f>C127+C131</f>
        <v>4349.5742087451272</v>
      </c>
      <c r="D137" s="519">
        <f t="shared" ref="D137:E137" si="8">D127+D131</f>
        <v>3304.9275134765739</v>
      </c>
      <c r="E137" s="519">
        <f t="shared" si="8"/>
        <v>2534.3072362117891</v>
      </c>
    </row>
    <row r="138" spans="1:5" ht="15.75" customHeight="1" x14ac:dyDescent="0.2">
      <c r="A138" s="517" t="s">
        <v>556</v>
      </c>
      <c r="B138" s="518"/>
      <c r="C138" s="519">
        <f>C127+C132</f>
        <v>4374.6438007263669</v>
      </c>
      <c r="D138" s="519">
        <f>D127+D132</f>
        <v>3323.9760870412802</v>
      </c>
      <c r="E138" s="520">
        <f>E127+E132</f>
        <v>2548.9141943455747</v>
      </c>
    </row>
    <row r="139" spans="1:5" ht="15.75" customHeight="1" x14ac:dyDescent="0.2">
      <c r="A139" s="517" t="s">
        <v>557</v>
      </c>
      <c r="B139" s="518"/>
      <c r="C139" s="519">
        <f>C127+C133</f>
        <v>4425.6600549622435</v>
      </c>
      <c r="D139" s="580">
        <f>D127+D133</f>
        <v>3362.7396565694585</v>
      </c>
      <c r="E139" s="581">
        <f>E127+E133</f>
        <v>2578.6391412184093</v>
      </c>
    </row>
    <row r="140" spans="1:5" ht="15.75" customHeight="1" x14ac:dyDescent="0.2">
      <c r="A140" s="521" t="s">
        <v>558</v>
      </c>
      <c r="B140" s="522"/>
      <c r="C140" s="523">
        <f t="shared" ref="C140:C145" si="9">C134/200</f>
        <v>21.380301392282387</v>
      </c>
      <c r="D140" s="523"/>
      <c r="E140" s="582"/>
    </row>
    <row r="141" spans="1:5" ht="15.75" customHeight="1" x14ac:dyDescent="0.2">
      <c r="A141" s="526" t="s">
        <v>559</v>
      </c>
      <c r="B141" s="527"/>
      <c r="C141" s="528">
        <f t="shared" si="9"/>
        <v>21.501436244363305</v>
      </c>
      <c r="D141" s="528"/>
      <c r="E141" s="583"/>
    </row>
    <row r="142" spans="1:5" ht="15.75" customHeight="1" x14ac:dyDescent="0.2">
      <c r="A142" s="526" t="s">
        <v>561</v>
      </c>
      <c r="B142" s="527"/>
      <c r="C142" s="528">
        <f t="shared" si="9"/>
        <v>21.623951550598996</v>
      </c>
      <c r="D142" s="528"/>
      <c r="E142" s="583"/>
    </row>
    <row r="143" spans="1:5" ht="15.75" customHeight="1" x14ac:dyDescent="0.2">
      <c r="A143" s="526" t="s">
        <v>560</v>
      </c>
      <c r="B143" s="527"/>
      <c r="C143" s="528">
        <f t="shared" si="9"/>
        <v>21.747871043725635</v>
      </c>
      <c r="D143" s="528"/>
      <c r="E143" s="583"/>
    </row>
    <row r="144" spans="1:5" ht="15.75" customHeight="1" x14ac:dyDescent="0.2">
      <c r="A144" s="526" t="s">
        <v>562</v>
      </c>
      <c r="B144" s="527"/>
      <c r="C144" s="528">
        <f t="shared" si="9"/>
        <v>21.873219003631835</v>
      </c>
      <c r="D144" s="528"/>
      <c r="E144" s="583"/>
    </row>
    <row r="145" spans="1:5" ht="15.75" customHeight="1" x14ac:dyDescent="0.2">
      <c r="A145" s="531" t="s">
        <v>563</v>
      </c>
      <c r="B145" s="532"/>
      <c r="C145" s="533">
        <f t="shared" si="9"/>
        <v>22.128300274811217</v>
      </c>
      <c r="D145" s="533"/>
      <c r="E145" s="584"/>
    </row>
    <row r="146" spans="1:5" x14ac:dyDescent="0.2">
      <c r="A146" s="536"/>
    </row>
  </sheetData>
  <mergeCells count="32">
    <mergeCell ref="A133:B133"/>
    <mergeCell ref="A127:B127"/>
    <mergeCell ref="A128:B128"/>
    <mergeCell ref="A129:B129"/>
    <mergeCell ref="A130:B130"/>
    <mergeCell ref="A132:B132"/>
    <mergeCell ref="A131:B131"/>
    <mergeCell ref="A122:B122"/>
    <mergeCell ref="A123:B123"/>
    <mergeCell ref="A124:B124"/>
    <mergeCell ref="A125:B125"/>
    <mergeCell ref="A126:B126"/>
    <mergeCell ref="A112:A117"/>
    <mergeCell ref="A118:E118"/>
    <mergeCell ref="A119:E119"/>
    <mergeCell ref="A120:B120"/>
    <mergeCell ref="A121:B121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7070"/>
  </sheetPr>
  <dimension ref="A1:ALS178"/>
  <sheetViews>
    <sheetView zoomScaleNormal="100" workbookViewId="0">
      <pane xSplit="1" topLeftCell="M1" activePane="topRight" state="frozen"/>
      <selection pane="topRight" activeCell="O14" sqref="O14"/>
    </sheetView>
  </sheetViews>
  <sheetFormatPr defaultColWidth="10.625"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2" width="9.25" customWidth="1"/>
    <col min="23" max="23" width="10.875" customWidth="1"/>
    <col min="26" max="26" width="11.625" customWidth="1"/>
  </cols>
  <sheetData>
    <row r="1" spans="1:26" ht="15" customHeight="1" x14ac:dyDescent="0.2">
      <c r="A1" s="270"/>
      <c r="B1" s="270"/>
      <c r="C1" s="860" t="s">
        <v>335</v>
      </c>
      <c r="D1" s="860"/>
      <c r="E1" s="860"/>
      <c r="F1" s="860"/>
      <c r="G1" s="860"/>
      <c r="H1" s="860"/>
      <c r="I1" s="861" t="s">
        <v>336</v>
      </c>
      <c r="J1" s="861"/>
      <c r="K1" s="861"/>
      <c r="L1" s="862" t="s">
        <v>337</v>
      </c>
      <c r="M1" s="862"/>
      <c r="N1" s="862"/>
      <c r="O1" s="270"/>
      <c r="P1" s="270"/>
      <c r="Q1" s="270"/>
      <c r="R1" s="270"/>
      <c r="S1" s="270"/>
      <c r="T1" s="270"/>
      <c r="U1" s="270"/>
      <c r="V1" s="270"/>
      <c r="W1" s="863"/>
      <c r="X1" s="863"/>
      <c r="Y1" s="863"/>
      <c r="Z1" s="270"/>
    </row>
    <row r="2" spans="1:26" ht="68.099999999999994" customHeight="1" x14ac:dyDescent="0.2">
      <c r="A2" s="864" t="s">
        <v>343</v>
      </c>
      <c r="B2" s="864" t="s">
        <v>344</v>
      </c>
      <c r="C2" s="865" t="s">
        <v>413</v>
      </c>
      <c r="D2" s="845" t="s">
        <v>345</v>
      </c>
      <c r="E2" s="845" t="s">
        <v>346</v>
      </c>
      <c r="F2" s="846" t="s">
        <v>347</v>
      </c>
      <c r="G2" s="844" t="s">
        <v>348</v>
      </c>
      <c r="H2" s="866" t="s">
        <v>414</v>
      </c>
      <c r="I2" s="867" t="s">
        <v>350</v>
      </c>
      <c r="J2" s="847" t="s">
        <v>415</v>
      </c>
      <c r="K2" s="868" t="s">
        <v>352</v>
      </c>
      <c r="L2" s="869" t="s">
        <v>353</v>
      </c>
      <c r="M2" s="849" t="s">
        <v>354</v>
      </c>
      <c r="N2" s="870" t="s">
        <v>355</v>
      </c>
      <c r="O2" s="871" t="s">
        <v>416</v>
      </c>
      <c r="P2" s="872" t="s">
        <v>361</v>
      </c>
      <c r="Q2" s="872"/>
      <c r="R2" s="872"/>
      <c r="S2" s="872"/>
      <c r="T2" s="873" t="s">
        <v>362</v>
      </c>
      <c r="U2" s="873"/>
      <c r="V2" s="873"/>
      <c r="W2" s="287" t="s">
        <v>417</v>
      </c>
      <c r="X2" s="288" t="s">
        <v>418</v>
      </c>
      <c r="Y2" s="289" t="s">
        <v>419</v>
      </c>
      <c r="Z2" s="290" t="s">
        <v>420</v>
      </c>
    </row>
    <row r="3" spans="1:26" x14ac:dyDescent="0.2">
      <c r="A3" s="864"/>
      <c r="B3" s="864"/>
      <c r="C3" s="864"/>
      <c r="D3" s="845"/>
      <c r="E3" s="845"/>
      <c r="F3" s="846"/>
      <c r="G3" s="844"/>
      <c r="H3" s="866"/>
      <c r="I3" s="867"/>
      <c r="J3" s="847"/>
      <c r="K3" s="868"/>
      <c r="L3" s="869"/>
      <c r="M3" s="849"/>
      <c r="N3" s="870"/>
      <c r="O3" s="910"/>
      <c r="P3" s="223" t="s">
        <v>366</v>
      </c>
      <c r="Q3" s="223" t="s">
        <v>367</v>
      </c>
      <c r="R3" s="223" t="s">
        <v>368</v>
      </c>
      <c r="S3" s="224" t="s">
        <v>369</v>
      </c>
      <c r="T3" s="225" t="s">
        <v>370</v>
      </c>
      <c r="U3" s="225" t="s">
        <v>371</v>
      </c>
      <c r="V3" s="225" t="s">
        <v>372</v>
      </c>
      <c r="W3" s="292" t="s">
        <v>421</v>
      </c>
      <c r="X3" s="293" t="s">
        <v>421</v>
      </c>
      <c r="Y3" s="294" t="s">
        <v>422</v>
      </c>
      <c r="Z3" s="290" t="s">
        <v>370</v>
      </c>
    </row>
    <row r="4" spans="1:26" x14ac:dyDescent="0.2">
      <c r="A4" s="585" t="s">
        <v>84</v>
      </c>
      <c r="B4" s="586">
        <f>MC!J71</f>
        <v>0.02</v>
      </c>
      <c r="C4" s="587">
        <v>1758.27</v>
      </c>
      <c r="D4" s="658">
        <f>C4-E4-F4-G4-H4</f>
        <v>88.999999999999929</v>
      </c>
      <c r="E4" s="298">
        <f>$E$19*(1-H4/$H$19)</f>
        <v>538.16000000000008</v>
      </c>
      <c r="F4" s="299">
        <v>803.03</v>
      </c>
      <c r="G4" s="299">
        <v>262.62</v>
      </c>
      <c r="H4" s="299">
        <v>65.459999999999994</v>
      </c>
      <c r="I4" s="299">
        <v>365.93</v>
      </c>
      <c r="J4" s="299"/>
      <c r="K4" s="762">
        <f>SUM(E4:H4)</f>
        <v>1669.27</v>
      </c>
      <c r="L4" s="762">
        <v>127.51</v>
      </c>
      <c r="M4" s="762">
        <v>232.42</v>
      </c>
      <c r="N4" s="763">
        <v>911.39</v>
      </c>
      <c r="O4" s="646">
        <f t="shared" ref="O4:O17" si="0">D4/$D$19+E4/$E$19+F4/$F$19+G4/$G$19+H4/$H$19+I4/$I$19+J4/$J$19+K4/$K$19+M4/$M$19*16*1/188.76+N4/$N$19*16*1/188.76</f>
        <v>2.6458704756620306</v>
      </c>
      <c r="P4" s="630">
        <v>1</v>
      </c>
      <c r="Q4" s="631"/>
      <c r="R4" s="632"/>
      <c r="S4" s="632"/>
      <c r="T4" s="640"/>
      <c r="U4" s="641"/>
      <c r="V4" s="233"/>
      <c r="W4" s="301">
        <v>6</v>
      </c>
      <c r="X4" s="767">
        <v>6</v>
      </c>
      <c r="Y4" s="768">
        <v>22</v>
      </c>
      <c r="Z4" s="304">
        <v>1</v>
      </c>
    </row>
    <row r="5" spans="1:26" x14ac:dyDescent="0.2">
      <c r="A5" s="305" t="s">
        <v>87</v>
      </c>
      <c r="B5" s="588">
        <f>MC!J72</f>
        <v>0.02</v>
      </c>
      <c r="C5" s="589">
        <v>382.86999999999995</v>
      </c>
      <c r="D5" s="297"/>
      <c r="E5" s="297">
        <f>($E$19*30/40)*(1-H5/$H$19)</f>
        <v>600</v>
      </c>
      <c r="F5" s="297"/>
      <c r="G5" s="297">
        <v>0</v>
      </c>
      <c r="H5" s="297"/>
      <c r="I5" s="297"/>
      <c r="J5" s="297"/>
      <c r="K5" s="297"/>
      <c r="L5" s="297"/>
      <c r="M5" s="297"/>
      <c r="N5" s="590"/>
      <c r="O5" s="647">
        <f t="shared" si="0"/>
        <v>0.75</v>
      </c>
      <c r="P5" s="633"/>
      <c r="Q5" s="634"/>
      <c r="R5" s="635">
        <v>1</v>
      </c>
      <c r="S5" s="635"/>
      <c r="T5" s="642"/>
      <c r="U5" s="643"/>
      <c r="V5" s="309"/>
      <c r="W5" s="310">
        <v>6</v>
      </c>
      <c r="X5" s="766">
        <v>6</v>
      </c>
      <c r="Y5" s="312"/>
      <c r="Z5" s="313"/>
    </row>
    <row r="6" spans="1:26" x14ac:dyDescent="0.2">
      <c r="A6" s="305" t="s">
        <v>90</v>
      </c>
      <c r="B6" s="588">
        <f>MC!J73</f>
        <v>2.5000000000000001E-2</v>
      </c>
      <c r="C6" s="589">
        <v>1183.5099999999998</v>
      </c>
      <c r="D6" s="297">
        <f>C6-E6-F6-G6-H6</f>
        <v>-49.680000000000085</v>
      </c>
      <c r="E6" s="297">
        <f>$E$19*(1-H6/$H$19)</f>
        <v>574.88</v>
      </c>
      <c r="F6" s="297">
        <f>9+16.38+12.23+30.52+1.95+10.6+10.8+4.5+16.67+5.82+16.13+14.85+42.67+3.2+6.32+10.5+17.1+2.65+57.11+5.63+2.91+158.84+48.02+7.93+8.13+29.58+21.5+4.93+13.78+2.06+4.89+4.83</f>
        <v>602.02999999999986</v>
      </c>
      <c r="G6" s="297">
        <v>0</v>
      </c>
      <c r="H6" s="297">
        <f>8.22+5.29+3.3*2+5.02+8.64+3.02+7.28+1.87+3.45*2+1.72*2</f>
        <v>56.279999999999994</v>
      </c>
      <c r="I6" s="297">
        <f>201.2+340</f>
        <v>541.20000000000005</v>
      </c>
      <c r="J6" s="297"/>
      <c r="K6" s="764">
        <f>SUM(E6:H6)</f>
        <v>1233.1899999999998</v>
      </c>
      <c r="L6" s="629">
        <v>230.86</v>
      </c>
      <c r="M6" s="629">
        <v>69.12</v>
      </c>
      <c r="N6" s="765">
        <v>386.66</v>
      </c>
      <c r="O6" s="647">
        <f t="shared" si="0"/>
        <v>1.9471190582862112</v>
      </c>
      <c r="P6" s="633">
        <v>1</v>
      </c>
      <c r="Q6" s="634"/>
      <c r="R6" s="635"/>
      <c r="S6" s="635">
        <v>1</v>
      </c>
      <c r="T6" s="642"/>
      <c r="U6" s="643">
        <v>1</v>
      </c>
      <c r="V6" s="309"/>
      <c r="W6" s="310">
        <v>6</v>
      </c>
      <c r="X6" s="766">
        <v>6</v>
      </c>
      <c r="Y6" s="314"/>
      <c r="Z6" s="313"/>
    </row>
    <row r="7" spans="1:26" x14ac:dyDescent="0.2">
      <c r="A7" s="305" t="s">
        <v>92</v>
      </c>
      <c r="B7" s="588">
        <f>MC!J74</f>
        <v>0.03</v>
      </c>
      <c r="C7" s="589">
        <v>357.62</v>
      </c>
      <c r="D7" s="297"/>
      <c r="E7" s="297">
        <f>($E$19*30/40)*(1-H7/$H$19)</f>
        <v>600</v>
      </c>
      <c r="F7" s="297"/>
      <c r="G7" s="297"/>
      <c r="H7" s="297"/>
      <c r="I7" s="297"/>
      <c r="J7" s="297"/>
      <c r="K7" s="297"/>
      <c r="L7" s="297"/>
      <c r="M7" s="297"/>
      <c r="N7" s="590"/>
      <c r="O7" s="647">
        <f t="shared" si="0"/>
        <v>0.75</v>
      </c>
      <c r="P7" s="633"/>
      <c r="Q7" s="634"/>
      <c r="R7" s="635">
        <v>1</v>
      </c>
      <c r="S7" s="635"/>
      <c r="T7" s="642"/>
      <c r="U7" s="643"/>
      <c r="V7" s="233"/>
      <c r="W7" s="310">
        <v>6</v>
      </c>
      <c r="X7" s="766">
        <v>6</v>
      </c>
      <c r="Y7" s="314"/>
      <c r="Z7" s="313"/>
    </row>
    <row r="8" spans="1:26" x14ac:dyDescent="0.2">
      <c r="A8" s="305" t="s">
        <v>94</v>
      </c>
      <c r="B8" s="588">
        <f>MC!J75</f>
        <v>0.03</v>
      </c>
      <c r="C8" s="589">
        <v>1089.9900000000002</v>
      </c>
      <c r="D8" s="297">
        <f>C8-E8-F8-G8-H8</f>
        <v>7.2100000000001501</v>
      </c>
      <c r="E8" s="297">
        <f>$E$19*(1-H8/$H$19)</f>
        <v>473.52</v>
      </c>
      <c r="F8" s="297">
        <f>268.54+81.53+26.01+7.27+3.22+37.58+10.69+36.44+22.02+14.62+4.5+3.6+11.62</f>
        <v>527.6400000000001</v>
      </c>
      <c r="G8" s="297">
        <v>0</v>
      </c>
      <c r="H8" s="297">
        <f>8.02*4+10.75*4+3.27*2</f>
        <v>81.62</v>
      </c>
      <c r="I8" s="297">
        <v>55</v>
      </c>
      <c r="J8" s="297"/>
      <c r="K8" s="764">
        <f>SUM(E8:H8)</f>
        <v>1082.7800000000002</v>
      </c>
      <c r="L8" s="629">
        <v>195.66</v>
      </c>
      <c r="M8" s="629">
        <v>100.2</v>
      </c>
      <c r="N8" s="765">
        <v>295.86</v>
      </c>
      <c r="O8" s="647">
        <f t="shared" si="0"/>
        <v>1.6601374925459977</v>
      </c>
      <c r="P8" s="633"/>
      <c r="Q8" s="634"/>
      <c r="R8" s="635">
        <v>1</v>
      </c>
      <c r="S8" s="635">
        <v>1</v>
      </c>
      <c r="T8" s="642"/>
      <c r="U8" s="643">
        <v>1</v>
      </c>
      <c r="V8" s="309"/>
      <c r="W8" s="310">
        <v>6</v>
      </c>
      <c r="X8" s="766">
        <v>6</v>
      </c>
      <c r="Y8" s="314"/>
      <c r="Z8" s="313"/>
    </row>
    <row r="9" spans="1:26" x14ac:dyDescent="0.2">
      <c r="A9" s="305" t="s">
        <v>97</v>
      </c>
      <c r="B9" s="588">
        <f>MC!J76</f>
        <v>0.02</v>
      </c>
      <c r="C9" s="589">
        <v>1685.51</v>
      </c>
      <c r="D9" s="297">
        <f>C9-E9-F9-G9-H9</f>
        <v>334.15999999999985</v>
      </c>
      <c r="E9" s="297">
        <f>$E$19*(1-H9/$H$19)</f>
        <v>362.15999999999997</v>
      </c>
      <c r="F9" s="297">
        <f>36.6+57.92+36.6+2.1+11.24+20.76+68.91+19.53+47.65+11.38+15.07+3.56+9.66+21.9+169.89+55.66+235.8+26.22+10.96+12.9+5.42</f>
        <v>879.73</v>
      </c>
      <c r="G9" s="297">
        <v>0</v>
      </c>
      <c r="H9" s="297">
        <f>5.98+15.22+15.34*2+4.09+15.22+15.17+9.9+9.2+4</f>
        <v>109.46000000000001</v>
      </c>
      <c r="I9" s="297">
        <f>294+115</f>
        <v>409</v>
      </c>
      <c r="J9" s="297"/>
      <c r="K9" s="764">
        <f>SUM(E9:H9)</f>
        <v>1351.35</v>
      </c>
      <c r="L9" s="297">
        <v>197.69</v>
      </c>
      <c r="M9" s="297">
        <v>200.94</v>
      </c>
      <c r="N9" s="590">
        <v>398.63</v>
      </c>
      <c r="O9" s="647">
        <f t="shared" si="0"/>
        <v>2.5903754264581775</v>
      </c>
      <c r="P9" s="633">
        <v>1</v>
      </c>
      <c r="Q9" s="634"/>
      <c r="R9" s="635"/>
      <c r="S9" s="635">
        <v>2</v>
      </c>
      <c r="T9" s="642">
        <v>1</v>
      </c>
      <c r="U9" s="643">
        <v>1</v>
      </c>
      <c r="V9" s="309"/>
      <c r="W9" s="310">
        <v>6</v>
      </c>
      <c r="X9" s="766">
        <v>6</v>
      </c>
      <c r="Y9" s="314"/>
      <c r="Z9" s="313"/>
    </row>
    <row r="10" spans="1:26" x14ac:dyDescent="0.2">
      <c r="A10" s="305" t="s">
        <v>99</v>
      </c>
      <c r="B10" s="588">
        <f>MC!J77</f>
        <v>0.02</v>
      </c>
      <c r="C10" s="591">
        <v>920.35</v>
      </c>
      <c r="D10" s="297">
        <f>C10-E10-F10-G10-H10</f>
        <v>96.54</v>
      </c>
      <c r="E10" s="297">
        <f>$E$19*(1-H10/$H$19)</f>
        <v>684.48</v>
      </c>
      <c r="F10" s="297">
        <v>0</v>
      </c>
      <c r="G10" s="297">
        <v>110.45</v>
      </c>
      <c r="H10" s="297">
        <v>28.88</v>
      </c>
      <c r="I10" s="297"/>
      <c r="J10" s="297"/>
      <c r="K10" s="764">
        <f>SUM(E10:H10)</f>
        <v>823.81000000000006</v>
      </c>
      <c r="L10" s="297">
        <v>169.58</v>
      </c>
      <c r="M10" s="297"/>
      <c r="N10" s="590">
        <v>404.75</v>
      </c>
      <c r="O10" s="647">
        <f t="shared" si="0"/>
        <v>1.4587111827885033</v>
      </c>
      <c r="P10" s="633">
        <v>1</v>
      </c>
      <c r="Q10" s="634">
        <v>1</v>
      </c>
      <c r="R10" s="635"/>
      <c r="S10" s="635">
        <v>2</v>
      </c>
      <c r="T10" s="642">
        <v>2</v>
      </c>
      <c r="U10" s="643">
        <v>1</v>
      </c>
      <c r="V10" s="233"/>
      <c r="W10" s="310">
        <v>6</v>
      </c>
      <c r="X10" s="766">
        <v>6</v>
      </c>
      <c r="Y10" s="314"/>
      <c r="Z10" s="313"/>
    </row>
    <row r="11" spans="1:26" x14ac:dyDescent="0.2">
      <c r="A11" s="305" t="s">
        <v>101</v>
      </c>
      <c r="B11" s="588">
        <f>MC!J78</f>
        <v>0.02</v>
      </c>
      <c r="C11" s="589">
        <v>745.50999999999988</v>
      </c>
      <c r="D11" s="297"/>
      <c r="E11" s="297">
        <f>$E$19*(1-H11/$H$19)</f>
        <v>576.32000000000005</v>
      </c>
      <c r="F11" s="297"/>
      <c r="G11" s="297"/>
      <c r="H11" s="297">
        <f>4.34+2.6*2+4.34+4.42+4.76+1.67+4.02+3.38+9.69+10.2+3.9</f>
        <v>55.919999999999995</v>
      </c>
      <c r="I11" s="297">
        <v>413</v>
      </c>
      <c r="J11" s="297"/>
      <c r="K11" s="764">
        <f>SUM(E11:H11)</f>
        <v>632.24</v>
      </c>
      <c r="L11" s="297">
        <v>98.24</v>
      </c>
      <c r="M11" s="297">
        <v>139.77000000000001</v>
      </c>
      <c r="N11" s="590">
        <v>238</v>
      </c>
      <c r="O11" s="647">
        <f t="shared" si="0"/>
        <v>1.4190840696995719</v>
      </c>
      <c r="P11" s="633"/>
      <c r="Q11" s="634"/>
      <c r="R11" s="635">
        <v>1</v>
      </c>
      <c r="S11" s="635">
        <v>1</v>
      </c>
      <c r="T11" s="642"/>
      <c r="U11" s="643">
        <v>1</v>
      </c>
      <c r="V11" s="309"/>
      <c r="W11" s="310">
        <v>6</v>
      </c>
      <c r="X11" s="766">
        <v>6</v>
      </c>
      <c r="Y11" s="314"/>
      <c r="Z11" s="313"/>
    </row>
    <row r="12" spans="1:26" x14ac:dyDescent="0.2">
      <c r="A12" s="305" t="s">
        <v>103</v>
      </c>
      <c r="B12" s="588">
        <f>MC!J79</f>
        <v>0.02</v>
      </c>
      <c r="C12" s="589">
        <v>760.09999999999991</v>
      </c>
      <c r="D12" s="297"/>
      <c r="E12" s="297">
        <f>$E$19*(1-H12/$H$19)</f>
        <v>800</v>
      </c>
      <c r="F12" s="297"/>
      <c r="G12" s="297"/>
      <c r="H12" s="297"/>
      <c r="I12" s="297"/>
      <c r="J12" s="297"/>
      <c r="K12" s="297"/>
      <c r="L12" s="297"/>
      <c r="M12" s="297"/>
      <c r="N12" s="590"/>
      <c r="O12" s="647">
        <f t="shared" si="0"/>
        <v>1</v>
      </c>
      <c r="P12" s="633">
        <v>1</v>
      </c>
      <c r="Q12" s="634"/>
      <c r="R12" s="635"/>
      <c r="S12" s="635"/>
      <c r="T12" s="642"/>
      <c r="U12" s="643">
        <v>1</v>
      </c>
      <c r="V12" s="309"/>
      <c r="W12" s="310">
        <v>6</v>
      </c>
      <c r="X12" s="766">
        <v>6</v>
      </c>
      <c r="Y12" s="314"/>
      <c r="Z12" s="313"/>
    </row>
    <row r="13" spans="1:26" x14ac:dyDescent="0.2">
      <c r="A13" s="305" t="s">
        <v>105</v>
      </c>
      <c r="B13" s="588">
        <f>MC!J80</f>
        <v>2.5000000000000001E-2</v>
      </c>
      <c r="C13" s="589">
        <v>376.96</v>
      </c>
      <c r="D13" s="297"/>
      <c r="E13" s="297">
        <f>($E$19*30/40)*(1-H13/$H$19)</f>
        <v>600</v>
      </c>
      <c r="F13" s="297"/>
      <c r="G13" s="297"/>
      <c r="H13" s="297"/>
      <c r="I13" s="297"/>
      <c r="J13" s="297"/>
      <c r="K13" s="297"/>
      <c r="L13" s="297"/>
      <c r="M13" s="297"/>
      <c r="N13" s="590"/>
      <c r="O13" s="647">
        <f t="shared" si="0"/>
        <v>0.75</v>
      </c>
      <c r="P13" s="633"/>
      <c r="Q13" s="634"/>
      <c r="R13" s="635">
        <v>1</v>
      </c>
      <c r="S13" s="635"/>
      <c r="T13" s="642"/>
      <c r="U13" s="643"/>
      <c r="V13" s="309"/>
      <c r="W13" s="310">
        <v>6</v>
      </c>
      <c r="X13" s="766">
        <v>6</v>
      </c>
      <c r="Y13" s="314"/>
      <c r="Z13" s="313"/>
    </row>
    <row r="14" spans="1:26" x14ac:dyDescent="0.2">
      <c r="A14" s="305" t="s">
        <v>108</v>
      </c>
      <c r="B14" s="588">
        <f>MC!J81</f>
        <v>2.5000000000000001E-2</v>
      </c>
      <c r="C14" s="589">
        <v>379.82</v>
      </c>
      <c r="D14" s="297"/>
      <c r="E14" s="297">
        <f>$E$19*(1-H14/$H$19)</f>
        <v>696.28</v>
      </c>
      <c r="F14" s="297"/>
      <c r="G14" s="297"/>
      <c r="H14" s="297">
        <f>8.83*2+3+2.58+2.69</f>
        <v>25.930000000000003</v>
      </c>
      <c r="I14" s="297"/>
      <c r="J14" s="297"/>
      <c r="K14" s="764">
        <f>SUM(E14:H14)</f>
        <v>722.20999999999992</v>
      </c>
      <c r="L14" s="629">
        <v>104.68</v>
      </c>
      <c r="M14" s="629">
        <v>65.25</v>
      </c>
      <c r="N14" s="765">
        <v>104.68</v>
      </c>
      <c r="O14" s="647">
        <f t="shared" si="0"/>
        <v>1.1582733310469435</v>
      </c>
      <c r="P14" s="633"/>
      <c r="Q14" s="634"/>
      <c r="R14" s="635">
        <v>1</v>
      </c>
      <c r="S14" s="635"/>
      <c r="T14" s="642"/>
      <c r="U14" s="643"/>
      <c r="V14" s="309"/>
      <c r="W14" s="310">
        <v>6</v>
      </c>
      <c r="X14" s="766">
        <v>6</v>
      </c>
      <c r="Y14" s="314"/>
      <c r="Z14" s="313"/>
    </row>
    <row r="15" spans="1:26" x14ac:dyDescent="0.2">
      <c r="A15" s="305" t="s">
        <v>111</v>
      </c>
      <c r="B15" s="588">
        <f>MC!J82</f>
        <v>0.03</v>
      </c>
      <c r="C15" s="589">
        <v>752.48</v>
      </c>
      <c r="D15" s="297"/>
      <c r="E15" s="297">
        <f>($E$19*30/40)*(1-H15/$H$19)</f>
        <v>600</v>
      </c>
      <c r="F15" s="297"/>
      <c r="G15" s="297"/>
      <c r="H15" s="297"/>
      <c r="I15" s="297"/>
      <c r="J15" s="297"/>
      <c r="K15" s="297"/>
      <c r="L15" s="297"/>
      <c r="M15" s="297"/>
      <c r="N15" s="590"/>
      <c r="O15" s="647">
        <f t="shared" si="0"/>
        <v>0.75</v>
      </c>
      <c r="P15" s="633"/>
      <c r="Q15" s="634"/>
      <c r="R15" s="635">
        <v>1</v>
      </c>
      <c r="S15" s="635"/>
      <c r="T15" s="642"/>
      <c r="U15" s="643">
        <v>1</v>
      </c>
      <c r="V15" s="309"/>
      <c r="W15" s="310">
        <v>6</v>
      </c>
      <c r="X15" s="766">
        <v>6</v>
      </c>
      <c r="Y15" s="314"/>
      <c r="Z15" s="313"/>
    </row>
    <row r="16" spans="1:26" x14ac:dyDescent="0.2">
      <c r="A16" s="305" t="s">
        <v>113</v>
      </c>
      <c r="B16" s="588">
        <f>MC!J83</f>
        <v>2.5000000000000001E-2</v>
      </c>
      <c r="C16" s="589">
        <v>708.09999999999991</v>
      </c>
      <c r="D16" s="297"/>
      <c r="E16" s="297">
        <f>($E$19*30/40)*(1-H16/$H$19)</f>
        <v>600</v>
      </c>
      <c r="F16" s="297"/>
      <c r="G16" s="297"/>
      <c r="H16" s="297"/>
      <c r="I16" s="297"/>
      <c r="J16" s="297"/>
      <c r="K16" s="297"/>
      <c r="L16" s="297"/>
      <c r="M16" s="297"/>
      <c r="N16" s="590"/>
      <c r="O16" s="647">
        <f t="shared" si="0"/>
        <v>0.75</v>
      </c>
      <c r="P16" s="633"/>
      <c r="Q16" s="634"/>
      <c r="R16" s="635">
        <v>1</v>
      </c>
      <c r="S16" s="635"/>
      <c r="T16" s="642"/>
      <c r="U16" s="643"/>
      <c r="V16" s="309"/>
      <c r="W16" s="310">
        <v>6</v>
      </c>
      <c r="X16" s="766">
        <v>6</v>
      </c>
      <c r="Y16" s="314"/>
      <c r="Z16" s="313"/>
    </row>
    <row r="17" spans="1:1007" x14ac:dyDescent="0.2">
      <c r="A17" s="315" t="s">
        <v>115</v>
      </c>
      <c r="B17" s="592">
        <f>MC!J84</f>
        <v>3.5000000000000003E-2</v>
      </c>
      <c r="C17" s="593">
        <v>287.05</v>
      </c>
      <c r="D17" s="297"/>
      <c r="E17" s="317">
        <f>($E$19*30/40)*(1-H17/$H$19)</f>
        <v>600</v>
      </c>
      <c r="F17" s="318"/>
      <c r="G17" s="318"/>
      <c r="H17" s="318"/>
      <c r="I17" s="318"/>
      <c r="J17" s="318"/>
      <c r="K17" s="297"/>
      <c r="L17" s="318"/>
      <c r="M17" s="318"/>
      <c r="N17" s="594"/>
      <c r="O17" s="647">
        <f t="shared" si="0"/>
        <v>0.75</v>
      </c>
      <c r="P17" s="636"/>
      <c r="Q17" s="637"/>
      <c r="R17" s="638">
        <v>1</v>
      </c>
      <c r="S17" s="639"/>
      <c r="T17" s="644"/>
      <c r="U17" s="645"/>
      <c r="V17" s="309"/>
      <c r="W17" s="310">
        <v>6</v>
      </c>
      <c r="X17" s="766">
        <v>6</v>
      </c>
      <c r="Y17" s="314"/>
      <c r="Z17" s="313"/>
    </row>
    <row r="18" spans="1:1007" x14ac:dyDescent="0.2">
      <c r="A18" s="320" t="s">
        <v>423</v>
      </c>
      <c r="B18" s="320"/>
      <c r="C18" s="320"/>
      <c r="D18" s="321">
        <f t="shared" ref="D18:Z18" si="1">SUM(D4:D17)</f>
        <v>477.22999999999985</v>
      </c>
      <c r="E18" s="322">
        <f t="shared" si="1"/>
        <v>8305.7999999999993</v>
      </c>
      <c r="F18" s="322">
        <f t="shared" si="1"/>
        <v>2812.4300000000003</v>
      </c>
      <c r="G18" s="322">
        <f t="shared" si="1"/>
        <v>373.07</v>
      </c>
      <c r="H18" s="322">
        <f t="shared" si="1"/>
        <v>423.55</v>
      </c>
      <c r="I18" s="322">
        <f t="shared" si="1"/>
        <v>1784.13</v>
      </c>
      <c r="J18" s="322">
        <f t="shared" si="1"/>
        <v>0</v>
      </c>
      <c r="K18" s="322">
        <f t="shared" si="1"/>
        <v>7514.85</v>
      </c>
      <c r="L18" s="322">
        <f t="shared" si="1"/>
        <v>1124.22</v>
      </c>
      <c r="M18" s="322">
        <f t="shared" si="1"/>
        <v>807.69999999999993</v>
      </c>
      <c r="N18" s="649">
        <f t="shared" si="1"/>
        <v>2739.97</v>
      </c>
      <c r="O18" s="648">
        <f t="shared" si="1"/>
        <v>18.379571036487434</v>
      </c>
      <c r="P18" s="650">
        <f t="shared" si="1"/>
        <v>5</v>
      </c>
      <c r="Q18" s="326">
        <f t="shared" si="1"/>
        <v>1</v>
      </c>
      <c r="R18" s="326">
        <f t="shared" si="1"/>
        <v>9</v>
      </c>
      <c r="S18" s="326">
        <f t="shared" si="1"/>
        <v>7</v>
      </c>
      <c r="T18" s="268">
        <f t="shared" si="1"/>
        <v>3</v>
      </c>
      <c r="U18" s="268">
        <f t="shared" si="1"/>
        <v>7</v>
      </c>
      <c r="V18" s="268">
        <f t="shared" si="1"/>
        <v>0</v>
      </c>
      <c r="W18" s="329">
        <f t="shared" si="1"/>
        <v>84</v>
      </c>
      <c r="X18" s="330">
        <f t="shared" si="1"/>
        <v>84</v>
      </c>
      <c r="Y18" s="331">
        <f t="shared" si="1"/>
        <v>22</v>
      </c>
      <c r="Z18" s="332">
        <f t="shared" si="1"/>
        <v>1</v>
      </c>
      <c r="ALP18" s="242"/>
      <c r="ALQ18" s="242"/>
      <c r="ALR18" s="242"/>
      <c r="ALS18" s="242"/>
    </row>
    <row r="19" spans="1:1007" ht="15" x14ac:dyDescent="0.25">
      <c r="A19" s="333" t="s">
        <v>424</v>
      </c>
      <c r="B19" s="333"/>
      <c r="C19" s="333"/>
      <c r="D19" s="334">
        <v>800</v>
      </c>
      <c r="E19" s="334">
        <v>800</v>
      </c>
      <c r="F19" s="335">
        <v>1500</v>
      </c>
      <c r="G19" s="335">
        <v>1000</v>
      </c>
      <c r="H19" s="335">
        <v>200</v>
      </c>
      <c r="I19" s="335">
        <v>1800</v>
      </c>
      <c r="J19" s="335">
        <v>2700</v>
      </c>
      <c r="K19" s="335">
        <v>6000</v>
      </c>
      <c r="L19" s="335">
        <v>160</v>
      </c>
      <c r="M19" s="335">
        <v>380</v>
      </c>
      <c r="N19" s="336">
        <v>380</v>
      </c>
      <c r="O19" s="337"/>
      <c r="P19" s="338" t="s">
        <v>425</v>
      </c>
      <c r="Q19" s="339">
        <f>P18+Q18+R18+S18</f>
        <v>22</v>
      </c>
      <c r="R19" s="340"/>
      <c r="S19" s="340"/>
      <c r="T19" s="338" t="s">
        <v>425</v>
      </c>
      <c r="U19" s="341">
        <f>T18+U18+V18</f>
        <v>10</v>
      </c>
      <c r="V19" s="272"/>
      <c r="W19" s="342"/>
      <c r="X19" s="342"/>
      <c r="Y19" s="342"/>
      <c r="Z19" s="272"/>
      <c r="ALS19" s="273"/>
    </row>
    <row r="20" spans="1:1007" ht="15" x14ac:dyDescent="0.25">
      <c r="A20" s="343" t="s">
        <v>426</v>
      </c>
      <c r="B20" s="343"/>
      <c r="C20" s="343"/>
      <c r="D20" s="344">
        <f t="shared" ref="D20:K20" si="2">D18/D19</f>
        <v>0.59653749999999983</v>
      </c>
      <c r="E20" s="344">
        <f t="shared" si="2"/>
        <v>10.382249999999999</v>
      </c>
      <c r="F20" s="345">
        <f t="shared" si="2"/>
        <v>1.8749533333333335</v>
      </c>
      <c r="G20" s="345">
        <f t="shared" si="2"/>
        <v>0.37307000000000001</v>
      </c>
      <c r="H20" s="345">
        <f t="shared" si="2"/>
        <v>2.11775</v>
      </c>
      <c r="I20" s="345">
        <f t="shared" si="2"/>
        <v>0.99118333333333342</v>
      </c>
      <c r="J20" s="345">
        <f t="shared" si="2"/>
        <v>0</v>
      </c>
      <c r="K20" s="345">
        <f t="shared" si="2"/>
        <v>1.252475</v>
      </c>
      <c r="L20" s="345">
        <f>1/L19*8*1/1132.6*L18</f>
        <v>4.9630054741303206E-2</v>
      </c>
      <c r="M20" s="345">
        <f>1/M19*16*1/188.76*M18</f>
        <v>0.18016751988043853</v>
      </c>
      <c r="N20" s="346">
        <f>1/N19*16*1/188.76*N18</f>
        <v>0.61118434994033077</v>
      </c>
      <c r="O20" s="347">
        <f>SUM(D20:N20)-L20</f>
        <v>18.379571036487434</v>
      </c>
      <c r="P20" s="338" t="s">
        <v>427</v>
      </c>
      <c r="Q20" s="341">
        <f>P18+Q18+(R18*0.75)+(S18*0.75)</f>
        <v>18</v>
      </c>
      <c r="R20" s="272"/>
      <c r="S20" s="272"/>
      <c r="T20" s="348"/>
      <c r="U20" s="348"/>
      <c r="V20" s="272"/>
      <c r="W20" s="272"/>
      <c r="X20" s="272"/>
      <c r="Y20" s="272"/>
      <c r="Z20" s="272"/>
      <c r="ALS20" s="273"/>
    </row>
    <row r="21" spans="1:1007" ht="15" x14ac:dyDescent="0.25">
      <c r="A21" s="349" t="s">
        <v>428</v>
      </c>
      <c r="B21" s="349"/>
      <c r="C21" s="349"/>
      <c r="D21" s="350">
        <f t="shared" ref="D21:K21" si="3">D18/($O20*D19)</f>
        <v>3.245655183223501E-2</v>
      </c>
      <c r="E21" s="350">
        <f t="shared" si="3"/>
        <v>0.56487988644506348</v>
      </c>
      <c r="F21" s="351">
        <f t="shared" si="3"/>
        <v>0.10201289951822839</v>
      </c>
      <c r="G21" s="351">
        <f t="shared" si="3"/>
        <v>2.029807982239494E-2</v>
      </c>
      <c r="H21" s="351">
        <f t="shared" si="3"/>
        <v>0.11522303734922905</v>
      </c>
      <c r="I21" s="351">
        <f t="shared" si="3"/>
        <v>5.3928534641293838E-2</v>
      </c>
      <c r="J21" s="351">
        <f t="shared" si="3"/>
        <v>0</v>
      </c>
      <c r="K21" s="351">
        <f t="shared" si="3"/>
        <v>6.8144952758340524E-2</v>
      </c>
      <c r="L21" s="351">
        <f>1/$O20*1/L19*16*1/188.76*L18</f>
        <v>3.2404547954567479E-2</v>
      </c>
      <c r="M21" s="351">
        <f>1/$O20*1/M19*16*1/188.76*M18</f>
        <v>9.8025965634762052E-3</v>
      </c>
      <c r="N21" s="351">
        <f>1/$O20*1/N19*16*1/188.76*N18</f>
        <v>3.3253461069738637E-2</v>
      </c>
      <c r="O21" s="352">
        <f>SUM(D21:N21)</f>
        <v>1.0324045479545676</v>
      </c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3"/>
      <c r="ALS21" s="273"/>
    </row>
    <row r="22" spans="1:1007" ht="15" hidden="1" x14ac:dyDescent="0.25">
      <c r="A22" s="353" t="s">
        <v>429</v>
      </c>
      <c r="B22" s="353"/>
      <c r="C22" s="353"/>
      <c r="D22" s="354">
        <f>ROUND(1/D19,9)</f>
        <v>1.25E-3</v>
      </c>
      <c r="E22" s="354"/>
      <c r="F22" s="355">
        <f t="shared" ref="F22:K22" si="4">ROUND(1/F19,9)</f>
        <v>6.6666700000000002E-4</v>
      </c>
      <c r="G22" s="355">
        <f t="shared" si="4"/>
        <v>1E-3</v>
      </c>
      <c r="H22" s="355">
        <f t="shared" si="4"/>
        <v>5.0000000000000001E-3</v>
      </c>
      <c r="I22" s="355">
        <f t="shared" si="4"/>
        <v>5.5555600000000002E-4</v>
      </c>
      <c r="J22" s="355">
        <f t="shared" si="4"/>
        <v>3.7037000000000002E-4</v>
      </c>
      <c r="K22" s="355">
        <f t="shared" si="4"/>
        <v>1.6666700000000001E-4</v>
      </c>
      <c r="L22" s="356">
        <f>(1/L19)*(1/N27)*8</f>
        <v>4.8611111111111115E-5</v>
      </c>
      <c r="M22" s="356">
        <f>(1/M19)*(1/N26)*16</f>
        <v>2.4561403508771931E-4</v>
      </c>
      <c r="N22" s="357">
        <f>(1/N19)*(1/N26)*16</f>
        <v>2.4561403508771931E-4</v>
      </c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LS22" s="273"/>
    </row>
    <row r="23" spans="1:1007" ht="15" hidden="1" x14ac:dyDescent="0.25">
      <c r="A23" s="358" t="s">
        <v>430</v>
      </c>
      <c r="B23" s="358"/>
      <c r="C23" s="358"/>
      <c r="D23" s="359">
        <f>D22/$Z$18</f>
        <v>1.25E-3</v>
      </c>
      <c r="E23" s="359"/>
      <c r="F23" s="360">
        <f t="shared" ref="F23:N23" si="5">F22/$Z$18</f>
        <v>6.6666700000000002E-4</v>
      </c>
      <c r="G23" s="360">
        <f t="shared" si="5"/>
        <v>1E-3</v>
      </c>
      <c r="H23" s="360">
        <f t="shared" si="5"/>
        <v>5.0000000000000001E-3</v>
      </c>
      <c r="I23" s="360">
        <f t="shared" si="5"/>
        <v>5.5555600000000002E-4</v>
      </c>
      <c r="J23" s="360">
        <f t="shared" si="5"/>
        <v>3.7037000000000002E-4</v>
      </c>
      <c r="K23" s="360">
        <f t="shared" si="5"/>
        <v>1.6666700000000001E-4</v>
      </c>
      <c r="L23" s="361">
        <f t="shared" si="5"/>
        <v>4.8611111111111115E-5</v>
      </c>
      <c r="M23" s="361">
        <f t="shared" si="5"/>
        <v>2.4561403508771931E-4</v>
      </c>
      <c r="N23" s="362">
        <f t="shared" si="5"/>
        <v>2.4561403508771931E-4</v>
      </c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LS23" s="273"/>
    </row>
    <row r="24" spans="1:1007" ht="15" x14ac:dyDescent="0.25">
      <c r="A24" s="363" t="s">
        <v>431</v>
      </c>
      <c r="B24" s="363"/>
      <c r="C24" s="363"/>
      <c r="D24" s="364" t="s">
        <v>432</v>
      </c>
      <c r="E24" s="364" t="s">
        <v>432</v>
      </c>
      <c r="F24" s="365" t="s">
        <v>433</v>
      </c>
      <c r="G24" s="365" t="s">
        <v>434</v>
      </c>
      <c r="H24" s="365" t="s">
        <v>435</v>
      </c>
      <c r="I24" s="366" t="s">
        <v>436</v>
      </c>
      <c r="J24" s="366" t="s">
        <v>436</v>
      </c>
      <c r="K24" s="366" t="s">
        <v>437</v>
      </c>
      <c r="L24" s="367" t="s">
        <v>438</v>
      </c>
      <c r="M24" s="367" t="s">
        <v>439</v>
      </c>
      <c r="N24" s="368" t="s">
        <v>439</v>
      </c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LS24" s="273"/>
    </row>
    <row r="25" spans="1:1007" ht="15" hidden="1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LP25" s="242"/>
      <c r="ALQ25" s="242"/>
      <c r="ALR25" s="242"/>
      <c r="ALS25" s="242"/>
    </row>
    <row r="26" spans="1:1007" ht="15" hidden="1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369">
        <f>30/7</f>
        <v>4.2857142857142856</v>
      </c>
      <c r="M26" s="369">
        <v>40</v>
      </c>
      <c r="N26" s="369">
        <f>L26*M26</f>
        <v>171.42857142857142</v>
      </c>
      <c r="O26" s="369"/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Z26" s="369"/>
      <c r="ALP26" s="242"/>
      <c r="ALQ26" s="242"/>
      <c r="ALR26" s="242"/>
      <c r="ALS26" s="242"/>
    </row>
    <row r="27" spans="1:1007" ht="15" hidden="1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369"/>
      <c r="M27" s="369"/>
      <c r="N27" s="369">
        <f>N26*6</f>
        <v>1028.5714285714284</v>
      </c>
      <c r="O27" s="369" t="s">
        <v>440</v>
      </c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LP27" s="242"/>
      <c r="ALQ27" s="242"/>
      <c r="ALR27" s="242"/>
      <c r="ALS27" s="242"/>
    </row>
    <row r="178" spans="4:4" x14ac:dyDescent="0.2">
      <c r="D178" t="e">
        <f>(1/'Prod. GEXPEL'!L18)*(1/('Prod. GEXPEL'!L19))*8</f>
        <v>#DIV/0!</v>
      </c>
    </row>
  </sheetData>
  <mergeCells count="21">
    <mergeCell ref="M2:M3"/>
    <mergeCell ref="N2:N3"/>
    <mergeCell ref="O2:O3"/>
    <mergeCell ref="P2:S2"/>
    <mergeCell ref="T2:V2"/>
    <mergeCell ref="C1:H1"/>
    <mergeCell ref="I1:K1"/>
    <mergeCell ref="L1:N1"/>
    <mergeCell ref="W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J205"/>
  <sheetViews>
    <sheetView zoomScaleNormal="100" workbookViewId="0">
      <pane xSplit="1" ySplit="12" topLeftCell="L148" activePane="bottomRight" state="frozen"/>
      <selection pane="topRight"/>
      <selection pane="bottomLeft"/>
      <selection pane="bottomRight" activeCell="O148" sqref="O148:X148"/>
    </sheetView>
  </sheetViews>
  <sheetFormatPr defaultColWidth="10.5" defaultRowHeight="14.25" x14ac:dyDescent="0.2"/>
  <cols>
    <col min="1" max="1" width="58.125" style="369" customWidth="1"/>
    <col min="2" max="2" width="16.25" style="369" customWidth="1"/>
    <col min="3" max="12" width="14" style="369" customWidth="1"/>
    <col min="13" max="13" width="15.125" style="369" customWidth="1"/>
    <col min="14" max="14" width="10.5" style="369"/>
    <col min="15" max="15" width="14.25" style="369" customWidth="1"/>
    <col min="16" max="1024" width="10.5" style="369"/>
  </cols>
  <sheetData>
    <row r="1" spans="1:1024" ht="15.75" x14ac:dyDescent="0.2">
      <c r="A1" s="878" t="s">
        <v>441</v>
      </c>
      <c r="B1" s="878"/>
      <c r="C1" s="878"/>
      <c r="D1" s="878"/>
      <c r="E1" s="878"/>
      <c r="F1" s="878"/>
      <c r="G1" s="878"/>
      <c r="H1" s="878"/>
      <c r="I1" s="878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">
      <c r="A2" s="879" t="s">
        <v>442</v>
      </c>
      <c r="B2" s="879"/>
      <c r="C2" s="879"/>
      <c r="D2" s="879"/>
      <c r="E2" s="879"/>
      <c r="F2" s="879"/>
      <c r="G2" s="879"/>
      <c r="H2" s="879"/>
      <c r="I2" s="879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879" t="s">
        <v>443</v>
      </c>
      <c r="B3" s="879"/>
      <c r="C3" s="879"/>
      <c r="D3" s="879"/>
      <c r="E3" s="879"/>
      <c r="F3" s="879"/>
      <c r="G3" s="879"/>
      <c r="H3" s="879"/>
      <c r="I3" s="879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" x14ac:dyDescent="0.2">
      <c r="A4" s="370"/>
      <c r="B4" s="371"/>
      <c r="C4" s="880" t="s">
        <v>444</v>
      </c>
      <c r="D4" s="880"/>
      <c r="E4" s="881" t="s">
        <v>445</v>
      </c>
      <c r="F4" s="881"/>
      <c r="G4" s="373" t="s">
        <v>446</v>
      </c>
      <c r="H4" s="374" t="s">
        <v>447</v>
      </c>
      <c r="I4" s="375" t="s">
        <v>448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376"/>
      <c r="B5" s="377" t="s">
        <v>449</v>
      </c>
      <c r="C5" s="882">
        <f>MC!I11</f>
        <v>1194.6272727272726</v>
      </c>
      <c r="D5" s="882"/>
      <c r="E5" s="882">
        <f>MC!J11</f>
        <v>895.97045454545446</v>
      </c>
      <c r="F5" s="882"/>
      <c r="G5" s="379">
        <f>MC!K11</f>
        <v>597.31363636363631</v>
      </c>
      <c r="H5" s="380">
        <f>MC!H13</f>
        <v>1669.75</v>
      </c>
      <c r="I5" s="380">
        <f>MC!I12</f>
        <v>1673.9117345454545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376"/>
      <c r="B6" s="377" t="s">
        <v>450</v>
      </c>
      <c r="C6" s="883">
        <f>MC!J8</f>
        <v>44562</v>
      </c>
      <c r="D6" s="883"/>
      <c r="E6" s="883">
        <f>C6</f>
        <v>44562</v>
      </c>
      <c r="F6" s="883"/>
      <c r="G6" s="382">
        <f>C6</f>
        <v>44562</v>
      </c>
      <c r="H6" s="383">
        <f>C6</f>
        <v>44562</v>
      </c>
      <c r="I6" s="383">
        <f>C6</f>
        <v>44562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376"/>
      <c r="B7" s="377" t="s">
        <v>451</v>
      </c>
      <c r="C7" s="883" t="str">
        <f>MC!H8</f>
        <v>RS000052/2022</v>
      </c>
      <c r="D7" s="883"/>
      <c r="E7" s="883" t="str">
        <f>C7</f>
        <v>RS000052/2022</v>
      </c>
      <c r="F7" s="883"/>
      <c r="G7" s="382" t="str">
        <f>C7</f>
        <v>RS000052/2022</v>
      </c>
      <c r="H7" s="383" t="str">
        <f>C7</f>
        <v>RS000052/2022</v>
      </c>
      <c r="I7" s="383" t="str">
        <f>C7</f>
        <v>RS000052/2022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376"/>
      <c r="B8" s="377" t="s">
        <v>452</v>
      </c>
      <c r="C8" s="884" t="str">
        <f>MC!$F8</f>
        <v>5143-20</v>
      </c>
      <c r="D8" s="884"/>
      <c r="E8" s="885" t="str">
        <f>MC!$F8</f>
        <v>5143-20</v>
      </c>
      <c r="F8" s="885"/>
      <c r="G8" s="385" t="str">
        <f>MC!$F8</f>
        <v>5143-20</v>
      </c>
      <c r="H8" s="386" t="str">
        <f>MC!$F8</f>
        <v>5143-20</v>
      </c>
      <c r="I8" s="386" t="str">
        <f>MC!$F8</f>
        <v>5143-20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886"/>
      <c r="B9" s="886"/>
      <c r="C9" s="886"/>
      <c r="D9" s="886"/>
      <c r="E9" s="886"/>
      <c r="F9" s="886"/>
      <c r="G9" s="886"/>
      <c r="H9" s="886"/>
      <c r="I9" s="886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56.1" customHeight="1" x14ac:dyDescent="0.2">
      <c r="A10" s="387" t="s">
        <v>453</v>
      </c>
      <c r="B10" s="388" t="s">
        <v>454</v>
      </c>
      <c r="C10" s="389" t="s">
        <v>455</v>
      </c>
      <c r="D10" s="389" t="s">
        <v>456</v>
      </c>
      <c r="E10" s="389" t="s">
        <v>457</v>
      </c>
      <c r="F10" s="389" t="s">
        <v>458</v>
      </c>
      <c r="G10" s="389" t="s">
        <v>459</v>
      </c>
      <c r="H10" s="389" t="s">
        <v>460</v>
      </c>
      <c r="I10" s="390" t="s">
        <v>461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4.25" customHeight="1" x14ac:dyDescent="0.2">
      <c r="A11" s="887" t="s">
        <v>462</v>
      </c>
      <c r="B11" s="887"/>
      <c r="C11" s="887"/>
      <c r="D11" s="887"/>
      <c r="E11" s="887"/>
      <c r="F11" s="887"/>
      <c r="G11" s="887"/>
      <c r="H11" s="887"/>
      <c r="I11" s="88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75" customHeight="1" x14ac:dyDescent="0.2">
      <c r="A12" s="391" t="s">
        <v>463</v>
      </c>
      <c r="B12" s="392" t="s">
        <v>464</v>
      </c>
      <c r="C12" s="392" t="s">
        <v>465</v>
      </c>
      <c r="D12" s="392" t="s">
        <v>465</v>
      </c>
      <c r="E12" s="392" t="s">
        <v>465</v>
      </c>
      <c r="F12" s="392" t="s">
        <v>465</v>
      </c>
      <c r="G12" s="392" t="s">
        <v>465</v>
      </c>
      <c r="H12" s="392" t="s">
        <v>465</v>
      </c>
      <c r="I12" s="393" t="s">
        <v>465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5.75" customHeight="1" x14ac:dyDescent="0.2">
      <c r="A13" s="394" t="s">
        <v>466</v>
      </c>
      <c r="B13" s="395"/>
      <c r="C13" s="396">
        <f>C5</f>
        <v>1194.6272727272726</v>
      </c>
      <c r="D13" s="396">
        <f>C5</f>
        <v>1194.6272727272726</v>
      </c>
      <c r="E13" s="397">
        <f>E5</f>
        <v>895.97045454545446</v>
      </c>
      <c r="F13" s="397">
        <f>E5</f>
        <v>895.97045454545446</v>
      </c>
      <c r="G13" s="397">
        <f>G5</f>
        <v>597.31363636363631</v>
      </c>
      <c r="H13" s="397">
        <f>H5</f>
        <v>1669.75</v>
      </c>
      <c r="I13" s="398">
        <f>I5</f>
        <v>1673.9117345454545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394" t="s">
        <v>467</v>
      </c>
      <c r="B14" s="399" t="s">
        <v>468</v>
      </c>
      <c r="C14" s="396">
        <f>C13*0.4</f>
        <v>477.85090909090906</v>
      </c>
      <c r="D14" s="396">
        <f>C13*0.2</f>
        <v>238.92545454545453</v>
      </c>
      <c r="E14" s="396">
        <f>E13*0.4</f>
        <v>358.38818181818181</v>
      </c>
      <c r="F14" s="396">
        <f>E13*0.2</f>
        <v>179.1940909090909</v>
      </c>
      <c r="G14" s="396">
        <f>G13*0.2</f>
        <v>119.46272727272726</v>
      </c>
      <c r="H14" s="400" t="s">
        <v>469</v>
      </c>
      <c r="I14" s="401" t="s">
        <v>469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75" customHeight="1" x14ac:dyDescent="0.2">
      <c r="A15" s="394" t="s">
        <v>470</v>
      </c>
      <c r="B15" s="402"/>
      <c r="C15" s="400" t="s">
        <v>469</v>
      </c>
      <c r="D15" s="400" t="s">
        <v>469</v>
      </c>
      <c r="E15" s="403" t="s">
        <v>469</v>
      </c>
      <c r="F15" s="403" t="s">
        <v>469</v>
      </c>
      <c r="G15" s="403" t="s">
        <v>469</v>
      </c>
      <c r="H15" s="403" t="s">
        <v>469</v>
      </c>
      <c r="I15" s="401" t="s">
        <v>469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 x14ac:dyDescent="0.2">
      <c r="A16" s="394" t="s">
        <v>471</v>
      </c>
      <c r="B16" s="402"/>
      <c r="C16" s="400" t="s">
        <v>469</v>
      </c>
      <c r="D16" s="400" t="s">
        <v>469</v>
      </c>
      <c r="E16" s="403" t="s">
        <v>469</v>
      </c>
      <c r="F16" s="403" t="s">
        <v>469</v>
      </c>
      <c r="G16" s="403" t="s">
        <v>469</v>
      </c>
      <c r="H16" s="403" t="s">
        <v>469</v>
      </c>
      <c r="I16" s="401" t="s">
        <v>469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 x14ac:dyDescent="0.2">
      <c r="A17" s="394" t="s">
        <v>472</v>
      </c>
      <c r="B17" s="402"/>
      <c r="C17" s="400" t="s">
        <v>469</v>
      </c>
      <c r="D17" s="400" t="s">
        <v>469</v>
      </c>
      <c r="E17" s="403" t="s">
        <v>469</v>
      </c>
      <c r="F17" s="403" t="s">
        <v>469</v>
      </c>
      <c r="G17" s="403" t="s">
        <v>469</v>
      </c>
      <c r="H17" s="403" t="s">
        <v>469</v>
      </c>
      <c r="I17" s="401" t="s">
        <v>469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customHeight="1" x14ac:dyDescent="0.2">
      <c r="A18" s="394" t="s">
        <v>473</v>
      </c>
      <c r="B18" s="404"/>
      <c r="C18" s="400" t="s">
        <v>469</v>
      </c>
      <c r="D18" s="400" t="s">
        <v>469</v>
      </c>
      <c r="E18" s="400" t="s">
        <v>469</v>
      </c>
      <c r="F18" s="400" t="s">
        <v>469</v>
      </c>
      <c r="G18" s="400" t="s">
        <v>469</v>
      </c>
      <c r="H18" s="403" t="s">
        <v>469</v>
      </c>
      <c r="I18" s="401" t="s">
        <v>469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customHeight="1" x14ac:dyDescent="0.2">
      <c r="A19" s="405" t="s">
        <v>474</v>
      </c>
      <c r="B19" s="406"/>
      <c r="C19" s="407">
        <f t="shared" ref="C19:I19" si="0">SUM(C13:C18)</f>
        <v>1672.4781818181816</v>
      </c>
      <c r="D19" s="408">
        <f t="shared" si="0"/>
        <v>1433.5527272727272</v>
      </c>
      <c r="E19" s="408">
        <f t="shared" si="0"/>
        <v>1254.3586363636364</v>
      </c>
      <c r="F19" s="408">
        <f t="shared" si="0"/>
        <v>1075.1645454545453</v>
      </c>
      <c r="G19" s="408">
        <f t="shared" si="0"/>
        <v>716.77636363636361</v>
      </c>
      <c r="H19" s="408">
        <f t="shared" si="0"/>
        <v>1669.75</v>
      </c>
      <c r="I19" s="409">
        <f t="shared" si="0"/>
        <v>1673.9117345454545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2">
      <c r="A20" s="888"/>
      <c r="B20" s="888"/>
      <c r="C20" s="411"/>
      <c r="D20" s="411"/>
      <c r="E20" s="412"/>
      <c r="F20" s="412"/>
      <c r="G20" s="412"/>
      <c r="H20" s="412"/>
      <c r="I20" s="41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 x14ac:dyDescent="0.2">
      <c r="A21" s="887" t="s">
        <v>475</v>
      </c>
      <c r="B21" s="887"/>
      <c r="C21" s="887"/>
      <c r="D21" s="887"/>
      <c r="E21" s="887"/>
      <c r="F21" s="887"/>
      <c r="G21" s="887"/>
      <c r="H21" s="887"/>
      <c r="I21" s="88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8.35" customHeight="1" x14ac:dyDescent="0.2">
      <c r="A22" s="414" t="s">
        <v>476</v>
      </c>
      <c r="B22" s="415" t="s">
        <v>464</v>
      </c>
      <c r="C22" s="415" t="s">
        <v>465</v>
      </c>
      <c r="D22" s="415" t="s">
        <v>465</v>
      </c>
      <c r="E22" s="415" t="s">
        <v>465</v>
      </c>
      <c r="F22" s="415" t="s">
        <v>465</v>
      </c>
      <c r="G22" s="415" t="s">
        <v>465</v>
      </c>
      <c r="H22" s="415" t="s">
        <v>465</v>
      </c>
      <c r="I22" s="416" t="s">
        <v>465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75" customHeight="1" x14ac:dyDescent="0.2">
      <c r="A23" s="417" t="s">
        <v>477</v>
      </c>
      <c r="B23" s="418">
        <f>1/12</f>
        <v>8.3333333333333329E-2</v>
      </c>
      <c r="C23" s="396">
        <f t="shared" ref="C23:I23" si="1">ROUND($B23*C$19,2)</f>
        <v>139.37</v>
      </c>
      <c r="D23" s="396">
        <f t="shared" si="1"/>
        <v>119.46</v>
      </c>
      <c r="E23" s="396">
        <f t="shared" si="1"/>
        <v>104.53</v>
      </c>
      <c r="F23" s="396">
        <f t="shared" si="1"/>
        <v>89.6</v>
      </c>
      <c r="G23" s="396">
        <f t="shared" si="1"/>
        <v>59.73</v>
      </c>
      <c r="H23" s="396">
        <f t="shared" si="1"/>
        <v>139.15</v>
      </c>
      <c r="I23" s="398">
        <f t="shared" si="1"/>
        <v>139.49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417" t="s">
        <v>478</v>
      </c>
      <c r="B24" s="418">
        <f>1/3*1/12</f>
        <v>2.7777777777777776E-2</v>
      </c>
      <c r="C24" s="396">
        <f t="shared" ref="C24:I24" si="2">C$19*$B$24</f>
        <v>46.457727272727261</v>
      </c>
      <c r="D24" s="396">
        <f t="shared" si="2"/>
        <v>39.82090909090909</v>
      </c>
      <c r="E24" s="396">
        <f t="shared" si="2"/>
        <v>34.843295454545455</v>
      </c>
      <c r="F24" s="396">
        <f t="shared" si="2"/>
        <v>29.865681818181812</v>
      </c>
      <c r="G24" s="396">
        <f t="shared" si="2"/>
        <v>19.910454545454545</v>
      </c>
      <c r="H24" s="396">
        <f t="shared" si="2"/>
        <v>46.381944444444443</v>
      </c>
      <c r="I24" s="398">
        <f t="shared" si="2"/>
        <v>46.497548181818175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4.25" customHeight="1" x14ac:dyDescent="0.2">
      <c r="A25" s="405" t="s">
        <v>474</v>
      </c>
      <c r="B25" s="419">
        <f t="shared" ref="B25:I25" si="3">SUM(B23:B24)</f>
        <v>0.1111111111111111</v>
      </c>
      <c r="C25" s="420">
        <f t="shared" si="3"/>
        <v>185.82772727272726</v>
      </c>
      <c r="D25" s="420">
        <f t="shared" si="3"/>
        <v>159.28090909090909</v>
      </c>
      <c r="E25" s="420">
        <f t="shared" si="3"/>
        <v>139.37329545454546</v>
      </c>
      <c r="F25" s="420">
        <f t="shared" si="3"/>
        <v>119.46568181818181</v>
      </c>
      <c r="G25" s="420">
        <f t="shared" si="3"/>
        <v>79.640454545454546</v>
      </c>
      <c r="H25" s="420">
        <f t="shared" si="3"/>
        <v>185.53194444444443</v>
      </c>
      <c r="I25" s="421">
        <f t="shared" si="3"/>
        <v>185.98754818181817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4" t="s">
        <v>479</v>
      </c>
      <c r="B26" s="415" t="s">
        <v>464</v>
      </c>
      <c r="C26" s="415" t="s">
        <v>465</v>
      </c>
      <c r="D26" s="415" t="s">
        <v>465</v>
      </c>
      <c r="E26" s="415" t="s">
        <v>465</v>
      </c>
      <c r="F26" s="415" t="s">
        <v>465</v>
      </c>
      <c r="G26" s="415" t="s">
        <v>465</v>
      </c>
      <c r="H26" s="415" t="s">
        <v>465</v>
      </c>
      <c r="I26" s="416" t="s">
        <v>465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75" customHeight="1" x14ac:dyDescent="0.2">
      <c r="A27" s="414" t="s">
        <v>480</v>
      </c>
      <c r="B27" s="422"/>
      <c r="C27" s="422"/>
      <c r="D27" s="422"/>
      <c r="E27" s="422"/>
      <c r="F27" s="422"/>
      <c r="G27" s="422"/>
      <c r="H27" s="423"/>
      <c r="I27" s="424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4.25" customHeight="1" x14ac:dyDescent="0.2">
      <c r="A28" s="417" t="s">
        <v>481</v>
      </c>
      <c r="B28" s="418">
        <v>0.2</v>
      </c>
      <c r="C28" s="425">
        <f>ROUND(($C$19+$C$25)*B28,2)</f>
        <v>371.66</v>
      </c>
      <c r="D28" s="425">
        <f t="shared" ref="D28:I35" si="4">ROUND((D$19+D$25)*$B28,2)</f>
        <v>318.57</v>
      </c>
      <c r="E28" s="425">
        <f t="shared" si="4"/>
        <v>278.75</v>
      </c>
      <c r="F28" s="425">
        <f t="shared" si="4"/>
        <v>238.93</v>
      </c>
      <c r="G28" s="425">
        <f t="shared" si="4"/>
        <v>159.28</v>
      </c>
      <c r="H28" s="425">
        <f t="shared" si="4"/>
        <v>371.06</v>
      </c>
      <c r="I28" s="426">
        <f t="shared" si="4"/>
        <v>371.98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.75" customHeight="1" x14ac:dyDescent="0.2">
      <c r="A29" s="417" t="s">
        <v>482</v>
      </c>
      <c r="B29" s="418">
        <v>2.5000000000000001E-2</v>
      </c>
      <c r="C29" s="425">
        <f t="shared" ref="C29:C35" si="5">ROUND((C$19+C$25)*$B29,2)</f>
        <v>46.46</v>
      </c>
      <c r="D29" s="425">
        <f t="shared" si="4"/>
        <v>39.82</v>
      </c>
      <c r="E29" s="425">
        <f t="shared" si="4"/>
        <v>34.840000000000003</v>
      </c>
      <c r="F29" s="425">
        <f t="shared" si="4"/>
        <v>29.87</v>
      </c>
      <c r="G29" s="425">
        <f t="shared" si="4"/>
        <v>19.91</v>
      </c>
      <c r="H29" s="425">
        <f t="shared" si="4"/>
        <v>46.38</v>
      </c>
      <c r="I29" s="426">
        <f t="shared" si="4"/>
        <v>46.5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.75" customHeight="1" x14ac:dyDescent="0.2">
      <c r="A30" s="417" t="s">
        <v>483</v>
      </c>
      <c r="B30" s="418">
        <v>0.03</v>
      </c>
      <c r="C30" s="425">
        <f t="shared" si="5"/>
        <v>55.75</v>
      </c>
      <c r="D30" s="425">
        <f t="shared" si="4"/>
        <v>47.79</v>
      </c>
      <c r="E30" s="425">
        <f t="shared" si="4"/>
        <v>41.81</v>
      </c>
      <c r="F30" s="425">
        <f t="shared" si="4"/>
        <v>35.840000000000003</v>
      </c>
      <c r="G30" s="425">
        <f t="shared" si="4"/>
        <v>23.89</v>
      </c>
      <c r="H30" s="425">
        <f t="shared" si="4"/>
        <v>55.66</v>
      </c>
      <c r="I30" s="426">
        <f t="shared" si="4"/>
        <v>55.8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5.75" customHeight="1" x14ac:dyDescent="0.2">
      <c r="A31" s="417" t="s">
        <v>484</v>
      </c>
      <c r="B31" s="418">
        <v>1.4999999999999999E-2</v>
      </c>
      <c r="C31" s="425">
        <f t="shared" si="5"/>
        <v>27.87</v>
      </c>
      <c r="D31" s="425">
        <f t="shared" si="4"/>
        <v>23.89</v>
      </c>
      <c r="E31" s="425">
        <f t="shared" si="4"/>
        <v>20.91</v>
      </c>
      <c r="F31" s="425">
        <f t="shared" si="4"/>
        <v>17.920000000000002</v>
      </c>
      <c r="G31" s="425">
        <f t="shared" si="4"/>
        <v>11.95</v>
      </c>
      <c r="H31" s="425">
        <f t="shared" si="4"/>
        <v>27.83</v>
      </c>
      <c r="I31" s="426">
        <f t="shared" si="4"/>
        <v>27.9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5.75" customHeight="1" x14ac:dyDescent="0.2">
      <c r="A32" s="417" t="s">
        <v>485</v>
      </c>
      <c r="B32" s="418">
        <v>0.01</v>
      </c>
      <c r="C32" s="425">
        <f t="shared" si="5"/>
        <v>18.579999999999998</v>
      </c>
      <c r="D32" s="425">
        <f t="shared" si="4"/>
        <v>15.93</v>
      </c>
      <c r="E32" s="425">
        <f t="shared" si="4"/>
        <v>13.94</v>
      </c>
      <c r="F32" s="425">
        <f t="shared" si="4"/>
        <v>11.95</v>
      </c>
      <c r="G32" s="425">
        <f t="shared" si="4"/>
        <v>7.96</v>
      </c>
      <c r="H32" s="425">
        <f t="shared" si="4"/>
        <v>18.55</v>
      </c>
      <c r="I32" s="426">
        <f t="shared" si="4"/>
        <v>18.600000000000001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5.75" customHeight="1" x14ac:dyDescent="0.2">
      <c r="A33" s="417" t="s">
        <v>486</v>
      </c>
      <c r="B33" s="418">
        <v>6.0000000000000001E-3</v>
      </c>
      <c r="C33" s="425">
        <f t="shared" si="5"/>
        <v>11.15</v>
      </c>
      <c r="D33" s="425">
        <f t="shared" si="4"/>
        <v>9.56</v>
      </c>
      <c r="E33" s="425">
        <f t="shared" si="4"/>
        <v>8.36</v>
      </c>
      <c r="F33" s="425">
        <f t="shared" si="4"/>
        <v>7.17</v>
      </c>
      <c r="G33" s="425">
        <f t="shared" si="4"/>
        <v>4.78</v>
      </c>
      <c r="H33" s="425">
        <f t="shared" si="4"/>
        <v>11.13</v>
      </c>
      <c r="I33" s="426">
        <f t="shared" si="4"/>
        <v>11.16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 t="s">
        <v>605</v>
      </c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5.75" customHeight="1" x14ac:dyDescent="0.2">
      <c r="A34" s="417" t="s">
        <v>487</v>
      </c>
      <c r="B34" s="418">
        <v>2E-3</v>
      </c>
      <c r="C34" s="425">
        <f t="shared" si="5"/>
        <v>3.72</v>
      </c>
      <c r="D34" s="425">
        <f t="shared" si="4"/>
        <v>3.19</v>
      </c>
      <c r="E34" s="425">
        <f t="shared" si="4"/>
        <v>2.79</v>
      </c>
      <c r="F34" s="425">
        <f t="shared" si="4"/>
        <v>2.39</v>
      </c>
      <c r="G34" s="425">
        <f t="shared" si="4"/>
        <v>1.59</v>
      </c>
      <c r="H34" s="425">
        <f t="shared" si="4"/>
        <v>3.71</v>
      </c>
      <c r="I34" s="426">
        <f t="shared" si="4"/>
        <v>3.72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5.75" customHeight="1" x14ac:dyDescent="0.2">
      <c r="A35" s="417" t="s">
        <v>488</v>
      </c>
      <c r="B35" s="418">
        <v>0.08</v>
      </c>
      <c r="C35" s="425">
        <f t="shared" si="5"/>
        <v>148.66</v>
      </c>
      <c r="D35" s="425">
        <f t="shared" si="4"/>
        <v>127.43</v>
      </c>
      <c r="E35" s="425">
        <f t="shared" si="4"/>
        <v>111.5</v>
      </c>
      <c r="F35" s="425">
        <f t="shared" si="4"/>
        <v>95.57</v>
      </c>
      <c r="G35" s="425">
        <f t="shared" si="4"/>
        <v>63.71</v>
      </c>
      <c r="H35" s="425">
        <f t="shared" si="4"/>
        <v>148.41999999999999</v>
      </c>
      <c r="I35" s="426">
        <f t="shared" si="4"/>
        <v>148.79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.75" customHeight="1" x14ac:dyDescent="0.2">
      <c r="A36" s="405" t="s">
        <v>474</v>
      </c>
      <c r="B36" s="419">
        <f t="shared" ref="B36:I36" si="6">SUM(B28:B35)</f>
        <v>0.36800000000000005</v>
      </c>
      <c r="C36" s="420">
        <f t="shared" si="6"/>
        <v>683.85</v>
      </c>
      <c r="D36" s="420">
        <f t="shared" si="6"/>
        <v>586.18000000000006</v>
      </c>
      <c r="E36" s="420">
        <f t="shared" si="6"/>
        <v>512.90000000000009</v>
      </c>
      <c r="F36" s="420">
        <f t="shared" si="6"/>
        <v>439.64</v>
      </c>
      <c r="G36" s="420">
        <f t="shared" si="6"/>
        <v>293.07</v>
      </c>
      <c r="H36" s="420">
        <f t="shared" si="6"/>
        <v>682.74</v>
      </c>
      <c r="I36" s="421">
        <f t="shared" si="6"/>
        <v>684.44999999999993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.75" customHeight="1" x14ac:dyDescent="0.2">
      <c r="A37" s="414" t="s">
        <v>489</v>
      </c>
      <c r="B37" s="415" t="s">
        <v>490</v>
      </c>
      <c r="C37" s="415" t="s">
        <v>465</v>
      </c>
      <c r="D37" s="415" t="s">
        <v>465</v>
      </c>
      <c r="E37" s="415" t="s">
        <v>465</v>
      </c>
      <c r="F37" s="415" t="s">
        <v>465</v>
      </c>
      <c r="G37" s="415" t="s">
        <v>465</v>
      </c>
      <c r="H37" s="415" t="s">
        <v>465</v>
      </c>
      <c r="I37" s="416" t="s">
        <v>465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.75" customHeight="1" x14ac:dyDescent="0.2">
      <c r="A38" s="417" t="s">
        <v>491</v>
      </c>
      <c r="B38" s="427">
        <f>MC!K86</f>
        <v>3.8196969696969703</v>
      </c>
      <c r="C38" s="396">
        <f t="shared" ref="C38:I38" si="7">ROUND(((2*22*$B$38)-0.06*C$13),2)</f>
        <v>96.39</v>
      </c>
      <c r="D38" s="396">
        <f t="shared" si="7"/>
        <v>96.39</v>
      </c>
      <c r="E38" s="396">
        <f t="shared" si="7"/>
        <v>114.31</v>
      </c>
      <c r="F38" s="396">
        <f t="shared" si="7"/>
        <v>114.31</v>
      </c>
      <c r="G38" s="396">
        <f t="shared" si="7"/>
        <v>132.22999999999999</v>
      </c>
      <c r="H38" s="396">
        <f t="shared" si="7"/>
        <v>67.88</v>
      </c>
      <c r="I38" s="398">
        <f t="shared" si="7"/>
        <v>67.63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customHeight="1" x14ac:dyDescent="0.2">
      <c r="A39" s="417" t="s">
        <v>492</v>
      </c>
      <c r="B39" s="428"/>
      <c r="C39" s="425">
        <f>MC!$E$19</f>
        <v>359.61</v>
      </c>
      <c r="D39" s="425">
        <f>MC!$E$19</f>
        <v>359.61</v>
      </c>
      <c r="E39" s="425">
        <f>MC!$E$20</f>
        <v>179.8</v>
      </c>
      <c r="F39" s="425">
        <f>MC!$E$20</f>
        <v>179.8</v>
      </c>
      <c r="G39" s="425">
        <f>MC!$E$20</f>
        <v>179.8</v>
      </c>
      <c r="H39" s="425">
        <f>MC!$E$19</f>
        <v>359.61</v>
      </c>
      <c r="I39" s="426">
        <f>MC!$E$19</f>
        <v>359.61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customHeight="1" x14ac:dyDescent="0.2">
      <c r="A40" s="417" t="s">
        <v>493</v>
      </c>
      <c r="B40" s="418"/>
      <c r="C40" s="429" t="s">
        <v>469</v>
      </c>
      <c r="D40" s="429" t="s">
        <v>469</v>
      </c>
      <c r="E40" s="429" t="s">
        <v>469</v>
      </c>
      <c r="F40" s="429" t="s">
        <v>469</v>
      </c>
      <c r="G40" s="429" t="s">
        <v>469</v>
      </c>
      <c r="H40" s="429" t="s">
        <v>469</v>
      </c>
      <c r="I40" s="430" t="s">
        <v>469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customHeight="1" x14ac:dyDescent="0.2">
      <c r="A41" s="417" t="s">
        <v>494</v>
      </c>
      <c r="B41" s="431"/>
      <c r="C41" s="429" t="s">
        <v>469</v>
      </c>
      <c r="D41" s="429" t="s">
        <v>469</v>
      </c>
      <c r="E41" s="429" t="s">
        <v>469</v>
      </c>
      <c r="F41" s="429" t="s">
        <v>469</v>
      </c>
      <c r="G41" s="429" t="s">
        <v>469</v>
      </c>
      <c r="H41" s="432" t="s">
        <v>469</v>
      </c>
      <c r="I41" s="430" t="s">
        <v>469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customHeight="1" x14ac:dyDescent="0.2">
      <c r="A42" s="417" t="s">
        <v>495</v>
      </c>
      <c r="B42" s="433">
        <f>MC!E27</f>
        <v>17.32</v>
      </c>
      <c r="C42" s="425">
        <f t="shared" ref="C42:I42" si="8">$B42</f>
        <v>17.32</v>
      </c>
      <c r="D42" s="425">
        <f t="shared" si="8"/>
        <v>17.32</v>
      </c>
      <c r="E42" s="425">
        <f t="shared" si="8"/>
        <v>17.32</v>
      </c>
      <c r="F42" s="425">
        <f t="shared" si="8"/>
        <v>17.32</v>
      </c>
      <c r="G42" s="425">
        <f t="shared" si="8"/>
        <v>17.32</v>
      </c>
      <c r="H42" s="425">
        <f t="shared" si="8"/>
        <v>17.32</v>
      </c>
      <c r="I42" s="426">
        <f t="shared" si="8"/>
        <v>17.32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.75" customHeight="1" x14ac:dyDescent="0.2">
      <c r="A43" s="417" t="s">
        <v>496</v>
      </c>
      <c r="B43" s="418"/>
      <c r="C43" s="429" t="s">
        <v>469</v>
      </c>
      <c r="D43" s="429" t="s">
        <v>469</v>
      </c>
      <c r="E43" s="429" t="s">
        <v>469</v>
      </c>
      <c r="F43" s="429" t="s">
        <v>469</v>
      </c>
      <c r="G43" s="429" t="s">
        <v>469</v>
      </c>
      <c r="H43" s="432" t="s">
        <v>469</v>
      </c>
      <c r="I43" s="430" t="s">
        <v>469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customHeight="1" x14ac:dyDescent="0.2">
      <c r="A44" s="405" t="s">
        <v>474</v>
      </c>
      <c r="B44" s="406"/>
      <c r="C44" s="420">
        <f t="shared" ref="C44:I44" si="9">SUM(C38:C43)</f>
        <v>473.32</v>
      </c>
      <c r="D44" s="420">
        <f t="shared" si="9"/>
        <v>473.32</v>
      </c>
      <c r="E44" s="420">
        <f t="shared" si="9"/>
        <v>311.43</v>
      </c>
      <c r="F44" s="420">
        <f t="shared" si="9"/>
        <v>311.43</v>
      </c>
      <c r="G44" s="420">
        <f t="shared" si="9"/>
        <v>329.34999999999997</v>
      </c>
      <c r="H44" s="420">
        <f t="shared" si="9"/>
        <v>444.81</v>
      </c>
      <c r="I44" s="421">
        <f t="shared" si="9"/>
        <v>444.56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">
      <c r="A45" s="391" t="s">
        <v>497</v>
      </c>
      <c r="B45" s="392" t="s">
        <v>464</v>
      </c>
      <c r="C45" s="392" t="s">
        <v>465</v>
      </c>
      <c r="D45" s="392" t="s">
        <v>465</v>
      </c>
      <c r="E45" s="392" t="s">
        <v>465</v>
      </c>
      <c r="F45" s="392" t="s">
        <v>465</v>
      </c>
      <c r="G45" s="392" t="s">
        <v>465</v>
      </c>
      <c r="H45" s="392" t="s">
        <v>465</v>
      </c>
      <c r="I45" s="393" t="s">
        <v>465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.75" customHeight="1" x14ac:dyDescent="0.2">
      <c r="A46" s="417" t="s">
        <v>476</v>
      </c>
      <c r="B46" s="434">
        <f t="shared" ref="B46:I46" si="10">B25</f>
        <v>0.1111111111111111</v>
      </c>
      <c r="C46" s="435">
        <f t="shared" si="10"/>
        <v>185.82772727272726</v>
      </c>
      <c r="D46" s="435">
        <f t="shared" si="10"/>
        <v>159.28090909090909</v>
      </c>
      <c r="E46" s="435">
        <f t="shared" si="10"/>
        <v>139.37329545454546</v>
      </c>
      <c r="F46" s="435">
        <f t="shared" si="10"/>
        <v>119.46568181818181</v>
      </c>
      <c r="G46" s="435">
        <f t="shared" si="10"/>
        <v>79.640454545454546</v>
      </c>
      <c r="H46" s="435">
        <f t="shared" si="10"/>
        <v>185.53194444444443</v>
      </c>
      <c r="I46" s="436">
        <f t="shared" si="10"/>
        <v>185.98754818181817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.75" customHeight="1" x14ac:dyDescent="0.2">
      <c r="A47" s="417" t="s">
        <v>498</v>
      </c>
      <c r="B47" s="434">
        <f t="shared" ref="B47:I47" si="11">B36</f>
        <v>0.36800000000000005</v>
      </c>
      <c r="C47" s="435">
        <f t="shared" si="11"/>
        <v>683.85</v>
      </c>
      <c r="D47" s="435">
        <f t="shared" si="11"/>
        <v>586.18000000000006</v>
      </c>
      <c r="E47" s="435">
        <f t="shared" si="11"/>
        <v>512.90000000000009</v>
      </c>
      <c r="F47" s="435">
        <f t="shared" si="11"/>
        <v>439.64</v>
      </c>
      <c r="G47" s="435">
        <f t="shared" si="11"/>
        <v>293.07</v>
      </c>
      <c r="H47" s="435">
        <f t="shared" si="11"/>
        <v>682.74</v>
      </c>
      <c r="I47" s="436">
        <f t="shared" si="11"/>
        <v>684.44999999999993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.75" customHeight="1" x14ac:dyDescent="0.2">
      <c r="A48" s="417" t="s">
        <v>489</v>
      </c>
      <c r="B48" s="434"/>
      <c r="C48" s="435">
        <f t="shared" ref="C48:I48" si="12">C44</f>
        <v>473.32</v>
      </c>
      <c r="D48" s="435">
        <f t="shared" si="12"/>
        <v>473.32</v>
      </c>
      <c r="E48" s="435">
        <f t="shared" si="12"/>
        <v>311.43</v>
      </c>
      <c r="F48" s="435">
        <f t="shared" si="12"/>
        <v>311.43</v>
      </c>
      <c r="G48" s="435">
        <f t="shared" si="12"/>
        <v>329.34999999999997</v>
      </c>
      <c r="H48" s="435">
        <f t="shared" si="12"/>
        <v>444.81</v>
      </c>
      <c r="I48" s="436">
        <f t="shared" si="12"/>
        <v>444.56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.75" customHeight="1" x14ac:dyDescent="0.2">
      <c r="A49" s="405" t="s">
        <v>474</v>
      </c>
      <c r="B49" s="406"/>
      <c r="C49" s="420">
        <f t="shared" ref="C49:I49" si="13">SUM(C46:C48)</f>
        <v>1342.9977272727272</v>
      </c>
      <c r="D49" s="407">
        <f t="shared" si="13"/>
        <v>1218.7809090909091</v>
      </c>
      <c r="E49" s="420">
        <f t="shared" si="13"/>
        <v>963.70329545454547</v>
      </c>
      <c r="F49" s="420">
        <f t="shared" si="13"/>
        <v>870.53568181818173</v>
      </c>
      <c r="G49" s="420">
        <f t="shared" si="13"/>
        <v>702.06045454545449</v>
      </c>
      <c r="H49" s="420">
        <f t="shared" si="13"/>
        <v>1313.0819444444444</v>
      </c>
      <c r="I49" s="421">
        <f t="shared" si="13"/>
        <v>1314.997548181818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4.25" customHeight="1" x14ac:dyDescent="0.2">
      <c r="A50" s="888"/>
      <c r="B50" s="888"/>
      <c r="C50" s="888"/>
      <c r="D50" s="888"/>
      <c r="E50" s="888"/>
      <c r="F50" s="888"/>
      <c r="G50" s="888"/>
      <c r="H50" s="888"/>
      <c r="I50" s="888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437" customFormat="1" ht="12.75" customHeight="1" x14ac:dyDescent="0.2">
      <c r="A51" s="887" t="s">
        <v>499</v>
      </c>
      <c r="B51" s="887"/>
      <c r="C51" s="887"/>
      <c r="D51" s="887"/>
      <c r="E51" s="887"/>
      <c r="F51" s="887"/>
      <c r="G51" s="887"/>
      <c r="H51" s="887"/>
      <c r="I51" s="887"/>
    </row>
    <row r="52" spans="1:1024" ht="15.75" customHeight="1" x14ac:dyDescent="0.2">
      <c r="A52" s="391" t="s">
        <v>500</v>
      </c>
      <c r="B52" s="392" t="s">
        <v>464</v>
      </c>
      <c r="C52" s="392" t="s">
        <v>465</v>
      </c>
      <c r="D52" s="392" t="s">
        <v>465</v>
      </c>
      <c r="E52" s="392" t="s">
        <v>465</v>
      </c>
      <c r="F52" s="392" t="s">
        <v>465</v>
      </c>
      <c r="G52" s="392" t="s">
        <v>465</v>
      </c>
      <c r="H52" s="392" t="s">
        <v>465</v>
      </c>
      <c r="I52" s="393" t="s">
        <v>465</v>
      </c>
      <c r="J52"/>
      <c r="K52"/>
      <c r="L52"/>
      <c r="M52"/>
      <c r="N52"/>
      <c r="O52"/>
    </row>
    <row r="53" spans="1:1024" ht="15.75" customHeight="1" x14ac:dyDescent="0.2">
      <c r="A53" s="414" t="s">
        <v>501</v>
      </c>
      <c r="B53" s="438"/>
      <c r="C53" s="438"/>
      <c r="D53" s="438"/>
      <c r="E53" s="438"/>
      <c r="F53" s="438"/>
      <c r="G53" s="438"/>
      <c r="H53" s="439"/>
      <c r="I53" s="440"/>
      <c r="J53"/>
      <c r="K53"/>
      <c r="L53"/>
      <c r="M53"/>
      <c r="N53"/>
      <c r="O53"/>
    </row>
    <row r="54" spans="1:1024" ht="15.75" customHeight="1" x14ac:dyDescent="0.2">
      <c r="A54" s="417" t="s">
        <v>502</v>
      </c>
      <c r="B54" s="434">
        <f>1/12*0.05</f>
        <v>4.1666666666666666E-3</v>
      </c>
      <c r="C54" s="441">
        <f t="shared" ref="C54:I54" si="14">C19*$B54</f>
        <v>6.9686590909090897</v>
      </c>
      <c r="D54" s="441">
        <f t="shared" si="14"/>
        <v>5.973136363636363</v>
      </c>
      <c r="E54" s="441">
        <f t="shared" si="14"/>
        <v>5.2264943181818184</v>
      </c>
      <c r="F54" s="441">
        <f t="shared" si="14"/>
        <v>4.479852272727272</v>
      </c>
      <c r="G54" s="441">
        <f t="shared" si="14"/>
        <v>2.9865681818181815</v>
      </c>
      <c r="H54" s="441">
        <f t="shared" si="14"/>
        <v>6.9572916666666664</v>
      </c>
      <c r="I54" s="442">
        <f t="shared" si="14"/>
        <v>6.9746322272727266</v>
      </c>
      <c r="J54"/>
      <c r="K54"/>
      <c r="L54"/>
      <c r="M54"/>
      <c r="N54"/>
      <c r="O54"/>
    </row>
    <row r="55" spans="1:1024" x14ac:dyDescent="0.2">
      <c r="A55" s="417" t="s">
        <v>503</v>
      </c>
      <c r="B55" s="434">
        <f>B35*B54</f>
        <v>3.3333333333333332E-4</v>
      </c>
      <c r="C55" s="441">
        <f t="shared" ref="C55:I55" si="15">$B$55*C19</f>
        <v>0.55749272727272714</v>
      </c>
      <c r="D55" s="441">
        <f t="shared" si="15"/>
        <v>0.47785090909090905</v>
      </c>
      <c r="E55" s="441">
        <f t="shared" si="15"/>
        <v>0.41811954545454544</v>
      </c>
      <c r="F55" s="441">
        <f t="shared" si="15"/>
        <v>0.35838818181818177</v>
      </c>
      <c r="G55" s="441">
        <f t="shared" si="15"/>
        <v>0.23892545454545452</v>
      </c>
      <c r="H55" s="441">
        <f t="shared" si="15"/>
        <v>0.55658333333333332</v>
      </c>
      <c r="I55" s="442">
        <f t="shared" si="15"/>
        <v>0.55797057818181817</v>
      </c>
      <c r="J55"/>
      <c r="K55"/>
      <c r="L55"/>
      <c r="M55"/>
      <c r="N55"/>
      <c r="O55"/>
    </row>
    <row r="56" spans="1:1024" x14ac:dyDescent="0.2">
      <c r="A56" s="417" t="s">
        <v>504</v>
      </c>
      <c r="B56" s="434">
        <v>0</v>
      </c>
      <c r="C56" s="441">
        <f t="shared" ref="C56:I56" si="16">C35*$B56</f>
        <v>0</v>
      </c>
      <c r="D56" s="441">
        <f t="shared" si="16"/>
        <v>0</v>
      </c>
      <c r="E56" s="441">
        <f t="shared" si="16"/>
        <v>0</v>
      </c>
      <c r="F56" s="441">
        <f t="shared" si="16"/>
        <v>0</v>
      </c>
      <c r="G56" s="441">
        <f t="shared" si="16"/>
        <v>0</v>
      </c>
      <c r="H56" s="441">
        <f t="shared" si="16"/>
        <v>0</v>
      </c>
      <c r="I56" s="442">
        <f t="shared" si="16"/>
        <v>0</v>
      </c>
      <c r="J56"/>
      <c r="K56"/>
      <c r="L56"/>
      <c r="M56"/>
      <c r="N56"/>
      <c r="O56"/>
    </row>
    <row r="57" spans="1:1024" x14ac:dyDescent="0.2">
      <c r="A57" s="417" t="s">
        <v>505</v>
      </c>
      <c r="B57" s="434">
        <f>1/12*1/30*7</f>
        <v>1.9444444444444441E-2</v>
      </c>
      <c r="C57" s="435">
        <f t="shared" ref="C57:I57" si="17">C19*$B57</f>
        <v>32.520409090909084</v>
      </c>
      <c r="D57" s="435">
        <f t="shared" si="17"/>
        <v>27.874636363636359</v>
      </c>
      <c r="E57" s="435">
        <f t="shared" si="17"/>
        <v>24.390306818181813</v>
      </c>
      <c r="F57" s="435">
        <f t="shared" si="17"/>
        <v>20.905977272727267</v>
      </c>
      <c r="G57" s="435">
        <f t="shared" si="17"/>
        <v>13.937318181818179</v>
      </c>
      <c r="H57" s="435">
        <f t="shared" si="17"/>
        <v>32.467361111111103</v>
      </c>
      <c r="I57" s="436">
        <f t="shared" si="17"/>
        <v>32.548283727272718</v>
      </c>
      <c r="J57"/>
      <c r="K57"/>
      <c r="L57"/>
      <c r="M57"/>
      <c r="N57"/>
      <c r="O57"/>
    </row>
    <row r="58" spans="1:1024" x14ac:dyDescent="0.2">
      <c r="A58" s="417" t="s">
        <v>506</v>
      </c>
      <c r="B58" s="434">
        <f>B36*B57</f>
        <v>7.1555555555555556E-3</v>
      </c>
      <c r="C58" s="435">
        <f t="shared" ref="C58:I58" si="18">$B58*C19</f>
        <v>11.967510545454545</v>
      </c>
      <c r="D58" s="435">
        <f t="shared" si="18"/>
        <v>10.257866181818182</v>
      </c>
      <c r="E58" s="435">
        <f t="shared" si="18"/>
        <v>8.9756329090909102</v>
      </c>
      <c r="F58" s="435">
        <f t="shared" si="18"/>
        <v>7.693399636363635</v>
      </c>
      <c r="G58" s="435">
        <f t="shared" si="18"/>
        <v>5.1289330909090909</v>
      </c>
      <c r="H58" s="435">
        <f t="shared" si="18"/>
        <v>11.947988888888888</v>
      </c>
      <c r="I58" s="436">
        <f t="shared" si="18"/>
        <v>11.977768411636363</v>
      </c>
      <c r="J58"/>
      <c r="K58"/>
      <c r="L58"/>
      <c r="M58"/>
      <c r="N58"/>
      <c r="O58"/>
    </row>
    <row r="59" spans="1:1024" x14ac:dyDescent="0.2">
      <c r="A59" s="417" t="s">
        <v>507</v>
      </c>
      <c r="B59" s="434">
        <f>B35*40/100*90/100*(1+1/12+1/12+1/3*1/12)</f>
        <v>3.4399999999999993E-2</v>
      </c>
      <c r="C59" s="435">
        <f t="shared" ref="C59:I59" si="19">C19*$B59</f>
        <v>57.533249454545434</v>
      </c>
      <c r="D59" s="435">
        <f t="shared" si="19"/>
        <v>49.314213818181805</v>
      </c>
      <c r="E59" s="435">
        <f t="shared" si="19"/>
        <v>43.149937090909084</v>
      </c>
      <c r="F59" s="435">
        <f t="shared" si="19"/>
        <v>36.985660363636349</v>
      </c>
      <c r="G59" s="435">
        <f t="shared" si="19"/>
        <v>24.657106909090903</v>
      </c>
      <c r="H59" s="435">
        <f t="shared" si="19"/>
        <v>57.439399999999985</v>
      </c>
      <c r="I59" s="436">
        <f t="shared" si="19"/>
        <v>57.582563668363619</v>
      </c>
      <c r="J59"/>
      <c r="K59"/>
      <c r="L59"/>
      <c r="M59"/>
      <c r="N59"/>
      <c r="O59"/>
    </row>
    <row r="60" spans="1:1024" ht="14.25" customHeight="1" x14ac:dyDescent="0.2">
      <c r="A60" s="405" t="s">
        <v>474</v>
      </c>
      <c r="B60" s="419">
        <f t="shared" ref="B60:I60" si="20">SUM(B54:B59)</f>
        <v>6.5499999999999989E-2</v>
      </c>
      <c r="C60" s="407">
        <f t="shared" si="20"/>
        <v>109.54732090909087</v>
      </c>
      <c r="D60" s="407">
        <f t="shared" si="20"/>
        <v>93.897703636363616</v>
      </c>
      <c r="E60" s="407">
        <f t="shared" si="20"/>
        <v>82.160490681818175</v>
      </c>
      <c r="F60" s="407">
        <f t="shared" si="20"/>
        <v>70.423277727272705</v>
      </c>
      <c r="G60" s="407">
        <f t="shared" si="20"/>
        <v>46.948851818181808</v>
      </c>
      <c r="H60" s="408">
        <f t="shared" si="20"/>
        <v>109.36862499999998</v>
      </c>
      <c r="I60" s="409">
        <f t="shared" si="20"/>
        <v>109.64121861272724</v>
      </c>
      <c r="J60"/>
      <c r="K60"/>
      <c r="L60"/>
      <c r="M60"/>
      <c r="N60"/>
      <c r="O60"/>
    </row>
    <row r="61" spans="1:1024" ht="14.25" customHeight="1" x14ac:dyDescent="0.2">
      <c r="A61" s="889"/>
      <c r="B61" s="889"/>
      <c r="C61" s="889"/>
      <c r="D61" s="889"/>
      <c r="E61" s="889"/>
      <c r="F61" s="889"/>
      <c r="G61" s="889"/>
      <c r="H61" s="889"/>
      <c r="I61" s="889"/>
      <c r="J61"/>
      <c r="K61"/>
      <c r="L61"/>
      <c r="M61"/>
      <c r="N61"/>
      <c r="O61"/>
    </row>
    <row r="62" spans="1:1024" ht="15.75" customHeight="1" x14ac:dyDescent="0.2">
      <c r="A62" s="887" t="s">
        <v>508</v>
      </c>
      <c r="B62" s="887"/>
      <c r="C62" s="887"/>
      <c r="D62" s="887"/>
      <c r="E62" s="887"/>
      <c r="F62" s="887"/>
      <c r="G62" s="887"/>
      <c r="H62" s="887"/>
      <c r="I62" s="887"/>
      <c r="J62"/>
      <c r="K62"/>
      <c r="L62"/>
      <c r="M62"/>
      <c r="N62"/>
      <c r="O62"/>
    </row>
    <row r="63" spans="1:1024" ht="14.25" customHeight="1" x14ac:dyDescent="0.2">
      <c r="A63" s="414" t="s">
        <v>46</v>
      </c>
      <c r="B63" s="415" t="s">
        <v>464</v>
      </c>
      <c r="C63" s="415" t="s">
        <v>465</v>
      </c>
      <c r="D63" s="415" t="s">
        <v>465</v>
      </c>
      <c r="E63" s="415" t="s">
        <v>465</v>
      </c>
      <c r="F63" s="415" t="s">
        <v>465</v>
      </c>
      <c r="G63" s="415" t="s">
        <v>465</v>
      </c>
      <c r="H63" s="415" t="s">
        <v>465</v>
      </c>
      <c r="I63" s="415" t="s">
        <v>465</v>
      </c>
      <c r="J63"/>
      <c r="K63"/>
      <c r="L63"/>
      <c r="M63"/>
      <c r="N63"/>
      <c r="O63"/>
    </row>
    <row r="64" spans="1:1024" ht="14.25" customHeight="1" x14ac:dyDescent="0.2">
      <c r="A64" s="417" t="s">
        <v>47</v>
      </c>
      <c r="B64" s="418">
        <f>1/12</f>
        <v>8.3333333333333329E-2</v>
      </c>
      <c r="C64" s="425">
        <f t="shared" ref="C64:I67" si="21">$B64*(C$19+C$49+C$60)</f>
        <v>260.41860249999996</v>
      </c>
      <c r="D64" s="425">
        <f t="shared" si="21"/>
        <v>228.85261166666663</v>
      </c>
      <c r="E64" s="425">
        <f t="shared" si="21"/>
        <v>191.68520187499999</v>
      </c>
      <c r="F64" s="425">
        <f t="shared" si="21"/>
        <v>168.0102920833333</v>
      </c>
      <c r="G64" s="425">
        <f t="shared" si="21"/>
        <v>122.14880583333333</v>
      </c>
      <c r="H64" s="425">
        <f t="shared" si="21"/>
        <v>257.68338078703698</v>
      </c>
      <c r="I64" s="426">
        <f t="shared" si="21"/>
        <v>258.21254177833328</v>
      </c>
      <c r="J64"/>
      <c r="K64"/>
      <c r="L64"/>
      <c r="M64"/>
      <c r="N64"/>
      <c r="O64"/>
    </row>
    <row r="65" spans="1:15" x14ac:dyDescent="0.2">
      <c r="A65" s="417" t="s">
        <v>509</v>
      </c>
      <c r="B65" s="418">
        <f>MC!E54/30/12</f>
        <v>1.3538888888888885E-2</v>
      </c>
      <c r="C65" s="425">
        <f t="shared" si="21"/>
        <v>42.309342286166654</v>
      </c>
      <c r="D65" s="425">
        <f t="shared" si="21"/>
        <v>37.18092097544443</v>
      </c>
      <c r="E65" s="425">
        <f t="shared" si="21"/>
        <v>31.142455797958323</v>
      </c>
      <c r="F65" s="425">
        <f t="shared" si="21"/>
        <v>27.296072120472211</v>
      </c>
      <c r="G65" s="425">
        <f t="shared" si="21"/>
        <v>19.845109321055549</v>
      </c>
      <c r="H65" s="425">
        <f t="shared" si="21"/>
        <v>41.864959931867268</v>
      </c>
      <c r="I65" s="426">
        <f t="shared" si="21"/>
        <v>41.950930954253209</v>
      </c>
      <c r="J65"/>
      <c r="K65"/>
      <c r="L65"/>
      <c r="M65"/>
      <c r="N65"/>
      <c r="O65"/>
    </row>
    <row r="66" spans="1:15" x14ac:dyDescent="0.2">
      <c r="A66" s="417" t="s">
        <v>510</v>
      </c>
      <c r="B66" s="443">
        <f>(5/30)/12*MC!F56*MC!C57</f>
        <v>1.0764583333333333E-4</v>
      </c>
      <c r="C66" s="425">
        <f t="shared" si="21"/>
        <v>0.33639572977937499</v>
      </c>
      <c r="D66" s="425">
        <f t="shared" si="21"/>
        <v>0.29562036112041662</v>
      </c>
      <c r="E66" s="425">
        <f t="shared" si="21"/>
        <v>0.24760935952203125</v>
      </c>
      <c r="F66" s="425">
        <f t="shared" si="21"/>
        <v>0.2170272947986458</v>
      </c>
      <c r="G66" s="425">
        <f t="shared" si="21"/>
        <v>0.15778571993520832</v>
      </c>
      <c r="H66" s="425">
        <f t="shared" si="21"/>
        <v>0.33286250713165505</v>
      </c>
      <c r="I66" s="426">
        <f t="shared" si="21"/>
        <v>0.33354605084216205</v>
      </c>
      <c r="J66"/>
      <c r="K66"/>
      <c r="L66"/>
      <c r="M66"/>
      <c r="N66"/>
      <c r="O66"/>
    </row>
    <row r="67" spans="1:15" ht="14.25" customHeight="1" x14ac:dyDescent="0.2">
      <c r="A67" s="417" t="s">
        <v>511</v>
      </c>
      <c r="B67" s="443">
        <f>MC!C59/30/12</f>
        <v>2.6830555555555553E-3</v>
      </c>
      <c r="C67" s="425">
        <f t="shared" si="21"/>
        <v>8.3846109384916652</v>
      </c>
      <c r="D67" s="425">
        <f t="shared" si="21"/>
        <v>7.3682912536277767</v>
      </c>
      <c r="E67" s="425">
        <f t="shared" si="21"/>
        <v>6.1716245497020825</v>
      </c>
      <c r="F67" s="425">
        <f t="shared" si="21"/>
        <v>5.4093713707763875</v>
      </c>
      <c r="G67" s="425">
        <f t="shared" si="21"/>
        <v>3.932784385147222</v>
      </c>
      <c r="H67" s="425">
        <f t="shared" si="21"/>
        <v>8.2965459167399676</v>
      </c>
      <c r="I67" s="426">
        <f t="shared" si="21"/>
        <v>8.3135831367897381</v>
      </c>
      <c r="J67"/>
      <c r="K67"/>
      <c r="L67"/>
      <c r="M67"/>
      <c r="N67"/>
      <c r="O67"/>
    </row>
    <row r="68" spans="1:15" ht="14.25" customHeight="1" x14ac:dyDescent="0.2">
      <c r="A68" s="417" t="s">
        <v>473</v>
      </c>
      <c r="B68" s="418"/>
      <c r="C68" s="429" t="s">
        <v>469</v>
      </c>
      <c r="D68" s="429" t="s">
        <v>469</v>
      </c>
      <c r="E68" s="429" t="s">
        <v>469</v>
      </c>
      <c r="F68" s="429" t="s">
        <v>469</v>
      </c>
      <c r="G68" s="429" t="s">
        <v>469</v>
      </c>
      <c r="H68" s="432" t="s">
        <v>469</v>
      </c>
      <c r="I68" s="430" t="s">
        <v>469</v>
      </c>
      <c r="J68"/>
      <c r="K68"/>
      <c r="L68"/>
      <c r="M68"/>
      <c r="N68"/>
      <c r="O68"/>
    </row>
    <row r="69" spans="1:15" ht="14.25" customHeight="1" x14ac:dyDescent="0.2">
      <c r="A69" s="444" t="s">
        <v>512</v>
      </c>
      <c r="B69" s="445">
        <f t="shared" ref="B69:I69" si="22">SUM(B64:B68)</f>
        <v>9.9662923611111107E-2</v>
      </c>
      <c r="C69" s="446">
        <f t="shared" si="22"/>
        <v>311.44895145443769</v>
      </c>
      <c r="D69" s="446">
        <f t="shared" si="22"/>
        <v>273.69744425685928</v>
      </c>
      <c r="E69" s="446">
        <f t="shared" si="22"/>
        <v>229.24689158218243</v>
      </c>
      <c r="F69" s="446">
        <f t="shared" si="22"/>
        <v>200.93276286938055</v>
      </c>
      <c r="G69" s="446">
        <f t="shared" si="22"/>
        <v>146.08448525947131</v>
      </c>
      <c r="H69" s="446">
        <f t="shared" si="22"/>
        <v>308.17774914277584</v>
      </c>
      <c r="I69" s="447">
        <f t="shared" si="22"/>
        <v>308.8106019202184</v>
      </c>
      <c r="J69"/>
      <c r="K69"/>
      <c r="L69"/>
      <c r="M69"/>
      <c r="N69"/>
      <c r="O69"/>
    </row>
    <row r="70" spans="1:15" ht="14.25" customHeight="1" x14ac:dyDescent="0.2">
      <c r="A70" s="414" t="s">
        <v>513</v>
      </c>
      <c r="B70" s="415" t="s">
        <v>464</v>
      </c>
      <c r="C70" s="415" t="s">
        <v>465</v>
      </c>
      <c r="D70" s="415" t="s">
        <v>465</v>
      </c>
      <c r="E70" s="415" t="s">
        <v>465</v>
      </c>
      <c r="F70" s="415" t="s">
        <v>465</v>
      </c>
      <c r="G70" s="415" t="s">
        <v>465</v>
      </c>
      <c r="H70" s="415" t="s">
        <v>465</v>
      </c>
      <c r="I70" s="416" t="s">
        <v>465</v>
      </c>
      <c r="J70"/>
      <c r="K70"/>
      <c r="L70"/>
      <c r="M70"/>
      <c r="N70"/>
      <c r="O70"/>
    </row>
    <row r="71" spans="1:15" ht="14.25" customHeight="1" x14ac:dyDescent="0.2">
      <c r="A71" s="417" t="s">
        <v>514</v>
      </c>
      <c r="B71" s="418"/>
      <c r="C71" s="429" t="s">
        <v>469</v>
      </c>
      <c r="D71" s="429" t="s">
        <v>469</v>
      </c>
      <c r="E71" s="429" t="s">
        <v>469</v>
      </c>
      <c r="F71" s="429" t="s">
        <v>469</v>
      </c>
      <c r="G71" s="429" t="s">
        <v>469</v>
      </c>
      <c r="H71" s="432" t="s">
        <v>469</v>
      </c>
      <c r="I71" s="430" t="s">
        <v>469</v>
      </c>
      <c r="J71"/>
      <c r="K71"/>
      <c r="L71"/>
      <c r="M71"/>
      <c r="N71"/>
      <c r="O71"/>
    </row>
    <row r="72" spans="1:15" ht="14.25" customHeight="1" x14ac:dyDescent="0.2">
      <c r="A72" s="444" t="s">
        <v>512</v>
      </c>
      <c r="B72" s="445"/>
      <c r="C72" s="448" t="str">
        <f t="shared" ref="C72:I72" si="23">C71</f>
        <v>-</v>
      </c>
      <c r="D72" s="448" t="str">
        <f t="shared" si="23"/>
        <v>-</v>
      </c>
      <c r="E72" s="448" t="str">
        <f t="shared" si="23"/>
        <v>-</v>
      </c>
      <c r="F72" s="448" t="str">
        <f t="shared" si="23"/>
        <v>-</v>
      </c>
      <c r="G72" s="448" t="str">
        <f t="shared" si="23"/>
        <v>-</v>
      </c>
      <c r="H72" s="448" t="str">
        <f t="shared" si="23"/>
        <v>-</v>
      </c>
      <c r="I72" s="449" t="str">
        <f t="shared" si="23"/>
        <v>-</v>
      </c>
      <c r="J72"/>
      <c r="K72"/>
      <c r="L72"/>
      <c r="M72"/>
      <c r="N72"/>
      <c r="O72"/>
    </row>
    <row r="73" spans="1:15" ht="14.25" customHeight="1" x14ac:dyDescent="0.2">
      <c r="A73" s="414" t="s">
        <v>68</v>
      </c>
      <c r="B73" s="415" t="s">
        <v>464</v>
      </c>
      <c r="C73" s="415" t="s">
        <v>465</v>
      </c>
      <c r="D73" s="415" t="s">
        <v>465</v>
      </c>
      <c r="E73" s="415" t="s">
        <v>465</v>
      </c>
      <c r="F73" s="415" t="s">
        <v>465</v>
      </c>
      <c r="G73" s="415" t="s">
        <v>465</v>
      </c>
      <c r="H73" s="415" t="s">
        <v>465</v>
      </c>
      <c r="I73" s="416" t="s">
        <v>465</v>
      </c>
      <c r="J73"/>
      <c r="K73"/>
      <c r="L73"/>
      <c r="M73"/>
      <c r="N73"/>
      <c r="O73"/>
    </row>
    <row r="74" spans="1:15" ht="14.25" customHeight="1" x14ac:dyDescent="0.2">
      <c r="A74" s="417" t="s">
        <v>69</v>
      </c>
      <c r="B74" s="418">
        <f>120/30*MC!C62*MC!C63</f>
        <v>6.18624E-3</v>
      </c>
      <c r="C74" s="425">
        <f t="shared" ref="C74:I74" si="24">(((C19*2)+ (C19*1/3))+(C36)+(C44-C38-C39))*$B$74</f>
        <v>28.47909256494545</v>
      </c>
      <c r="D74" s="425">
        <f t="shared" si="24"/>
        <v>24.426098694981821</v>
      </c>
      <c r="E74" s="425">
        <f t="shared" si="24"/>
        <v>21.386183170909092</v>
      </c>
      <c r="F74" s="425">
        <f t="shared" si="24"/>
        <v>18.346391371636361</v>
      </c>
      <c r="G74" s="425">
        <f t="shared" si="24"/>
        <v>12.266498461090908</v>
      </c>
      <c r="H74" s="425">
        <f t="shared" si="24"/>
        <v>28.432845734400001</v>
      </c>
      <c r="I74" s="426">
        <f t="shared" si="24"/>
        <v>28.50349701180043</v>
      </c>
      <c r="J74"/>
      <c r="K74"/>
      <c r="L74"/>
      <c r="M74"/>
      <c r="N74"/>
      <c r="O74"/>
    </row>
    <row r="75" spans="1:15" ht="15.75" customHeight="1" x14ac:dyDescent="0.2">
      <c r="A75" s="444" t="s">
        <v>474</v>
      </c>
      <c r="B75" s="445"/>
      <c r="C75" s="448">
        <f t="shared" ref="C75:I75" si="25">C74</f>
        <v>28.47909256494545</v>
      </c>
      <c r="D75" s="448">
        <f t="shared" si="25"/>
        <v>24.426098694981821</v>
      </c>
      <c r="E75" s="448">
        <f t="shared" si="25"/>
        <v>21.386183170909092</v>
      </c>
      <c r="F75" s="448">
        <f t="shared" si="25"/>
        <v>18.346391371636361</v>
      </c>
      <c r="G75" s="448">
        <f t="shared" si="25"/>
        <v>12.266498461090908</v>
      </c>
      <c r="H75" s="448">
        <f t="shared" si="25"/>
        <v>28.432845734400001</v>
      </c>
      <c r="I75" s="449">
        <f t="shared" si="25"/>
        <v>28.50349701180043</v>
      </c>
      <c r="J75"/>
      <c r="K75"/>
      <c r="L75"/>
      <c r="M75"/>
      <c r="N75"/>
      <c r="O75"/>
    </row>
    <row r="76" spans="1:15" x14ac:dyDescent="0.2">
      <c r="A76" s="391" t="s">
        <v>515</v>
      </c>
      <c r="B76" s="392" t="s">
        <v>464</v>
      </c>
      <c r="C76" s="392" t="s">
        <v>465</v>
      </c>
      <c r="D76" s="392" t="s">
        <v>465</v>
      </c>
      <c r="E76" s="392" t="s">
        <v>465</v>
      </c>
      <c r="F76" s="392" t="s">
        <v>465</v>
      </c>
      <c r="G76" s="392" t="s">
        <v>465</v>
      </c>
      <c r="H76" s="392" t="s">
        <v>465</v>
      </c>
      <c r="I76" s="393" t="s">
        <v>465</v>
      </c>
      <c r="J76"/>
      <c r="K76"/>
      <c r="L76"/>
      <c r="M76"/>
      <c r="N76"/>
      <c r="O76"/>
    </row>
    <row r="77" spans="1:15" x14ac:dyDescent="0.2">
      <c r="A77" s="417" t="s">
        <v>46</v>
      </c>
      <c r="B77" s="434">
        <f t="shared" ref="B77:I77" si="26">B69</f>
        <v>9.9662923611111107E-2</v>
      </c>
      <c r="C77" s="435">
        <f t="shared" si="26"/>
        <v>311.44895145443769</v>
      </c>
      <c r="D77" s="435">
        <f t="shared" si="26"/>
        <v>273.69744425685928</v>
      </c>
      <c r="E77" s="435">
        <f t="shared" si="26"/>
        <v>229.24689158218243</v>
      </c>
      <c r="F77" s="435">
        <f t="shared" si="26"/>
        <v>200.93276286938055</v>
      </c>
      <c r="G77" s="435">
        <f t="shared" si="26"/>
        <v>146.08448525947131</v>
      </c>
      <c r="H77" s="435">
        <f t="shared" si="26"/>
        <v>308.17774914277584</v>
      </c>
      <c r="I77" s="436">
        <f t="shared" si="26"/>
        <v>308.8106019202184</v>
      </c>
      <c r="J77"/>
      <c r="K77"/>
      <c r="L77"/>
      <c r="M77"/>
      <c r="N77"/>
      <c r="O77"/>
    </row>
    <row r="78" spans="1:15" ht="15.75" customHeight="1" x14ac:dyDescent="0.2">
      <c r="A78" s="417" t="s">
        <v>513</v>
      </c>
      <c r="B78" s="434">
        <f t="shared" ref="B78:I78" si="27">B72</f>
        <v>0</v>
      </c>
      <c r="C78" s="435" t="str">
        <f t="shared" si="27"/>
        <v>-</v>
      </c>
      <c r="D78" s="435" t="str">
        <f t="shared" si="27"/>
        <v>-</v>
      </c>
      <c r="E78" s="435" t="str">
        <f t="shared" si="27"/>
        <v>-</v>
      </c>
      <c r="F78" s="435" t="str">
        <f t="shared" si="27"/>
        <v>-</v>
      </c>
      <c r="G78" s="435" t="str">
        <f t="shared" si="27"/>
        <v>-</v>
      </c>
      <c r="H78" s="435" t="str">
        <f t="shared" si="27"/>
        <v>-</v>
      </c>
      <c r="I78" s="436" t="str">
        <f t="shared" si="27"/>
        <v>-</v>
      </c>
      <c r="J78"/>
      <c r="K78"/>
      <c r="L78"/>
      <c r="M78"/>
      <c r="N78"/>
      <c r="O78"/>
    </row>
    <row r="79" spans="1:15" ht="15.75" customHeight="1" x14ac:dyDescent="0.2">
      <c r="A79" s="417" t="s">
        <v>68</v>
      </c>
      <c r="B79" s="434">
        <f t="shared" ref="B79:I79" si="28">B74</f>
        <v>6.18624E-3</v>
      </c>
      <c r="C79" s="435">
        <f t="shared" si="28"/>
        <v>28.47909256494545</v>
      </c>
      <c r="D79" s="435">
        <f t="shared" si="28"/>
        <v>24.426098694981821</v>
      </c>
      <c r="E79" s="435">
        <f t="shared" si="28"/>
        <v>21.386183170909092</v>
      </c>
      <c r="F79" s="435">
        <f t="shared" si="28"/>
        <v>18.346391371636361</v>
      </c>
      <c r="G79" s="435">
        <f t="shared" si="28"/>
        <v>12.266498461090908</v>
      </c>
      <c r="H79" s="435">
        <f t="shared" si="28"/>
        <v>28.432845734400001</v>
      </c>
      <c r="I79" s="436">
        <f t="shared" si="28"/>
        <v>28.50349701180043</v>
      </c>
      <c r="J79"/>
      <c r="K79"/>
      <c r="L79"/>
      <c r="M79"/>
      <c r="N79"/>
      <c r="O79"/>
    </row>
    <row r="80" spans="1:15" ht="15.75" customHeight="1" x14ac:dyDescent="0.2">
      <c r="A80" s="405" t="s">
        <v>474</v>
      </c>
      <c r="B80" s="406"/>
      <c r="C80" s="420">
        <f t="shared" ref="C80:I80" si="29">SUM(C77:C79)</f>
        <v>339.92804401938315</v>
      </c>
      <c r="D80" s="420">
        <f t="shared" si="29"/>
        <v>298.1235429518411</v>
      </c>
      <c r="E80" s="420">
        <f t="shared" si="29"/>
        <v>250.63307475309153</v>
      </c>
      <c r="F80" s="420">
        <f t="shared" si="29"/>
        <v>219.27915424101693</v>
      </c>
      <c r="G80" s="420">
        <f t="shared" si="29"/>
        <v>158.35098372056223</v>
      </c>
      <c r="H80" s="420">
        <f t="shared" si="29"/>
        <v>336.61059487717586</v>
      </c>
      <c r="I80" s="421">
        <f t="shared" si="29"/>
        <v>337.31409893201885</v>
      </c>
      <c r="J80"/>
      <c r="K80"/>
      <c r="L80"/>
      <c r="M80"/>
      <c r="N80"/>
      <c r="O80"/>
    </row>
    <row r="81" spans="1:15" ht="15.75" customHeight="1" x14ac:dyDescent="0.2">
      <c r="A81" s="410"/>
      <c r="B81" s="411"/>
      <c r="C81" s="411"/>
      <c r="D81" s="411"/>
      <c r="E81" s="411"/>
      <c r="F81" s="411"/>
      <c r="G81" s="411"/>
      <c r="H81" s="412"/>
      <c r="I81" s="413"/>
      <c r="J81"/>
      <c r="K81"/>
      <c r="L81"/>
      <c r="M81"/>
      <c r="N81"/>
      <c r="O81"/>
    </row>
    <row r="82" spans="1:15" ht="15.75" customHeight="1" x14ac:dyDescent="0.2">
      <c r="A82" s="450" t="s">
        <v>516</v>
      </c>
      <c r="B82" s="451"/>
      <c r="C82" s="451"/>
      <c r="D82" s="451"/>
      <c r="E82" s="451"/>
      <c r="F82" s="451"/>
      <c r="G82" s="451"/>
      <c r="H82" s="451"/>
      <c r="I82" s="452"/>
      <c r="J82"/>
      <c r="K82"/>
      <c r="L82"/>
      <c r="M82"/>
      <c r="N82"/>
      <c r="O82"/>
    </row>
    <row r="83" spans="1:15" ht="15.75" customHeight="1" x14ac:dyDescent="0.2">
      <c r="A83" s="391" t="s">
        <v>517</v>
      </c>
      <c r="B83" s="392" t="s">
        <v>518</v>
      </c>
      <c r="C83" s="392" t="s">
        <v>465</v>
      </c>
      <c r="D83" s="392" t="s">
        <v>465</v>
      </c>
      <c r="E83" s="392" t="s">
        <v>465</v>
      </c>
      <c r="F83" s="392" t="s">
        <v>465</v>
      </c>
      <c r="G83" s="392" t="s">
        <v>465</v>
      </c>
      <c r="H83" s="392" t="s">
        <v>465</v>
      </c>
      <c r="I83" s="393" t="s">
        <v>465</v>
      </c>
      <c r="J83"/>
      <c r="K83"/>
      <c r="L83"/>
      <c r="M83"/>
      <c r="N83"/>
      <c r="O83"/>
    </row>
    <row r="84" spans="1:15" ht="15.75" customHeight="1" x14ac:dyDescent="0.2">
      <c r="A84" s="417" t="s">
        <v>519</v>
      </c>
      <c r="B84" s="453"/>
      <c r="C84" s="396">
        <f>Insumos!$J119</f>
        <v>34.030416666666667</v>
      </c>
      <c r="D84" s="396">
        <f>Insumos!$J119</f>
        <v>34.030416666666667</v>
      </c>
      <c r="E84" s="396">
        <f>Insumos!$J119</f>
        <v>34.030416666666667</v>
      </c>
      <c r="F84" s="396">
        <f>Insumos!$J119</f>
        <v>34.030416666666667</v>
      </c>
      <c r="G84" s="396">
        <f>Insumos!$J119</f>
        <v>34.030416666666667</v>
      </c>
      <c r="H84" s="396">
        <f>Insumos!$J119</f>
        <v>34.030416666666667</v>
      </c>
      <c r="I84" s="396">
        <f>Insumos!$J118</f>
        <v>27.875416666666666</v>
      </c>
      <c r="J84"/>
      <c r="K84"/>
      <c r="L84"/>
      <c r="M84"/>
      <c r="N84"/>
      <c r="O84"/>
    </row>
    <row r="85" spans="1:15" x14ac:dyDescent="0.2">
      <c r="A85" s="454" t="s">
        <v>520</v>
      </c>
      <c r="B85" s="453"/>
      <c r="C85" s="396">
        <f>Insumos!$G60</f>
        <v>461.23111666666665</v>
      </c>
      <c r="D85" s="396">
        <f>Insumos!$G60</f>
        <v>461.23111666666665</v>
      </c>
      <c r="E85" s="396">
        <f>Insumos!$G60</f>
        <v>461.23111666666665</v>
      </c>
      <c r="F85" s="396">
        <f>Insumos!$G60</f>
        <v>461.23111666666665</v>
      </c>
      <c r="G85" s="396">
        <f>Insumos!$G60</f>
        <v>461.23111666666665</v>
      </c>
      <c r="H85" s="400" t="s">
        <v>469</v>
      </c>
      <c r="I85" s="401" t="s">
        <v>469</v>
      </c>
      <c r="J85"/>
      <c r="K85"/>
      <c r="L85"/>
      <c r="M85"/>
      <c r="N85"/>
      <c r="O85"/>
    </row>
    <row r="86" spans="1:15" x14ac:dyDescent="0.2">
      <c r="A86" s="454" t="s">
        <v>521</v>
      </c>
      <c r="B86" s="455"/>
      <c r="C86" s="396">
        <f>Insumos!$J100</f>
        <v>20.970806818181821</v>
      </c>
      <c r="D86" s="396">
        <f>Insumos!$J100</f>
        <v>20.970806818181821</v>
      </c>
      <c r="E86" s="396">
        <f>Insumos!$J100</f>
        <v>20.970806818181821</v>
      </c>
      <c r="F86" s="396">
        <f>Insumos!$J100</f>
        <v>20.970806818181821</v>
      </c>
      <c r="G86" s="396">
        <f>Insumos!$J100</f>
        <v>20.970806818181821</v>
      </c>
      <c r="H86" s="400" t="s">
        <v>469</v>
      </c>
      <c r="I86" s="401" t="s">
        <v>469</v>
      </c>
      <c r="J86"/>
      <c r="K86"/>
      <c r="L86"/>
      <c r="M86"/>
      <c r="N86"/>
      <c r="O86"/>
    </row>
    <row r="87" spans="1:15" ht="15.75" customHeight="1" x14ac:dyDescent="0.2">
      <c r="A87" s="454" t="s">
        <v>522</v>
      </c>
      <c r="B87" s="453"/>
      <c r="C87" s="396">
        <f>Insumos!$I130</f>
        <v>36.666666666666671</v>
      </c>
      <c r="D87" s="396">
        <f>Insumos!$I130</f>
        <v>36.666666666666671</v>
      </c>
      <c r="E87" s="396">
        <f>Insumos!$H130</f>
        <v>25.446666666666665</v>
      </c>
      <c r="F87" s="396">
        <f>Insumos!$H130</f>
        <v>25.446666666666665</v>
      </c>
      <c r="G87" s="396">
        <f>Insumos!$H130</f>
        <v>25.446666666666665</v>
      </c>
      <c r="H87" s="400" t="s">
        <v>469</v>
      </c>
      <c r="I87" s="401" t="s">
        <v>469</v>
      </c>
      <c r="J87"/>
      <c r="K87"/>
      <c r="L87"/>
      <c r="M87"/>
      <c r="N87"/>
      <c r="O87"/>
    </row>
    <row r="88" spans="1:15" ht="15.75" customHeight="1" x14ac:dyDescent="0.2">
      <c r="A88" s="454" t="s">
        <v>523</v>
      </c>
      <c r="B88" s="418">
        <v>0.12</v>
      </c>
      <c r="C88" s="400" t="s">
        <v>469</v>
      </c>
      <c r="D88" s="400" t="s">
        <v>469</v>
      </c>
      <c r="E88" s="400" t="s">
        <v>469</v>
      </c>
      <c r="F88" s="400" t="s">
        <v>469</v>
      </c>
      <c r="G88" s="400" t="s">
        <v>469</v>
      </c>
      <c r="H88" s="397">
        <f>B88*(H123+H124+H84)</f>
        <v>4.0836499999999996</v>
      </c>
      <c r="I88" s="401" t="s">
        <v>469</v>
      </c>
      <c r="J88"/>
      <c r="K88"/>
      <c r="L88"/>
      <c r="M88"/>
      <c r="N88"/>
      <c r="O88"/>
    </row>
    <row r="89" spans="1:15" ht="15.75" customHeight="1" x14ac:dyDescent="0.2">
      <c r="A89" s="456" t="s">
        <v>524</v>
      </c>
      <c r="B89" s="457"/>
      <c r="C89" s="458"/>
      <c r="D89" s="458"/>
      <c r="E89" s="458"/>
      <c r="F89" s="458"/>
      <c r="G89" s="458"/>
      <c r="H89" s="459"/>
      <c r="I89" s="460">
        <f>Insumos!H146</f>
        <v>50.323333333333331</v>
      </c>
      <c r="J89"/>
      <c r="K89"/>
      <c r="L89"/>
      <c r="M89"/>
      <c r="N89"/>
      <c r="O89"/>
    </row>
    <row r="90" spans="1:15" ht="15.75" customHeight="1" x14ac:dyDescent="0.2">
      <c r="A90" s="454" t="s">
        <v>525</v>
      </c>
      <c r="B90" s="418"/>
      <c r="C90" s="400"/>
      <c r="D90" s="400"/>
      <c r="E90" s="400"/>
      <c r="F90" s="400"/>
      <c r="G90" s="400"/>
      <c r="H90" s="397"/>
      <c r="I90" s="401"/>
      <c r="J90"/>
      <c r="K90"/>
      <c r="L90"/>
      <c r="M90"/>
      <c r="N90"/>
      <c r="O90"/>
    </row>
    <row r="91" spans="1:15" ht="15.75" customHeight="1" x14ac:dyDescent="0.2">
      <c r="A91" s="444" t="s">
        <v>474</v>
      </c>
      <c r="B91" s="461"/>
      <c r="C91" s="446">
        <f t="shared" ref="C91:I91" si="30">SUM(C84:C90)</f>
        <v>552.89900681818176</v>
      </c>
      <c r="D91" s="446">
        <f t="shared" si="30"/>
        <v>552.89900681818176</v>
      </c>
      <c r="E91" s="446">
        <f t="shared" si="30"/>
        <v>541.67900681818185</v>
      </c>
      <c r="F91" s="446">
        <f t="shared" si="30"/>
        <v>541.67900681818185</v>
      </c>
      <c r="G91" s="446">
        <f t="shared" si="30"/>
        <v>541.67900681818185</v>
      </c>
      <c r="H91" s="446">
        <f t="shared" si="30"/>
        <v>38.114066666666666</v>
      </c>
      <c r="I91" s="446">
        <f t="shared" si="30"/>
        <v>78.19874999999999</v>
      </c>
      <c r="J91"/>
      <c r="K91"/>
      <c r="L91"/>
      <c r="M91"/>
      <c r="N91"/>
      <c r="O91"/>
    </row>
    <row r="92" spans="1:15" ht="15.75" customHeight="1" x14ac:dyDescent="0.2">
      <c r="A92" s="888"/>
      <c r="B92" s="888"/>
      <c r="C92" s="462"/>
      <c r="D92" s="462"/>
      <c r="E92" s="462"/>
      <c r="F92" s="462"/>
      <c r="G92" s="462"/>
      <c r="H92" s="463"/>
      <c r="I92" s="464"/>
      <c r="J92"/>
      <c r="K92"/>
      <c r="L92"/>
      <c r="M92"/>
      <c r="N92"/>
      <c r="O92"/>
    </row>
    <row r="93" spans="1:15" ht="15.75" customHeight="1" x14ac:dyDescent="0.2">
      <c r="A93" s="450" t="s">
        <v>526</v>
      </c>
      <c r="B93" s="451"/>
      <c r="C93" s="451"/>
      <c r="D93" s="451"/>
      <c r="E93" s="451"/>
      <c r="F93" s="451"/>
      <c r="G93" s="451"/>
      <c r="H93" s="451"/>
      <c r="I93" s="452"/>
      <c r="J93"/>
      <c r="K93"/>
      <c r="L93"/>
      <c r="M93"/>
      <c r="N93"/>
      <c r="O93"/>
    </row>
    <row r="94" spans="1:15" ht="15.75" customHeight="1" x14ac:dyDescent="0.2">
      <c r="A94" s="391" t="s">
        <v>527</v>
      </c>
      <c r="B94" s="392" t="s">
        <v>464</v>
      </c>
      <c r="C94" s="392" t="s">
        <v>465</v>
      </c>
      <c r="D94" s="392" t="s">
        <v>465</v>
      </c>
      <c r="E94" s="392" t="s">
        <v>465</v>
      </c>
      <c r="F94" s="392" t="s">
        <v>465</v>
      </c>
      <c r="G94" s="392" t="s">
        <v>465</v>
      </c>
      <c r="H94" s="392" t="s">
        <v>465</v>
      </c>
      <c r="I94" s="393" t="s">
        <v>465</v>
      </c>
      <c r="J94"/>
      <c r="K94"/>
      <c r="L94"/>
      <c r="M94"/>
      <c r="N94"/>
      <c r="O94"/>
    </row>
    <row r="95" spans="1:15" ht="15.75" customHeight="1" x14ac:dyDescent="0.2">
      <c r="A95" s="394" t="s">
        <v>74</v>
      </c>
      <c r="B95" s="418">
        <f>MC!C66</f>
        <v>0.03</v>
      </c>
      <c r="C95" s="425">
        <f t="shared" ref="C95:I95" si="31">(C$19+C$49+C$60+C$80+C$91)*$B$95</f>
        <v>120.53550842512695</v>
      </c>
      <c r="D95" s="425">
        <f t="shared" si="31"/>
        <v>107.91761669310067</v>
      </c>
      <c r="E95" s="425">
        <f t="shared" si="31"/>
        <v>92.776035122138197</v>
      </c>
      <c r="F95" s="425">
        <f t="shared" si="31"/>
        <v>83.312449981775956</v>
      </c>
      <c r="G95" s="425">
        <f t="shared" si="31"/>
        <v>64.974469816162312</v>
      </c>
      <c r="H95" s="425">
        <f t="shared" si="31"/>
        <v>104.00775692964859</v>
      </c>
      <c r="I95" s="426">
        <f t="shared" si="31"/>
        <v>105.42190050816056</v>
      </c>
      <c r="J95"/>
      <c r="K95"/>
      <c r="L95"/>
      <c r="M95"/>
      <c r="N95"/>
      <c r="O95"/>
    </row>
    <row r="96" spans="1:15" ht="13.9" customHeight="1" x14ac:dyDescent="0.2">
      <c r="A96" s="394" t="s">
        <v>75</v>
      </c>
      <c r="B96" s="418">
        <f>MC!C67</f>
        <v>6.7900000000000002E-2</v>
      </c>
      <c r="C96" s="425">
        <f t="shared" ref="C96:I96" si="32">(C$19+C$49+C$60+C$80+C$91+C95)*$B$96</f>
        <v>280.9963950909368</v>
      </c>
      <c r="D96" s="425">
        <f t="shared" si="32"/>
        <v>251.58114528884607</v>
      </c>
      <c r="E96" s="425">
        <f t="shared" si="32"/>
        <v>216.28258561123263</v>
      </c>
      <c r="F96" s="425">
        <f t="shared" si="32"/>
        <v>194.22076047918216</v>
      </c>
      <c r="G96" s="425">
        <f t="shared" si="32"/>
        <v>151.47064985109813</v>
      </c>
      <c r="H96" s="425">
        <f t="shared" si="32"/>
        <v>242.46634987962781</v>
      </c>
      <c r="I96" s="426">
        <f t="shared" si="32"/>
        <v>245.76304852797418</v>
      </c>
      <c r="J96"/>
      <c r="K96"/>
      <c r="L96"/>
      <c r="M96"/>
      <c r="N96"/>
      <c r="O96"/>
    </row>
    <row r="97" spans="1:15" ht="13.9" customHeight="1" x14ac:dyDescent="0.2">
      <c r="A97" s="465" t="s">
        <v>528</v>
      </c>
      <c r="B97" s="466">
        <f>B98+B99</f>
        <v>0.1125</v>
      </c>
      <c r="C97" s="467">
        <f t="shared" ref="C97:I97" si="33">((C19+C49+C60+C80+C91+C95+C96)/(1-($B$97)))*$B$97</f>
        <v>560.20337548144596</v>
      </c>
      <c r="D97" s="467">
        <f t="shared" si="33"/>
        <v>501.56019529250318</v>
      </c>
      <c r="E97" s="467">
        <f t="shared" si="33"/>
        <v>431.18786089072955</v>
      </c>
      <c r="F97" s="467">
        <f t="shared" si="33"/>
        <v>387.20470265748463</v>
      </c>
      <c r="G97" s="467">
        <f t="shared" si="33"/>
        <v>301.97671861766253</v>
      </c>
      <c r="H97" s="467">
        <f t="shared" si="33"/>
        <v>483.38864845321223</v>
      </c>
      <c r="I97" s="468">
        <f t="shared" si="33"/>
        <v>489.96105202497728</v>
      </c>
      <c r="J97"/>
      <c r="K97"/>
      <c r="L97"/>
      <c r="M97"/>
      <c r="N97"/>
      <c r="O97"/>
    </row>
    <row r="98" spans="1:15" ht="14.85" customHeight="1" x14ac:dyDescent="0.2">
      <c r="A98" s="394" t="s">
        <v>529</v>
      </c>
      <c r="B98" s="418">
        <f>0.0165+0.076</f>
        <v>9.2499999999999999E-2</v>
      </c>
      <c r="C98" s="469">
        <f t="shared" ref="C98:I98" si="34">((C$19+C$49+C$60+C$80+C$91+C$95+C$96)/(1-($B$97)))*$B$98</f>
        <v>460.61166428474445</v>
      </c>
      <c r="D98" s="469">
        <f t="shared" si="34"/>
        <v>412.39393835161371</v>
      </c>
      <c r="E98" s="469">
        <f t="shared" si="34"/>
        <v>354.53224117682203</v>
      </c>
      <c r="F98" s="469">
        <f t="shared" si="34"/>
        <v>318.36831107393181</v>
      </c>
      <c r="G98" s="469">
        <f t="shared" si="34"/>
        <v>248.29196864118919</v>
      </c>
      <c r="H98" s="469">
        <f t="shared" si="34"/>
        <v>397.45288872819668</v>
      </c>
      <c r="I98" s="470">
        <f t="shared" si="34"/>
        <v>402.85686499831462</v>
      </c>
      <c r="J98"/>
      <c r="K98"/>
      <c r="L98"/>
      <c r="M98"/>
      <c r="N98"/>
      <c r="O98"/>
    </row>
    <row r="99" spans="1:15" ht="13.9" customHeight="1" x14ac:dyDescent="0.2">
      <c r="A99" s="394" t="s">
        <v>530</v>
      </c>
      <c r="B99" s="418">
        <v>0.02</v>
      </c>
      <c r="C99" s="471">
        <f t="shared" ref="C99:I99" si="35">((C$19+C$49+C$60+C$80+C$91+C$95+C$96)/(1-($B$97)))*$B$99</f>
        <v>99.59171119670151</v>
      </c>
      <c r="D99" s="471">
        <f t="shared" si="35"/>
        <v>89.166256940889454</v>
      </c>
      <c r="E99" s="471">
        <f t="shared" si="35"/>
        <v>76.65561971390747</v>
      </c>
      <c r="F99" s="471">
        <f t="shared" si="35"/>
        <v>68.836391583552825</v>
      </c>
      <c r="G99" s="471">
        <f t="shared" si="35"/>
        <v>53.684749976473341</v>
      </c>
      <c r="H99" s="471">
        <f t="shared" si="35"/>
        <v>85.935759725015501</v>
      </c>
      <c r="I99" s="472">
        <f t="shared" si="35"/>
        <v>87.104187026662629</v>
      </c>
      <c r="J99"/>
      <c r="K99"/>
      <c r="L99"/>
      <c r="M99"/>
      <c r="N99"/>
      <c r="O99"/>
    </row>
    <row r="100" spans="1:15" ht="13.9" customHeight="1" x14ac:dyDescent="0.2">
      <c r="A100" s="465" t="s">
        <v>531</v>
      </c>
      <c r="B100" s="466">
        <f>B101+B102</f>
        <v>0.11749999999999999</v>
      </c>
      <c r="C100" s="467">
        <f t="shared" ref="C100:I100" si="36">((C19+C49+C60+C80+C91+C95+C96)/(1-($B$100)))*$B$100</f>
        <v>588.41632482895341</v>
      </c>
      <c r="D100" s="467">
        <f t="shared" si="36"/>
        <v>526.8197581652762</v>
      </c>
      <c r="E100" s="467">
        <f t="shared" si="36"/>
        <v>452.90333389750214</v>
      </c>
      <c r="F100" s="467">
        <f t="shared" si="36"/>
        <v>406.70509687378848</v>
      </c>
      <c r="G100" s="467">
        <f t="shared" si="36"/>
        <v>317.18486308691837</v>
      </c>
      <c r="H100" s="467">
        <f t="shared" si="36"/>
        <v>507.73305630732415</v>
      </c>
      <c r="I100" s="468">
        <f t="shared" si="36"/>
        <v>514.63645911468325</v>
      </c>
      <c r="J100"/>
      <c r="K100"/>
      <c r="L100"/>
      <c r="M100"/>
      <c r="N100"/>
      <c r="O100"/>
    </row>
    <row r="101" spans="1:15" ht="13.9" customHeight="1" x14ac:dyDescent="0.2">
      <c r="A101" s="394" t="s">
        <v>529</v>
      </c>
      <c r="B101" s="418">
        <f>0.0165+0.076</f>
        <v>9.2499999999999999E-2</v>
      </c>
      <c r="C101" s="469">
        <f t="shared" ref="C101:I101" si="37">((C19+C49+C60+C80+C91+C95+C96)/(1-($B$100)))*$B$101</f>
        <v>463.22136209938884</v>
      </c>
      <c r="D101" s="469">
        <f t="shared" si="37"/>
        <v>414.73044791734515</v>
      </c>
      <c r="E101" s="469">
        <f t="shared" si="37"/>
        <v>356.54092242994847</v>
      </c>
      <c r="F101" s="469">
        <f t="shared" si="37"/>
        <v>320.17209753893985</v>
      </c>
      <c r="G101" s="469">
        <f t="shared" si="37"/>
        <v>249.69872200459531</v>
      </c>
      <c r="H101" s="469">
        <f t="shared" si="37"/>
        <v>399.70474645470205</v>
      </c>
      <c r="I101" s="470">
        <f t="shared" si="37"/>
        <v>405.13934015411235</v>
      </c>
      <c r="J101"/>
      <c r="K101"/>
      <c r="L101"/>
      <c r="M101"/>
      <c r="N101"/>
      <c r="O101"/>
    </row>
    <row r="102" spans="1:15" ht="13.9" customHeight="1" x14ac:dyDescent="0.2">
      <c r="A102" s="394" t="s">
        <v>530</v>
      </c>
      <c r="B102" s="418">
        <v>2.5000000000000001E-2</v>
      </c>
      <c r="C102" s="471">
        <f t="shared" ref="C102:I102" si="38">((C$19+C$49+C$60+C$80+C$91+C$95+C$96)/(1-($B$100)))*$B$102</f>
        <v>125.19496272956457</v>
      </c>
      <c r="D102" s="471">
        <f t="shared" si="38"/>
        <v>112.08931024793112</v>
      </c>
      <c r="E102" s="471">
        <f t="shared" si="38"/>
        <v>96.362411467553656</v>
      </c>
      <c r="F102" s="471">
        <f t="shared" si="38"/>
        <v>86.532999334848625</v>
      </c>
      <c r="G102" s="471">
        <f t="shared" si="38"/>
        <v>67.486141082323059</v>
      </c>
      <c r="H102" s="471">
        <f t="shared" si="38"/>
        <v>108.02830985262217</v>
      </c>
      <c r="I102" s="472">
        <f t="shared" si="38"/>
        <v>109.4971189605709</v>
      </c>
      <c r="J102"/>
      <c r="K102"/>
      <c r="L102"/>
      <c r="M102"/>
      <c r="N102"/>
      <c r="O102"/>
    </row>
    <row r="103" spans="1:15" ht="13.9" customHeight="1" x14ac:dyDescent="0.2">
      <c r="A103" s="465" t="s">
        <v>532</v>
      </c>
      <c r="B103" s="466">
        <f>B104+B105</f>
        <v>0.1225</v>
      </c>
      <c r="C103" s="467">
        <f t="shared" ref="C103:I103" si="39">((C19+C49+C60+C80+C91+C95+C96)/(1-($B$103)))*$B$103</f>
        <v>616.95078926874021</v>
      </c>
      <c r="D103" s="467">
        <f t="shared" si="39"/>
        <v>552.36717930440591</v>
      </c>
      <c r="E103" s="467">
        <f t="shared" si="39"/>
        <v>474.86627668212981</v>
      </c>
      <c r="F103" s="467">
        <f t="shared" si="39"/>
        <v>426.4277178048082</v>
      </c>
      <c r="G103" s="467">
        <f t="shared" si="39"/>
        <v>332.56631974385817</v>
      </c>
      <c r="H103" s="467">
        <f t="shared" si="39"/>
        <v>532.35489331077099</v>
      </c>
      <c r="I103" s="468">
        <f t="shared" si="39"/>
        <v>539.59306742478498</v>
      </c>
      <c r="J103"/>
      <c r="K103"/>
      <c r="L103"/>
      <c r="M103"/>
      <c r="N103"/>
      <c r="O103"/>
    </row>
    <row r="104" spans="1:15" ht="13.9" customHeight="1" x14ac:dyDescent="0.2">
      <c r="A104" s="394" t="s">
        <v>529</v>
      </c>
      <c r="B104" s="418">
        <f>0.0165+0.076</f>
        <v>9.2499999999999999E-2</v>
      </c>
      <c r="C104" s="469">
        <f t="shared" ref="C104:I104" si="40">((C19+C49+C60+C80+C91+C95+C96)/(1-($B$103)))*$B$104</f>
        <v>465.86080006006915</v>
      </c>
      <c r="D104" s="469">
        <f t="shared" si="40"/>
        <v>417.0935843727147</v>
      </c>
      <c r="E104" s="469">
        <f t="shared" si="40"/>
        <v>358.57249463752657</v>
      </c>
      <c r="F104" s="469">
        <f t="shared" si="40"/>
        <v>321.99643997505922</v>
      </c>
      <c r="G104" s="469">
        <f t="shared" si="40"/>
        <v>251.1215067453623</v>
      </c>
      <c r="H104" s="469">
        <f t="shared" si="40"/>
        <v>401.98226637752094</v>
      </c>
      <c r="I104" s="470">
        <f t="shared" si="40"/>
        <v>407.44782642279682</v>
      </c>
      <c r="J104"/>
      <c r="K104"/>
      <c r="L104"/>
      <c r="M104"/>
      <c r="N104"/>
      <c r="O104"/>
    </row>
    <row r="105" spans="1:15" ht="13.9" customHeight="1" x14ac:dyDescent="0.2">
      <c r="A105" s="394" t="s">
        <v>530</v>
      </c>
      <c r="B105" s="418">
        <v>0.03</v>
      </c>
      <c r="C105" s="471">
        <f t="shared" ref="C105:I105" si="41">((C19+C49+C60+C80+C91+C95+C96)/(1-($B$103)))*$B$105</f>
        <v>151.08998920867108</v>
      </c>
      <c r="D105" s="471">
        <f t="shared" si="41"/>
        <v>135.27359493169124</v>
      </c>
      <c r="E105" s="471">
        <f t="shared" si="41"/>
        <v>116.29378204460322</v>
      </c>
      <c r="F105" s="471">
        <f t="shared" si="41"/>
        <v>104.43127782974894</v>
      </c>
      <c r="G105" s="471">
        <f t="shared" si="41"/>
        <v>81.444812998495877</v>
      </c>
      <c r="H105" s="471">
        <f t="shared" si="41"/>
        <v>130.37262693325002</v>
      </c>
      <c r="I105" s="472">
        <f t="shared" si="41"/>
        <v>132.14524100198815</v>
      </c>
      <c r="J105" s="473"/>
      <c r="K105"/>
      <c r="L105"/>
      <c r="M105"/>
      <c r="N105"/>
      <c r="O105"/>
    </row>
    <row r="106" spans="1:15" ht="13.9" customHeight="1" x14ac:dyDescent="0.2">
      <c r="A106" s="465" t="s">
        <v>533</v>
      </c>
      <c r="B106" s="466">
        <f>B107+B108</f>
        <v>0.1275</v>
      </c>
      <c r="C106" s="467">
        <f>((C19+C49+C60+C80+C91+C95+C96)/(1-($B$106)))*$B$106</f>
        <v>645.81229628090273</v>
      </c>
      <c r="D106" s="467">
        <f t="shared" ref="D106:I106" si="42">((D19+D49+D60+D80+D91+D95+D96)/(1-($B$106)))*$B$106</f>
        <v>578.20740756260864</v>
      </c>
      <c r="E106" s="467">
        <f t="shared" si="42"/>
        <v>497.08094373936058</v>
      </c>
      <c r="F106" s="467">
        <f t="shared" si="42"/>
        <v>446.37638596712884</v>
      </c>
      <c r="G106" s="467">
        <f t="shared" si="42"/>
        <v>348.12406816763956</v>
      </c>
      <c r="H106" s="467">
        <f t="shared" si="42"/>
        <v>557.25892901912812</v>
      </c>
      <c r="I106" s="467">
        <f t="shared" si="42"/>
        <v>564.83571136021726</v>
      </c>
      <c r="J106" s="473"/>
      <c r="K106"/>
      <c r="L106"/>
      <c r="M106"/>
      <c r="N106"/>
      <c r="O106"/>
    </row>
    <row r="107" spans="1:15" ht="13.9" customHeight="1" x14ac:dyDescent="0.2">
      <c r="A107" s="394" t="s">
        <v>529</v>
      </c>
      <c r="B107" s="418">
        <f>0.0165+0.076</f>
        <v>9.2499999999999999E-2</v>
      </c>
      <c r="C107" s="469">
        <f>((C19+C49+C60+C80+C91+C95+C96)/(1-($B$106)))*$B$107</f>
        <v>468.53048945869409</v>
      </c>
      <c r="D107" s="469">
        <f t="shared" ref="D107:I107" si="43">((D19+D49+D60+D80+D91+D95+D96)/(1-($B$106)))*$B$107</f>
        <v>419.48380548659844</v>
      </c>
      <c r="E107" s="469">
        <f t="shared" si="43"/>
        <v>360.62735134032039</v>
      </c>
      <c r="F107" s="469">
        <f t="shared" si="43"/>
        <v>323.84169178007386</v>
      </c>
      <c r="G107" s="469">
        <f t="shared" si="43"/>
        <v>252.56059847456206</v>
      </c>
      <c r="H107" s="469">
        <f t="shared" si="43"/>
        <v>404.2858896805439</v>
      </c>
      <c r="I107" s="469">
        <f t="shared" si="43"/>
        <v>409.78277098682429</v>
      </c>
      <c r="J107" s="473"/>
      <c r="K107"/>
      <c r="L107"/>
      <c r="M107"/>
      <c r="N107"/>
      <c r="O107"/>
    </row>
    <row r="108" spans="1:15" ht="13.9" customHeight="1" x14ac:dyDescent="0.2">
      <c r="A108" s="394" t="s">
        <v>530</v>
      </c>
      <c r="B108" s="418">
        <v>3.5000000000000003E-2</v>
      </c>
      <c r="C108" s="471">
        <f>((C19+C49+C60+C80+C91+C95+C96)/(1-($B$106)))*$B$108</f>
        <v>177.28180682220861</v>
      </c>
      <c r="D108" s="471">
        <f t="shared" ref="D108:I108" si="44">((D19+D49+D60+D80+D91+D95+D96)/(1-($B$106)))*$B$108</f>
        <v>158.72360207601025</v>
      </c>
      <c r="E108" s="471">
        <f t="shared" si="44"/>
        <v>136.45359239904016</v>
      </c>
      <c r="F108" s="471">
        <f t="shared" si="44"/>
        <v>122.53469418705498</v>
      </c>
      <c r="G108" s="471">
        <f t="shared" si="44"/>
        <v>95.563469693077536</v>
      </c>
      <c r="H108" s="471">
        <f t="shared" si="44"/>
        <v>152.97303933858421</v>
      </c>
      <c r="I108" s="471">
        <f t="shared" si="44"/>
        <v>155.052940373393</v>
      </c>
      <c r="J108" s="473"/>
      <c r="K108"/>
      <c r="L108"/>
      <c r="M108"/>
      <c r="N108"/>
      <c r="O108"/>
    </row>
    <row r="109" spans="1:15" ht="13.9" customHeight="1" x14ac:dyDescent="0.2">
      <c r="A109" s="465" t="s">
        <v>534</v>
      </c>
      <c r="B109" s="466">
        <f>B110+B111</f>
        <v>0.13250000000000001</v>
      </c>
      <c r="C109" s="467">
        <f t="shared" ref="C109:I109" si="45">((C19+C49+C60+C80+C91+C95+C96)/(1-($B$109)))*$B$109</f>
        <v>675.00650078023739</v>
      </c>
      <c r="D109" s="467">
        <f t="shared" si="45"/>
        <v>604.34550588718844</v>
      </c>
      <c r="E109" s="467">
        <f t="shared" si="45"/>
        <v>519.55168765027713</v>
      </c>
      <c r="F109" s="467">
        <f t="shared" si="45"/>
        <v>466.5550099584101</v>
      </c>
      <c r="G109" s="467">
        <f t="shared" si="45"/>
        <v>363.86115663088833</v>
      </c>
      <c r="H109" s="467">
        <f t="shared" si="45"/>
        <v>582.45004294890748</v>
      </c>
      <c r="I109" s="468">
        <f t="shared" si="45"/>
        <v>590.36933678193702</v>
      </c>
      <c r="J109"/>
      <c r="K109"/>
      <c r="L109"/>
      <c r="M109"/>
      <c r="N109"/>
      <c r="O109"/>
    </row>
    <row r="110" spans="1:15" ht="13.9" customHeight="1" x14ac:dyDescent="0.2">
      <c r="A110" s="394" t="s">
        <v>529</v>
      </c>
      <c r="B110" s="418">
        <f>0.0165+0.076</f>
        <v>9.2499999999999999E-2</v>
      </c>
      <c r="C110" s="469">
        <f t="shared" ref="C110:I110" si="46">((C19+C49+C60+C80+C91+C95+C96)/(1-($B$109)))*$B$110</f>
        <v>471.23095337488263</v>
      </c>
      <c r="D110" s="469">
        <f t="shared" si="46"/>
        <v>421.90157958162212</v>
      </c>
      <c r="E110" s="469">
        <f t="shared" si="46"/>
        <v>362.70589515208025</v>
      </c>
      <c r="F110" s="469">
        <f t="shared" si="46"/>
        <v>325.7082144992674</v>
      </c>
      <c r="G110" s="469">
        <f t="shared" si="46"/>
        <v>254.01627915741258</v>
      </c>
      <c r="H110" s="469">
        <f t="shared" si="46"/>
        <v>406.61606771904854</v>
      </c>
      <c r="I110" s="470">
        <f t="shared" si="46"/>
        <v>412.1446313383334</v>
      </c>
      <c r="J110"/>
      <c r="K110"/>
      <c r="L110"/>
      <c r="M110"/>
      <c r="N110"/>
      <c r="O110"/>
    </row>
    <row r="111" spans="1:15" ht="13.9" customHeight="1" x14ac:dyDescent="0.2">
      <c r="A111" s="394" t="s">
        <v>530</v>
      </c>
      <c r="B111" s="418">
        <v>0.04</v>
      </c>
      <c r="C111" s="471">
        <f t="shared" ref="C111:I111" si="47">((C19+C49+C60+C80+C91+C95+C96)/(1-($B$109)))*$B$111</f>
        <v>203.77554740535467</v>
      </c>
      <c r="D111" s="471">
        <f t="shared" si="47"/>
        <v>182.44392630556632</v>
      </c>
      <c r="E111" s="471">
        <f t="shared" si="47"/>
        <v>156.84579249819686</v>
      </c>
      <c r="F111" s="471">
        <f t="shared" si="47"/>
        <v>140.84679545914267</v>
      </c>
      <c r="G111" s="471">
        <f t="shared" si="47"/>
        <v>109.84487747347572</v>
      </c>
      <c r="H111" s="471">
        <f t="shared" si="47"/>
        <v>175.83397522985885</v>
      </c>
      <c r="I111" s="472">
        <f t="shared" si="47"/>
        <v>178.22470544360363</v>
      </c>
      <c r="J111"/>
      <c r="K111"/>
      <c r="L111"/>
      <c r="M111"/>
      <c r="N111"/>
      <c r="O111"/>
    </row>
    <row r="112" spans="1:15" ht="13.9" customHeight="1" x14ac:dyDescent="0.2">
      <c r="A112" s="465" t="s">
        <v>535</v>
      </c>
      <c r="B112" s="466">
        <f>B113+B114</f>
        <v>0.14250000000000002</v>
      </c>
      <c r="C112" s="467">
        <f t="shared" ref="C112:I112" si="48">((C19+C49+C60+C80+C91+C95+C96)/(1-($B$112)))*$B$112</f>
        <v>734.41628136488885</v>
      </c>
      <c r="D112" s="467">
        <f t="shared" si="48"/>
        <v>657.53615495586666</v>
      </c>
      <c r="E112" s="467">
        <f t="shared" si="48"/>
        <v>565.27932394712752</v>
      </c>
      <c r="F112" s="467">
        <f t="shared" si="48"/>
        <v>507.6182156316296</v>
      </c>
      <c r="G112" s="467">
        <f t="shared" si="48"/>
        <v>395.88590224997751</v>
      </c>
      <c r="H112" s="467">
        <f t="shared" si="48"/>
        <v>633.71359257860388</v>
      </c>
      <c r="I112" s="468">
        <f t="shared" si="48"/>
        <v>642.32989230485362</v>
      </c>
      <c r="J112"/>
      <c r="K112"/>
      <c r="L112"/>
      <c r="M112"/>
      <c r="N112"/>
      <c r="O112"/>
    </row>
    <row r="113" spans="1:15" ht="13.9" customHeight="1" x14ac:dyDescent="0.2">
      <c r="A113" s="394" t="s">
        <v>529</v>
      </c>
      <c r="B113" s="418">
        <f>0.0165+0.076</f>
        <v>9.2499999999999999E-2</v>
      </c>
      <c r="C113" s="474">
        <f t="shared" ref="C113:I113" si="49">((C19+C49+C60+C80+C91+C95+C96)/(1-($B$112)))*$B$113</f>
        <v>476.7263580789629</v>
      </c>
      <c r="D113" s="474">
        <f t="shared" si="49"/>
        <v>426.82171462047478</v>
      </c>
      <c r="E113" s="474">
        <f t="shared" si="49"/>
        <v>366.93570150953889</v>
      </c>
      <c r="F113" s="474">
        <f t="shared" si="49"/>
        <v>329.50656102404025</v>
      </c>
      <c r="G113" s="474">
        <f t="shared" si="49"/>
        <v>256.97856812717833</v>
      </c>
      <c r="H113" s="474">
        <f t="shared" si="49"/>
        <v>411.35794605979544</v>
      </c>
      <c r="I113" s="475">
        <f t="shared" si="49"/>
        <v>416.95098272420319</v>
      </c>
      <c r="J113"/>
      <c r="K113"/>
      <c r="L113"/>
      <c r="M113"/>
      <c r="N113"/>
      <c r="O113"/>
    </row>
    <row r="114" spans="1:15" ht="15.75" customHeight="1" x14ac:dyDescent="0.2">
      <c r="A114" s="394" t="s">
        <v>530</v>
      </c>
      <c r="B114" s="476">
        <v>0.05</v>
      </c>
      <c r="C114" s="477">
        <f t="shared" ref="C114:I114" si="50">((C19+C49+C60+C80+C91+C95+C96)/(1-($B$112)))*$B$114</f>
        <v>257.68992328592589</v>
      </c>
      <c r="D114" s="477">
        <f t="shared" si="50"/>
        <v>230.7144403353918</v>
      </c>
      <c r="E114" s="477">
        <f t="shared" si="50"/>
        <v>198.34362243758861</v>
      </c>
      <c r="F114" s="477">
        <f t="shared" si="50"/>
        <v>178.11165460758934</v>
      </c>
      <c r="G114" s="477">
        <f t="shared" si="50"/>
        <v>138.90733412279911</v>
      </c>
      <c r="H114" s="477">
        <f t="shared" si="50"/>
        <v>222.35564651880838</v>
      </c>
      <c r="I114" s="478">
        <f t="shared" si="50"/>
        <v>225.37890958065037</v>
      </c>
      <c r="J114"/>
      <c r="K114"/>
      <c r="L114"/>
      <c r="M114"/>
      <c r="N114"/>
      <c r="O114"/>
    </row>
    <row r="115" spans="1:15" ht="15.75" customHeight="1" x14ac:dyDescent="0.2">
      <c r="A115" s="890" t="s">
        <v>536</v>
      </c>
      <c r="B115" s="479">
        <v>0.02</v>
      </c>
      <c r="C115" s="480">
        <f t="shared" ref="C115:I115" si="51">C95+C96+C97</f>
        <v>961.73527899750968</v>
      </c>
      <c r="D115" s="480">
        <f t="shared" si="51"/>
        <v>861.05895727444999</v>
      </c>
      <c r="E115" s="480">
        <f t="shared" si="51"/>
        <v>740.2464816241004</v>
      </c>
      <c r="F115" s="480">
        <f t="shared" si="51"/>
        <v>664.73791311844275</v>
      </c>
      <c r="G115" s="480">
        <f t="shared" si="51"/>
        <v>518.42183828492296</v>
      </c>
      <c r="H115" s="480">
        <f t="shared" si="51"/>
        <v>829.86275526248869</v>
      </c>
      <c r="I115" s="481">
        <f t="shared" si="51"/>
        <v>841.14600106111197</v>
      </c>
      <c r="J115"/>
      <c r="K115"/>
      <c r="L115"/>
      <c r="M115"/>
      <c r="N115"/>
      <c r="O115"/>
    </row>
    <row r="116" spans="1:15" ht="15.75" customHeight="1" x14ac:dyDescent="0.2">
      <c r="A116" s="890"/>
      <c r="B116" s="482">
        <v>2.5000000000000001E-2</v>
      </c>
      <c r="C116" s="483">
        <f t="shared" ref="C116:I116" si="52">C95+C96+C100</f>
        <v>989.94822834501713</v>
      </c>
      <c r="D116" s="483">
        <f t="shared" si="52"/>
        <v>886.3185201472229</v>
      </c>
      <c r="E116" s="483">
        <f t="shared" si="52"/>
        <v>761.96195463087292</v>
      </c>
      <c r="F116" s="483">
        <f t="shared" si="52"/>
        <v>684.23830733474665</v>
      </c>
      <c r="G116" s="483">
        <f t="shared" si="52"/>
        <v>533.62998275417885</v>
      </c>
      <c r="H116" s="483">
        <f t="shared" si="52"/>
        <v>854.20716311660055</v>
      </c>
      <c r="I116" s="484">
        <f t="shared" si="52"/>
        <v>865.821408150818</v>
      </c>
      <c r="J116"/>
      <c r="K116"/>
      <c r="L116"/>
      <c r="M116"/>
      <c r="N116"/>
      <c r="O116"/>
    </row>
    <row r="117" spans="1:15" ht="15.75" customHeight="1" x14ac:dyDescent="0.2">
      <c r="A117" s="890"/>
      <c r="B117" s="482">
        <v>0.03</v>
      </c>
      <c r="C117" s="483">
        <f t="shared" ref="C117:I117" si="53">C95+C96+C103</f>
        <v>1018.4826927848039</v>
      </c>
      <c r="D117" s="483">
        <f t="shared" si="53"/>
        <v>911.86594128635261</v>
      </c>
      <c r="E117" s="483">
        <f t="shared" si="53"/>
        <v>783.92489741550071</v>
      </c>
      <c r="F117" s="483">
        <f t="shared" si="53"/>
        <v>703.96092826576637</v>
      </c>
      <c r="G117" s="483">
        <f t="shared" si="53"/>
        <v>549.01143941111854</v>
      </c>
      <c r="H117" s="483">
        <f t="shared" si="53"/>
        <v>878.82900012004734</v>
      </c>
      <c r="I117" s="484">
        <f t="shared" si="53"/>
        <v>890.77801646091973</v>
      </c>
      <c r="J117" s="473"/>
      <c r="K117"/>
      <c r="L117"/>
      <c r="M117"/>
      <c r="N117"/>
      <c r="O117"/>
    </row>
    <row r="118" spans="1:15" ht="24.75" customHeight="1" x14ac:dyDescent="0.2">
      <c r="A118" s="890"/>
      <c r="B118" s="659">
        <v>3.5000000000000003E-2</v>
      </c>
      <c r="C118" s="483">
        <f>C95+C96+C106</f>
        <v>1047.3441997969664</v>
      </c>
      <c r="D118" s="483">
        <f t="shared" ref="D118:I118" si="54">D95+D96+D106</f>
        <v>937.70616954455545</v>
      </c>
      <c r="E118" s="483">
        <f t="shared" si="54"/>
        <v>806.13956447273142</v>
      </c>
      <c r="F118" s="483">
        <f t="shared" si="54"/>
        <v>723.90959642808696</v>
      </c>
      <c r="G118" s="483">
        <f t="shared" si="54"/>
        <v>564.56918783490005</v>
      </c>
      <c r="H118" s="483">
        <f t="shared" si="54"/>
        <v>903.73303582840458</v>
      </c>
      <c r="I118" s="483">
        <f t="shared" si="54"/>
        <v>916.02066039635201</v>
      </c>
      <c r="J118" s="473"/>
      <c r="K118"/>
      <c r="L118"/>
      <c r="M118"/>
      <c r="N118"/>
      <c r="O118"/>
    </row>
    <row r="119" spans="1:15" ht="15.75" customHeight="1" x14ac:dyDescent="0.2">
      <c r="A119" s="890"/>
      <c r="B119" s="482">
        <v>0.04</v>
      </c>
      <c r="C119" s="483">
        <f t="shared" ref="C119:I119" si="55">C95+C96+C109</f>
        <v>1076.538404296301</v>
      </c>
      <c r="D119" s="483">
        <f t="shared" si="55"/>
        <v>963.84426786913514</v>
      </c>
      <c r="E119" s="483">
        <f t="shared" si="55"/>
        <v>828.61030838364798</v>
      </c>
      <c r="F119" s="483">
        <f t="shared" si="55"/>
        <v>744.08822041936821</v>
      </c>
      <c r="G119" s="483">
        <f t="shared" si="55"/>
        <v>580.30627629814876</v>
      </c>
      <c r="H119" s="483">
        <f t="shared" si="55"/>
        <v>928.92414975818383</v>
      </c>
      <c r="I119" s="484">
        <f t="shared" si="55"/>
        <v>941.55428581807178</v>
      </c>
      <c r="J119"/>
      <c r="K119"/>
      <c r="L119"/>
      <c r="M119"/>
      <c r="N119"/>
      <c r="O119"/>
    </row>
    <row r="120" spans="1:15" ht="15.75" customHeight="1" x14ac:dyDescent="0.2">
      <c r="A120" s="890"/>
      <c r="B120" s="485">
        <v>0.05</v>
      </c>
      <c r="C120" s="486">
        <f t="shared" ref="C120:I120" si="56">C95+C96+C112</f>
        <v>1135.9481848809526</v>
      </c>
      <c r="D120" s="486">
        <f t="shared" si="56"/>
        <v>1017.0349169378135</v>
      </c>
      <c r="E120" s="486">
        <f t="shared" si="56"/>
        <v>874.33794468049837</v>
      </c>
      <c r="F120" s="486">
        <f t="shared" si="56"/>
        <v>785.15142609258771</v>
      </c>
      <c r="G120" s="486">
        <f t="shared" si="56"/>
        <v>612.33102191723788</v>
      </c>
      <c r="H120" s="486">
        <f t="shared" si="56"/>
        <v>980.18769938788023</v>
      </c>
      <c r="I120" s="487">
        <f t="shared" si="56"/>
        <v>993.51484134098837</v>
      </c>
      <c r="J120"/>
      <c r="K120"/>
      <c r="L120"/>
      <c r="M120"/>
      <c r="N120"/>
      <c r="O120"/>
    </row>
    <row r="121" spans="1:15" ht="54.75" customHeight="1" x14ac:dyDescent="0.2">
      <c r="A121" s="394" t="s">
        <v>537</v>
      </c>
      <c r="B121" s="488"/>
      <c r="C121" s="489"/>
      <c r="D121" s="489"/>
      <c r="E121" s="489"/>
      <c r="F121" s="489"/>
      <c r="G121" s="489"/>
      <c r="H121" s="490"/>
      <c r="I121" s="491"/>
      <c r="J121"/>
      <c r="K121"/>
      <c r="L121"/>
      <c r="M121"/>
      <c r="N121"/>
      <c r="O121"/>
    </row>
    <row r="122" spans="1:15" ht="15.75" customHeight="1" x14ac:dyDescent="0.2">
      <c r="A122" s="492"/>
      <c r="B122" s="493"/>
      <c r="C122" s="494"/>
      <c r="D122" s="494"/>
      <c r="E122" s="494"/>
      <c r="F122" s="494"/>
      <c r="G122" s="494"/>
      <c r="H122" s="495"/>
      <c r="I122" s="496"/>
      <c r="J122"/>
      <c r="K122"/>
      <c r="L122"/>
      <c r="M122"/>
      <c r="N122"/>
      <c r="O122"/>
    </row>
    <row r="123" spans="1:15" ht="14.25" customHeight="1" x14ac:dyDescent="0.2">
      <c r="A123" s="891"/>
      <c r="B123" s="891"/>
      <c r="C123" s="891"/>
      <c r="D123" s="891"/>
      <c r="E123" s="891"/>
      <c r="F123" s="891"/>
      <c r="G123" s="891"/>
      <c r="H123" s="891"/>
      <c r="I123" s="891"/>
      <c r="J123"/>
      <c r="K123"/>
      <c r="L123"/>
      <c r="M123"/>
      <c r="N123"/>
      <c r="O123"/>
    </row>
    <row r="124" spans="1:15" ht="14.25" customHeight="1" x14ac:dyDescent="0.2">
      <c r="A124" s="892"/>
      <c r="B124" s="892"/>
      <c r="C124" s="892"/>
      <c r="D124" s="892"/>
      <c r="E124" s="892"/>
      <c r="F124" s="892"/>
      <c r="G124" s="892"/>
      <c r="H124" s="892"/>
      <c r="I124" s="892"/>
      <c r="J124"/>
      <c r="K124"/>
      <c r="L124"/>
      <c r="M124"/>
      <c r="N124"/>
      <c r="O124"/>
    </row>
    <row r="125" spans="1:15" ht="14.25" customHeight="1" x14ac:dyDescent="0.2">
      <c r="A125" s="893" t="s">
        <v>538</v>
      </c>
      <c r="B125" s="893"/>
      <c r="C125" s="497" t="str">
        <f t="shared" ref="C125:I125" si="57">C10</f>
        <v>Servente 40h (banheirista)
(insalubridade 40%)</v>
      </c>
      <c r="D125" s="497" t="str">
        <f t="shared" si="57"/>
        <v>Servente 40h
(insalubridade 20%)</v>
      </c>
      <c r="E125" s="497" t="str">
        <f t="shared" si="57"/>
        <v>Servente 30h (banheirista)
(insalubridade 40%)</v>
      </c>
      <c r="F125" s="497" t="str">
        <f t="shared" si="57"/>
        <v>Servente 30h
(insalubridade 20%)</v>
      </c>
      <c r="G125" s="497" t="str">
        <f t="shared" si="57"/>
        <v>Servente 20h
(insalubridade 20%)</v>
      </c>
      <c r="H125" s="498" t="str">
        <f t="shared" si="57"/>
        <v>Limpador alpinista 44h (limpeza de esquadrias com risco)</v>
      </c>
      <c r="I125" s="499" t="str">
        <f t="shared" si="57"/>
        <v>Encarregada 40h</v>
      </c>
      <c r="J125"/>
      <c r="K125"/>
      <c r="L125"/>
      <c r="M125"/>
      <c r="N125"/>
      <c r="O125"/>
    </row>
    <row r="126" spans="1:15" ht="14.25" customHeight="1" x14ac:dyDescent="0.2">
      <c r="A126" s="894" t="s">
        <v>539</v>
      </c>
      <c r="B126" s="894"/>
      <c r="C126" s="500" t="s">
        <v>465</v>
      </c>
      <c r="D126" s="500" t="s">
        <v>465</v>
      </c>
      <c r="E126" s="500" t="s">
        <v>465</v>
      </c>
      <c r="F126" s="500" t="s">
        <v>465</v>
      </c>
      <c r="G126" s="500" t="s">
        <v>465</v>
      </c>
      <c r="H126" s="500" t="s">
        <v>465</v>
      </c>
      <c r="I126" s="501" t="s">
        <v>465</v>
      </c>
      <c r="J126"/>
      <c r="K126"/>
      <c r="L126"/>
      <c r="M126"/>
      <c r="N126"/>
      <c r="O126"/>
    </row>
    <row r="127" spans="1:15" ht="15.75" customHeight="1" x14ac:dyDescent="0.2">
      <c r="A127" s="895" t="s">
        <v>540</v>
      </c>
      <c r="B127" s="895"/>
      <c r="C127" s="502">
        <f t="shared" ref="C127:I127" si="58">C19</f>
        <v>1672.4781818181816</v>
      </c>
      <c r="D127" s="502">
        <f t="shared" si="58"/>
        <v>1433.5527272727272</v>
      </c>
      <c r="E127" s="502">
        <f t="shared" si="58"/>
        <v>1254.3586363636364</v>
      </c>
      <c r="F127" s="502">
        <f t="shared" si="58"/>
        <v>1075.1645454545453</v>
      </c>
      <c r="G127" s="502">
        <f t="shared" si="58"/>
        <v>716.77636363636361</v>
      </c>
      <c r="H127" s="502">
        <f t="shared" si="58"/>
        <v>1669.75</v>
      </c>
      <c r="I127" s="503">
        <f t="shared" si="58"/>
        <v>1673.9117345454545</v>
      </c>
      <c r="J127"/>
      <c r="K127"/>
      <c r="L127"/>
      <c r="M127"/>
      <c r="N127"/>
      <c r="O127"/>
    </row>
    <row r="128" spans="1:15" ht="15.75" customHeight="1" x14ac:dyDescent="0.2">
      <c r="A128" s="874" t="s">
        <v>541</v>
      </c>
      <c r="B128" s="874"/>
      <c r="C128" s="504">
        <f t="shared" ref="C128:I128" si="59">C49</f>
        <v>1342.9977272727272</v>
      </c>
      <c r="D128" s="504">
        <f t="shared" si="59"/>
        <v>1218.7809090909091</v>
      </c>
      <c r="E128" s="504">
        <f t="shared" si="59"/>
        <v>963.70329545454547</v>
      </c>
      <c r="F128" s="504">
        <f t="shared" si="59"/>
        <v>870.53568181818173</v>
      </c>
      <c r="G128" s="504">
        <f t="shared" si="59"/>
        <v>702.06045454545449</v>
      </c>
      <c r="H128" s="504">
        <f t="shared" si="59"/>
        <v>1313.0819444444444</v>
      </c>
      <c r="I128" s="505">
        <f t="shared" si="59"/>
        <v>1314.997548181818</v>
      </c>
      <c r="J128"/>
      <c r="K128"/>
      <c r="L128"/>
      <c r="M128"/>
      <c r="N128"/>
      <c r="O128"/>
    </row>
    <row r="129" spans="1:15" ht="15.75" customHeight="1" x14ac:dyDescent="0.2">
      <c r="A129" s="874" t="s">
        <v>542</v>
      </c>
      <c r="B129" s="874"/>
      <c r="C129" s="504">
        <f t="shared" ref="C129:I129" si="60">C60</f>
        <v>109.54732090909087</v>
      </c>
      <c r="D129" s="504">
        <f t="shared" si="60"/>
        <v>93.897703636363616</v>
      </c>
      <c r="E129" s="504">
        <f t="shared" si="60"/>
        <v>82.160490681818175</v>
      </c>
      <c r="F129" s="504">
        <f t="shared" si="60"/>
        <v>70.423277727272705</v>
      </c>
      <c r="G129" s="504">
        <f t="shared" si="60"/>
        <v>46.948851818181808</v>
      </c>
      <c r="H129" s="504">
        <f t="shared" si="60"/>
        <v>109.36862499999998</v>
      </c>
      <c r="I129" s="505">
        <f t="shared" si="60"/>
        <v>109.64121861272724</v>
      </c>
      <c r="J129"/>
      <c r="K129"/>
      <c r="L129"/>
      <c r="M129"/>
      <c r="N129"/>
      <c r="O129"/>
    </row>
    <row r="130" spans="1:15" ht="15.75" customHeight="1" x14ac:dyDescent="0.2">
      <c r="A130" s="874" t="s">
        <v>543</v>
      </c>
      <c r="B130" s="874"/>
      <c r="C130" s="504">
        <f t="shared" ref="C130:H130" si="61">C80</f>
        <v>339.92804401938315</v>
      </c>
      <c r="D130" s="504">
        <f t="shared" si="61"/>
        <v>298.1235429518411</v>
      </c>
      <c r="E130" s="504">
        <f t="shared" si="61"/>
        <v>250.63307475309153</v>
      </c>
      <c r="F130" s="504">
        <f t="shared" si="61"/>
        <v>219.27915424101693</v>
      </c>
      <c r="G130" s="504">
        <f t="shared" si="61"/>
        <v>158.35098372056223</v>
      </c>
      <c r="H130" s="504">
        <f t="shared" si="61"/>
        <v>336.61059487717586</v>
      </c>
      <c r="I130" s="505">
        <f>I69</f>
        <v>308.8106019202184</v>
      </c>
      <c r="J130"/>
      <c r="K130"/>
      <c r="L130"/>
      <c r="M130"/>
      <c r="N130"/>
      <c r="O130"/>
    </row>
    <row r="131" spans="1:15" ht="15.75" customHeight="1" x14ac:dyDescent="0.2">
      <c r="A131" s="874" t="s">
        <v>544</v>
      </c>
      <c r="B131" s="874"/>
      <c r="C131" s="504">
        <f t="shared" ref="C131:I131" si="62">C91</f>
        <v>552.89900681818176</v>
      </c>
      <c r="D131" s="504">
        <f t="shared" si="62"/>
        <v>552.89900681818176</v>
      </c>
      <c r="E131" s="504">
        <f t="shared" si="62"/>
        <v>541.67900681818185</v>
      </c>
      <c r="F131" s="504">
        <f t="shared" si="62"/>
        <v>541.67900681818185</v>
      </c>
      <c r="G131" s="504">
        <f t="shared" si="62"/>
        <v>541.67900681818185</v>
      </c>
      <c r="H131" s="504">
        <f t="shared" si="62"/>
        <v>38.114066666666666</v>
      </c>
      <c r="I131" s="505">
        <f t="shared" si="62"/>
        <v>78.19874999999999</v>
      </c>
      <c r="J131"/>
      <c r="K131"/>
      <c r="L131"/>
      <c r="M131"/>
      <c r="N131"/>
      <c r="O131"/>
    </row>
    <row r="132" spans="1:15" ht="15.75" customHeight="1" x14ac:dyDescent="0.2">
      <c r="A132" s="896" t="s">
        <v>545</v>
      </c>
      <c r="B132" s="896"/>
      <c r="C132" s="506">
        <f t="shared" ref="C132:I132" si="63">SUM(C127:C131)</f>
        <v>4017.8502808375652</v>
      </c>
      <c r="D132" s="506">
        <f t="shared" si="63"/>
        <v>3597.2538897700224</v>
      </c>
      <c r="E132" s="506">
        <f t="shared" si="63"/>
        <v>3092.5345040712732</v>
      </c>
      <c r="F132" s="506">
        <f t="shared" si="63"/>
        <v>2777.0816660591986</v>
      </c>
      <c r="G132" s="506">
        <f t="shared" si="63"/>
        <v>2165.8156605387439</v>
      </c>
      <c r="H132" s="507">
        <f t="shared" si="63"/>
        <v>3466.9252309882868</v>
      </c>
      <c r="I132" s="508">
        <f t="shared" si="63"/>
        <v>3485.559853260218</v>
      </c>
      <c r="J132"/>
      <c r="K132"/>
      <c r="L132"/>
      <c r="M132"/>
      <c r="N132"/>
      <c r="O132"/>
    </row>
    <row r="133" spans="1:15" ht="15.75" customHeight="1" x14ac:dyDescent="0.2">
      <c r="A133" s="877" t="s">
        <v>546</v>
      </c>
      <c r="B133" s="877"/>
      <c r="C133" s="509">
        <f t="shared" ref="C133:I135" si="64">C115</f>
        <v>961.73527899750968</v>
      </c>
      <c r="D133" s="509">
        <f t="shared" si="64"/>
        <v>861.05895727444999</v>
      </c>
      <c r="E133" s="509">
        <f t="shared" si="64"/>
        <v>740.2464816241004</v>
      </c>
      <c r="F133" s="509">
        <f t="shared" si="64"/>
        <v>664.73791311844275</v>
      </c>
      <c r="G133" s="509">
        <f t="shared" si="64"/>
        <v>518.42183828492296</v>
      </c>
      <c r="H133" s="509">
        <f t="shared" si="64"/>
        <v>829.86275526248869</v>
      </c>
      <c r="I133" s="510">
        <f t="shared" si="64"/>
        <v>841.14600106111197</v>
      </c>
      <c r="J133"/>
      <c r="K133"/>
      <c r="L133"/>
      <c r="M133"/>
      <c r="N133"/>
      <c r="O133"/>
    </row>
    <row r="134" spans="1:15" ht="15.75" customHeight="1" x14ac:dyDescent="0.2">
      <c r="A134" s="874" t="s">
        <v>547</v>
      </c>
      <c r="B134" s="874"/>
      <c r="C134" s="511">
        <f t="shared" si="64"/>
        <v>989.94822834501713</v>
      </c>
      <c r="D134" s="511">
        <f t="shared" si="64"/>
        <v>886.3185201472229</v>
      </c>
      <c r="E134" s="511">
        <f t="shared" si="64"/>
        <v>761.96195463087292</v>
      </c>
      <c r="F134" s="511">
        <f t="shared" si="64"/>
        <v>684.23830733474665</v>
      </c>
      <c r="G134" s="511">
        <f t="shared" si="64"/>
        <v>533.62998275417885</v>
      </c>
      <c r="H134" s="511">
        <f t="shared" si="64"/>
        <v>854.20716311660055</v>
      </c>
      <c r="I134" s="512">
        <f t="shared" si="64"/>
        <v>865.821408150818</v>
      </c>
      <c r="J134"/>
      <c r="K134"/>
      <c r="L134"/>
      <c r="M134"/>
      <c r="N134"/>
      <c r="O134"/>
    </row>
    <row r="135" spans="1:15" ht="15.75" customHeight="1" x14ac:dyDescent="0.2">
      <c r="A135" s="874" t="s">
        <v>548</v>
      </c>
      <c r="B135" s="874"/>
      <c r="C135" s="511">
        <f t="shared" si="64"/>
        <v>1018.4826927848039</v>
      </c>
      <c r="D135" s="511">
        <f t="shared" si="64"/>
        <v>911.86594128635261</v>
      </c>
      <c r="E135" s="511">
        <f t="shared" si="64"/>
        <v>783.92489741550071</v>
      </c>
      <c r="F135" s="511">
        <f t="shared" si="64"/>
        <v>703.96092826576637</v>
      </c>
      <c r="G135" s="511">
        <f t="shared" si="64"/>
        <v>549.01143941111854</v>
      </c>
      <c r="H135" s="511">
        <f t="shared" si="64"/>
        <v>878.82900012004734</v>
      </c>
      <c r="I135" s="512">
        <f t="shared" si="64"/>
        <v>890.77801646091973</v>
      </c>
      <c r="J135"/>
      <c r="K135"/>
      <c r="L135"/>
      <c r="M135"/>
      <c r="N135"/>
      <c r="O135"/>
    </row>
    <row r="136" spans="1:15" ht="15.75" customHeight="1" x14ac:dyDescent="0.2">
      <c r="A136" s="874" t="s">
        <v>549</v>
      </c>
      <c r="B136" s="874"/>
      <c r="C136" s="511">
        <f>C118</f>
        <v>1047.3441997969664</v>
      </c>
      <c r="D136" s="511">
        <f t="shared" ref="D136:I136" si="65">D118</f>
        <v>937.70616954455545</v>
      </c>
      <c r="E136" s="511">
        <f t="shared" si="65"/>
        <v>806.13956447273142</v>
      </c>
      <c r="F136" s="511">
        <f t="shared" si="65"/>
        <v>723.90959642808696</v>
      </c>
      <c r="G136" s="511">
        <f t="shared" si="65"/>
        <v>564.56918783490005</v>
      </c>
      <c r="H136" s="511">
        <f t="shared" si="65"/>
        <v>903.73303582840458</v>
      </c>
      <c r="I136" s="511">
        <f t="shared" si="65"/>
        <v>916.02066039635201</v>
      </c>
      <c r="J136"/>
      <c r="K136"/>
      <c r="L136"/>
      <c r="M136"/>
      <c r="N136"/>
      <c r="O136"/>
    </row>
    <row r="137" spans="1:15" ht="15.75" customHeight="1" x14ac:dyDescent="0.2">
      <c r="A137" s="874" t="s">
        <v>550</v>
      </c>
      <c r="B137" s="874"/>
      <c r="C137" s="511">
        <f>C119</f>
        <v>1076.538404296301</v>
      </c>
      <c r="D137" s="511">
        <f t="shared" ref="D137:I138" si="66">D119</f>
        <v>963.84426786913514</v>
      </c>
      <c r="E137" s="511">
        <f t="shared" si="66"/>
        <v>828.61030838364798</v>
      </c>
      <c r="F137" s="511">
        <f t="shared" si="66"/>
        <v>744.08822041936821</v>
      </c>
      <c r="G137" s="511">
        <f t="shared" si="66"/>
        <v>580.30627629814876</v>
      </c>
      <c r="H137" s="511">
        <f t="shared" si="66"/>
        <v>928.92414975818383</v>
      </c>
      <c r="I137" s="512">
        <f t="shared" si="66"/>
        <v>941.55428581807178</v>
      </c>
      <c r="J137"/>
      <c r="K137"/>
      <c r="L137"/>
      <c r="M137"/>
      <c r="N137"/>
      <c r="O137"/>
    </row>
    <row r="138" spans="1:15" ht="15.75" customHeight="1" x14ac:dyDescent="0.2">
      <c r="A138" s="877" t="s">
        <v>551</v>
      </c>
      <c r="B138" s="877"/>
      <c r="C138" s="511">
        <f>C120</f>
        <v>1135.9481848809526</v>
      </c>
      <c r="D138" s="511">
        <f t="shared" si="66"/>
        <v>1017.0349169378135</v>
      </c>
      <c r="E138" s="511">
        <f t="shared" si="66"/>
        <v>874.33794468049837</v>
      </c>
      <c r="F138" s="511">
        <f t="shared" si="66"/>
        <v>785.15142609258771</v>
      </c>
      <c r="G138" s="511">
        <f t="shared" si="66"/>
        <v>612.33102191723788</v>
      </c>
      <c r="H138" s="511">
        <f t="shared" si="66"/>
        <v>980.18769938788023</v>
      </c>
      <c r="I138" s="512">
        <f t="shared" si="66"/>
        <v>993.51484134098837</v>
      </c>
      <c r="J138"/>
      <c r="K138"/>
      <c r="L138"/>
      <c r="M138"/>
      <c r="N138"/>
      <c r="O138"/>
    </row>
    <row r="139" spans="1:15" ht="15.75" customHeight="1" x14ac:dyDescent="0.2">
      <c r="A139" s="513" t="s">
        <v>552</v>
      </c>
      <c r="B139" s="514"/>
      <c r="C139" s="515">
        <f t="shared" ref="C139:I139" si="67">C132+C133</f>
        <v>4979.5855598350745</v>
      </c>
      <c r="D139" s="515">
        <f t="shared" si="67"/>
        <v>4458.3128470444726</v>
      </c>
      <c r="E139" s="515">
        <f t="shared" si="67"/>
        <v>3832.7809856953736</v>
      </c>
      <c r="F139" s="515">
        <f t="shared" si="67"/>
        <v>3441.8195791776416</v>
      </c>
      <c r="G139" s="515">
        <f t="shared" si="67"/>
        <v>2684.237498823667</v>
      </c>
      <c r="H139" s="515">
        <f t="shared" si="67"/>
        <v>4296.7879862507752</v>
      </c>
      <c r="I139" s="516">
        <f t="shared" si="67"/>
        <v>4326.7058543213298</v>
      </c>
      <c r="J139"/>
      <c r="K139"/>
      <c r="L139"/>
      <c r="M139"/>
      <c r="N139"/>
      <c r="O139"/>
    </row>
    <row r="140" spans="1:15" ht="15.75" customHeight="1" x14ac:dyDescent="0.2">
      <c r="A140" s="517" t="s">
        <v>553</v>
      </c>
      <c r="B140" s="518"/>
      <c r="C140" s="519">
        <f t="shared" ref="C140:I140" si="68">C132+C134</f>
        <v>5007.7985091825822</v>
      </c>
      <c r="D140" s="519">
        <f t="shared" si="68"/>
        <v>4483.5724099172457</v>
      </c>
      <c r="E140" s="519">
        <f t="shared" si="68"/>
        <v>3854.4964587021459</v>
      </c>
      <c r="F140" s="519">
        <f t="shared" si="68"/>
        <v>3461.3199733939455</v>
      </c>
      <c r="G140" s="519">
        <f t="shared" si="68"/>
        <v>2699.4456432929228</v>
      </c>
      <c r="H140" s="519">
        <f t="shared" si="68"/>
        <v>4321.1323941048877</v>
      </c>
      <c r="I140" s="520">
        <f t="shared" si="68"/>
        <v>4351.3812614110357</v>
      </c>
      <c r="J140"/>
      <c r="K140"/>
      <c r="L140"/>
      <c r="M140"/>
      <c r="N140"/>
      <c r="O140"/>
    </row>
    <row r="141" spans="1:15" ht="15.75" customHeight="1" x14ac:dyDescent="0.2">
      <c r="A141" s="517" t="s">
        <v>554</v>
      </c>
      <c r="B141" s="518"/>
      <c r="C141" s="519">
        <f t="shared" ref="C141:I141" si="69">C132+C135</f>
        <v>5036.3329736223695</v>
      </c>
      <c r="D141" s="519">
        <f t="shared" si="69"/>
        <v>4509.119831056375</v>
      </c>
      <c r="E141" s="519">
        <f t="shared" si="69"/>
        <v>3876.4594014867739</v>
      </c>
      <c r="F141" s="519">
        <f t="shared" si="69"/>
        <v>3481.0425943249647</v>
      </c>
      <c r="G141" s="519">
        <f t="shared" si="69"/>
        <v>2714.8270999498627</v>
      </c>
      <c r="H141" s="519">
        <f t="shared" si="69"/>
        <v>4345.7542311083344</v>
      </c>
      <c r="I141" s="520">
        <f t="shared" si="69"/>
        <v>4376.3378697211374</v>
      </c>
      <c r="J141"/>
      <c r="K141"/>
      <c r="L141"/>
      <c r="M141"/>
      <c r="N141"/>
      <c r="O141"/>
    </row>
    <row r="142" spans="1:15" ht="15.75" customHeight="1" x14ac:dyDescent="0.2">
      <c r="A142" s="517" t="s">
        <v>555</v>
      </c>
      <c r="B142" s="518"/>
      <c r="C142" s="519">
        <f>C132+C136</f>
        <v>5065.1944806345318</v>
      </c>
      <c r="D142" s="519">
        <f t="shared" ref="D142:I142" si="70">D132+D136</f>
        <v>4534.9600593145778</v>
      </c>
      <c r="E142" s="519">
        <f t="shared" si="70"/>
        <v>3898.6740685440045</v>
      </c>
      <c r="F142" s="519">
        <f t="shared" si="70"/>
        <v>3500.9912624872854</v>
      </c>
      <c r="G142" s="519">
        <f t="shared" si="70"/>
        <v>2730.3848483736438</v>
      </c>
      <c r="H142" s="519">
        <f t="shared" si="70"/>
        <v>4370.6582668166911</v>
      </c>
      <c r="I142" s="519">
        <f t="shared" si="70"/>
        <v>4401.5805136565705</v>
      </c>
      <c r="J142"/>
      <c r="K142"/>
      <c r="L142"/>
      <c r="M142"/>
      <c r="N142"/>
      <c r="O142"/>
    </row>
    <row r="143" spans="1:15" ht="15.75" customHeight="1" x14ac:dyDescent="0.2">
      <c r="A143" s="517" t="s">
        <v>556</v>
      </c>
      <c r="B143" s="518"/>
      <c r="C143" s="519">
        <f t="shared" ref="C143:I143" si="71">C132+C137</f>
        <v>5094.3886851338666</v>
      </c>
      <c r="D143" s="519">
        <f t="shared" si="71"/>
        <v>4561.0981576391578</v>
      </c>
      <c r="E143" s="519">
        <f t="shared" si="71"/>
        <v>3921.1448124549211</v>
      </c>
      <c r="F143" s="519">
        <f t="shared" si="71"/>
        <v>3521.1698864785667</v>
      </c>
      <c r="G143" s="519">
        <f t="shared" si="71"/>
        <v>2746.1219368368929</v>
      </c>
      <c r="H143" s="519">
        <f t="shared" si="71"/>
        <v>4395.8493807464711</v>
      </c>
      <c r="I143" s="520">
        <f t="shared" si="71"/>
        <v>4427.1141390782896</v>
      </c>
      <c r="J143"/>
      <c r="K143"/>
      <c r="L143"/>
      <c r="M143"/>
      <c r="N143"/>
      <c r="O143"/>
    </row>
    <row r="144" spans="1:15" ht="13.9" customHeight="1" x14ac:dyDescent="0.2">
      <c r="A144" s="517" t="s">
        <v>557</v>
      </c>
      <c r="B144" s="518"/>
      <c r="C144" s="519">
        <f t="shared" ref="C144:I144" si="72">C132+C138</f>
        <v>5153.7984657185179</v>
      </c>
      <c r="D144" s="519">
        <f t="shared" si="72"/>
        <v>4614.2888067078356</v>
      </c>
      <c r="E144" s="519">
        <f t="shared" si="72"/>
        <v>3966.8724487517716</v>
      </c>
      <c r="F144" s="519">
        <f t="shared" si="72"/>
        <v>3562.2330921517864</v>
      </c>
      <c r="G144" s="519">
        <f t="shared" si="72"/>
        <v>2778.146682455982</v>
      </c>
      <c r="H144" s="519">
        <f t="shared" si="72"/>
        <v>4447.1129303761672</v>
      </c>
      <c r="I144" s="520">
        <f t="shared" si="72"/>
        <v>4479.0746946012059</v>
      </c>
      <c r="J144"/>
      <c r="K144"/>
      <c r="L144"/>
      <c r="M144"/>
      <c r="N144"/>
      <c r="O144"/>
    </row>
    <row r="145" spans="1:15" ht="14.25" customHeight="1" x14ac:dyDescent="0.2">
      <c r="A145" s="521" t="s">
        <v>558</v>
      </c>
      <c r="B145" s="522"/>
      <c r="C145" s="523">
        <f t="shared" ref="C145:C150" si="73">C139/200</f>
        <v>24.897927799175374</v>
      </c>
      <c r="D145" s="523"/>
      <c r="E145" s="523"/>
      <c r="F145" s="523"/>
      <c r="G145" s="523"/>
      <c r="H145" s="524"/>
      <c r="I145" s="525"/>
      <c r="J145"/>
      <c r="K145"/>
      <c r="L145"/>
      <c r="M145"/>
      <c r="N145"/>
      <c r="O145"/>
    </row>
    <row r="146" spans="1:15" ht="24.6" customHeight="1" x14ac:dyDescent="0.2">
      <c r="A146" s="526" t="s">
        <v>559</v>
      </c>
      <c r="B146" s="527"/>
      <c r="C146" s="528">
        <f t="shared" si="73"/>
        <v>25.038992545912912</v>
      </c>
      <c r="D146" s="528"/>
      <c r="E146" s="528"/>
      <c r="F146" s="528"/>
      <c r="G146" s="528"/>
      <c r="H146" s="529"/>
      <c r="I146" s="530"/>
      <c r="J146"/>
      <c r="K146"/>
      <c r="L146"/>
      <c r="M146"/>
      <c r="N146"/>
      <c r="O146"/>
    </row>
    <row r="147" spans="1:15" ht="13.9" customHeight="1" x14ac:dyDescent="0.2">
      <c r="A147" s="526" t="s">
        <v>560</v>
      </c>
      <c r="B147" s="527"/>
      <c r="C147" s="528">
        <f t="shared" si="73"/>
        <v>25.181664868111849</v>
      </c>
      <c r="D147" s="528"/>
      <c r="E147" s="528"/>
      <c r="F147" s="528"/>
      <c r="G147" s="528"/>
      <c r="H147" s="529"/>
      <c r="I147" s="530"/>
      <c r="J147"/>
      <c r="K147"/>
      <c r="L147"/>
      <c r="M147"/>
      <c r="N147"/>
      <c r="O147"/>
    </row>
    <row r="148" spans="1:15" ht="15.95" customHeight="1" x14ac:dyDescent="0.2">
      <c r="A148" s="526" t="s">
        <v>561</v>
      </c>
      <c r="B148" s="527"/>
      <c r="C148" s="528">
        <f t="shared" si="73"/>
        <v>25.32597240317266</v>
      </c>
      <c r="D148" s="528"/>
      <c r="E148" s="528"/>
      <c r="F148" s="528"/>
      <c r="G148" s="528"/>
      <c r="H148" s="529"/>
      <c r="I148" s="530"/>
      <c r="J148"/>
      <c r="K148"/>
      <c r="L148"/>
      <c r="M148"/>
      <c r="N148"/>
      <c r="O148" s="543"/>
    </row>
    <row r="149" spans="1:15" ht="13.9" customHeight="1" x14ac:dyDescent="0.2">
      <c r="A149" s="526" t="s">
        <v>562</v>
      </c>
      <c r="B149" s="527"/>
      <c r="C149" s="528">
        <f t="shared" si="73"/>
        <v>25.471943425669334</v>
      </c>
      <c r="D149" s="528"/>
      <c r="E149" s="528"/>
      <c r="F149" s="528"/>
      <c r="G149" s="528"/>
      <c r="H149" s="529"/>
      <c r="I149" s="530"/>
      <c r="J149"/>
      <c r="K149"/>
      <c r="L149"/>
      <c r="M149"/>
      <c r="N149"/>
      <c r="O149"/>
    </row>
    <row r="150" spans="1:15" ht="13.9" customHeight="1" x14ac:dyDescent="0.2">
      <c r="A150" s="531" t="s">
        <v>563</v>
      </c>
      <c r="B150" s="532"/>
      <c r="C150" s="533">
        <f t="shared" si="73"/>
        <v>25.768992328592589</v>
      </c>
      <c r="D150" s="533"/>
      <c r="E150" s="533"/>
      <c r="F150" s="533"/>
      <c r="G150" s="533"/>
      <c r="H150" s="534"/>
      <c r="I150" s="535"/>
      <c r="J150"/>
      <c r="K150"/>
      <c r="L150"/>
      <c r="M150"/>
      <c r="N150"/>
      <c r="O150"/>
    </row>
    <row r="151" spans="1:15" ht="14.25" customHeight="1" x14ac:dyDescent="0.2">
      <c r="A151" s="536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ht="26.1" customHeight="1" x14ac:dyDescent="0.2">
      <c r="A152" s="875" t="s">
        <v>564</v>
      </c>
      <c r="B152" s="875"/>
      <c r="C152" s="875" t="s">
        <v>565</v>
      </c>
      <c r="D152" s="875"/>
      <c r="E152" s="876" t="s">
        <v>566</v>
      </c>
      <c r="F152" s="876"/>
      <c r="G152" s="875" t="s">
        <v>567</v>
      </c>
      <c r="H152" s="875"/>
      <c r="I152" s="875" t="s">
        <v>568</v>
      </c>
      <c r="J152" s="875"/>
      <c r="K152" s="875" t="s">
        <v>569</v>
      </c>
      <c r="L152" s="875"/>
      <c r="M152" s="875" t="s">
        <v>570</v>
      </c>
      <c r="N152" s="875"/>
      <c r="O152"/>
    </row>
    <row r="153" spans="1:15" ht="38.25" x14ac:dyDescent="0.2">
      <c r="A153" s="537" t="s">
        <v>571</v>
      </c>
      <c r="B153" s="538" t="s">
        <v>572</v>
      </c>
      <c r="C153" s="538" t="s">
        <v>573</v>
      </c>
      <c r="D153" s="538" t="s">
        <v>574</v>
      </c>
      <c r="E153" s="538" t="s">
        <v>573</v>
      </c>
      <c r="F153" s="538" t="s">
        <v>574</v>
      </c>
      <c r="G153" s="538" t="s">
        <v>573</v>
      </c>
      <c r="H153" s="538" t="s">
        <v>574</v>
      </c>
      <c r="I153" s="538" t="s">
        <v>573</v>
      </c>
      <c r="J153" s="538" t="s">
        <v>574</v>
      </c>
      <c r="K153" s="538" t="s">
        <v>573</v>
      </c>
      <c r="L153" s="538" t="s">
        <v>574</v>
      </c>
      <c r="M153" s="538" t="s">
        <v>573</v>
      </c>
      <c r="N153" s="538" t="s">
        <v>574</v>
      </c>
      <c r="O153"/>
    </row>
    <row r="154" spans="1:15" ht="15.95" customHeight="1" x14ac:dyDescent="0.2">
      <c r="A154" s="539" t="s">
        <v>575</v>
      </c>
      <c r="B154" s="540">
        <f>1/'Prod. GEXSTM'!D19</f>
        <v>1.25E-3</v>
      </c>
      <c r="C154" s="541">
        <f>D139</f>
        <v>4458.3128470444726</v>
      </c>
      <c r="D154" s="541">
        <f>B154*C154</f>
        <v>5.5728910588055909</v>
      </c>
      <c r="E154" s="541">
        <f>D140</f>
        <v>4483.5724099172457</v>
      </c>
      <c r="F154" s="541">
        <f>B154*E154</f>
        <v>5.6044655123965574</v>
      </c>
      <c r="G154" s="541">
        <f>D141</f>
        <v>4509.119831056375</v>
      </c>
      <c r="H154" s="541">
        <f>B154*G154</f>
        <v>5.6363997888204684</v>
      </c>
      <c r="I154" s="541">
        <f>D142</f>
        <v>4534.9600593145778</v>
      </c>
      <c r="J154" s="541">
        <f>B154*I154</f>
        <v>5.6687000741432225</v>
      </c>
      <c r="K154" s="541">
        <f>D143</f>
        <v>4561.0981576391578</v>
      </c>
      <c r="L154" s="541">
        <f>B154*K154</f>
        <v>5.7013726970489476</v>
      </c>
      <c r="M154" s="541">
        <f>D144</f>
        <v>4614.2888067078356</v>
      </c>
      <c r="N154" s="541">
        <f>B154*M154</f>
        <v>5.767861008384795</v>
      </c>
      <c r="O154" s="543"/>
    </row>
    <row r="155" spans="1:15" ht="13.9" customHeight="1" x14ac:dyDescent="0.2">
      <c r="A155" s="542" t="s">
        <v>576</v>
      </c>
      <c r="B155" s="540">
        <f>B154/'Prod. GEXSTM'!Q19</f>
        <v>5.6818181818181818E-5</v>
      </c>
      <c r="C155" s="541">
        <f>I139</f>
        <v>4326.7058543213298</v>
      </c>
      <c r="D155" s="541">
        <f>C155*B155</f>
        <v>0.245835559904621</v>
      </c>
      <c r="E155" s="541">
        <f>I139</f>
        <v>4326.7058543213298</v>
      </c>
      <c r="F155" s="541">
        <f>B155*E155</f>
        <v>0.245835559904621</v>
      </c>
      <c r="G155" s="541">
        <f>I139</f>
        <v>4326.7058543213298</v>
      </c>
      <c r="H155" s="541">
        <f>B155*G155</f>
        <v>0.245835559904621</v>
      </c>
      <c r="I155" s="541">
        <f>I139</f>
        <v>4326.7058543213298</v>
      </c>
      <c r="J155" s="541">
        <f>B155*I155</f>
        <v>0.245835559904621</v>
      </c>
      <c r="K155" s="541">
        <f>I139</f>
        <v>4326.7058543213298</v>
      </c>
      <c r="L155" s="541">
        <f>B155*K155</f>
        <v>0.245835559904621</v>
      </c>
      <c r="M155" s="541">
        <f>I139</f>
        <v>4326.7058543213298</v>
      </c>
      <c r="N155" s="541">
        <f>B155*M155</f>
        <v>0.245835559904621</v>
      </c>
    </row>
    <row r="156" spans="1:15" ht="13.9" customHeight="1" x14ac:dyDescent="0.2">
      <c r="A156" s="544" t="s">
        <v>579</v>
      </c>
      <c r="B156" s="545"/>
      <c r="C156" s="546"/>
      <c r="D156" s="546">
        <f>SUM(D154:D155)</f>
        <v>5.8187266187102118</v>
      </c>
      <c r="E156" s="546"/>
      <c r="F156" s="546">
        <f>SUM(F154:F155)</f>
        <v>5.8503010723011784</v>
      </c>
      <c r="G156" s="546"/>
      <c r="H156" s="546">
        <f>SUM(H154:H155)</f>
        <v>5.8822353487250894</v>
      </c>
      <c r="I156" s="546"/>
      <c r="J156" s="546">
        <f>SUM(J154:J155)</f>
        <v>5.9145356340478434</v>
      </c>
      <c r="K156" s="546"/>
      <c r="L156" s="546">
        <f>SUM(L154:L155)</f>
        <v>5.9472082569535685</v>
      </c>
      <c r="M156" s="546"/>
      <c r="N156" s="546">
        <f>SUM(N154:N155)</f>
        <v>6.0136965682894159</v>
      </c>
    </row>
    <row r="157" spans="1:15" ht="14.25" customHeight="1" x14ac:dyDescent="0.2">
      <c r="A157" s="536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5" ht="26.1" customHeight="1" x14ac:dyDescent="0.2">
      <c r="A158" s="875" t="s">
        <v>580</v>
      </c>
      <c r="B158" s="875"/>
      <c r="C158" s="875" t="s">
        <v>565</v>
      </c>
      <c r="D158" s="875"/>
      <c r="E158" s="876" t="s">
        <v>566</v>
      </c>
      <c r="F158" s="876"/>
      <c r="G158" s="875" t="s">
        <v>567</v>
      </c>
      <c r="H158" s="875"/>
      <c r="I158" s="875" t="s">
        <v>568</v>
      </c>
      <c r="J158" s="875"/>
      <c r="K158" s="875" t="s">
        <v>569</v>
      </c>
      <c r="L158" s="875"/>
      <c r="M158" s="875" t="s">
        <v>570</v>
      </c>
      <c r="N158" s="875"/>
    </row>
    <row r="159" spans="1:15" ht="38.25" x14ac:dyDescent="0.2">
      <c r="A159" s="537" t="s">
        <v>571</v>
      </c>
      <c r="B159" s="538" t="s">
        <v>572</v>
      </c>
      <c r="C159" s="538" t="s">
        <v>573</v>
      </c>
      <c r="D159" s="538" t="s">
        <v>574</v>
      </c>
      <c r="E159" s="538" t="s">
        <v>573</v>
      </c>
      <c r="F159" s="538" t="s">
        <v>574</v>
      </c>
      <c r="G159" s="538" t="s">
        <v>573</v>
      </c>
      <c r="H159" s="538" t="s">
        <v>574</v>
      </c>
      <c r="I159" s="538" t="s">
        <v>573</v>
      </c>
      <c r="J159" s="538" t="s">
        <v>574</v>
      </c>
      <c r="K159" s="538" t="s">
        <v>573</v>
      </c>
      <c r="L159" s="538" t="s">
        <v>574</v>
      </c>
      <c r="M159" s="538" t="s">
        <v>573</v>
      </c>
      <c r="N159" s="538" t="s">
        <v>574</v>
      </c>
    </row>
    <row r="160" spans="1:15" ht="13.9" customHeight="1" x14ac:dyDescent="0.2">
      <c r="A160" s="539" t="s">
        <v>575</v>
      </c>
      <c r="B160" s="540">
        <f>1/'Prod. GEXSTM'!E19</f>
        <v>1.25E-3</v>
      </c>
      <c r="C160" s="549">
        <f>C139</f>
        <v>4979.5855598350745</v>
      </c>
      <c r="D160" s="541">
        <f>B160*C160</f>
        <v>6.2244819497938435</v>
      </c>
      <c r="E160" s="549">
        <f>C140</f>
        <v>5007.7985091825822</v>
      </c>
      <c r="F160" s="541">
        <f>B160*E160</f>
        <v>6.2597481364782279</v>
      </c>
      <c r="G160" s="549">
        <f>C141</f>
        <v>5036.3329736223695</v>
      </c>
      <c r="H160" s="541">
        <f>B160*G160</f>
        <v>6.2954162170279622</v>
      </c>
      <c r="I160" s="549">
        <f>C142</f>
        <v>5065.1944806345318</v>
      </c>
      <c r="J160" s="541">
        <f>B160*I160</f>
        <v>6.331493100793165</v>
      </c>
      <c r="K160" s="549">
        <f>C143</f>
        <v>5094.3886851338666</v>
      </c>
      <c r="L160" s="541">
        <f>B160*K160</f>
        <v>6.3679858564173335</v>
      </c>
      <c r="M160" s="549">
        <f>C144</f>
        <v>5153.7984657185179</v>
      </c>
      <c r="N160" s="541">
        <f>B160*M160</f>
        <v>6.4422480821481471</v>
      </c>
    </row>
    <row r="161" spans="1:14" ht="13.9" customHeight="1" x14ac:dyDescent="0.2">
      <c r="A161" s="542" t="s">
        <v>576</v>
      </c>
      <c r="B161" s="540">
        <f>B160/'Prod. GEXSTM'!Q19</f>
        <v>5.6818181818181818E-5</v>
      </c>
      <c r="C161" s="541">
        <f>I139</f>
        <v>4326.7058543213298</v>
      </c>
      <c r="D161" s="541">
        <f>C161*B161</f>
        <v>0.245835559904621</v>
      </c>
      <c r="E161" s="541">
        <f>I139</f>
        <v>4326.7058543213298</v>
      </c>
      <c r="F161" s="541">
        <f>B161*E161</f>
        <v>0.245835559904621</v>
      </c>
      <c r="G161" s="541">
        <f>I139</f>
        <v>4326.7058543213298</v>
      </c>
      <c r="H161" s="541">
        <f>B161*G161</f>
        <v>0.245835559904621</v>
      </c>
      <c r="I161" s="541">
        <f>I139</f>
        <v>4326.7058543213298</v>
      </c>
      <c r="J161" s="541">
        <f>B161*I161</f>
        <v>0.245835559904621</v>
      </c>
      <c r="K161" s="541">
        <f>I139</f>
        <v>4326.7058543213298</v>
      </c>
      <c r="L161" s="541">
        <f>B161*K161</f>
        <v>0.245835559904621</v>
      </c>
      <c r="M161" s="541">
        <f>I139</f>
        <v>4326.7058543213298</v>
      </c>
      <c r="N161" s="541">
        <f>B161*M161</f>
        <v>0.245835559904621</v>
      </c>
    </row>
    <row r="162" spans="1:14" ht="13.9" customHeight="1" x14ac:dyDescent="0.2">
      <c r="A162" s="544" t="s">
        <v>579</v>
      </c>
      <c r="B162" s="545"/>
      <c r="C162" s="546"/>
      <c r="D162" s="546">
        <f>SUM(D160:D161)</f>
        <v>6.4703175096984644</v>
      </c>
      <c r="E162" s="546"/>
      <c r="F162" s="546">
        <f>SUM(F160:F161)</f>
        <v>6.5055836963828488</v>
      </c>
      <c r="G162" s="546"/>
      <c r="H162" s="546">
        <f>SUM(H160:H161)</f>
        <v>6.5412517769325831</v>
      </c>
      <c r="I162" s="546"/>
      <c r="J162" s="546">
        <f>SUM(J160:J161)</f>
        <v>6.5773286606977859</v>
      </c>
      <c r="K162" s="546"/>
      <c r="L162" s="546">
        <f>SUM(L160:L161)</f>
        <v>6.6138214163219544</v>
      </c>
      <c r="M162" s="546"/>
      <c r="N162" s="546">
        <f>SUM(N160:N161)</f>
        <v>6.6880836420527681</v>
      </c>
    </row>
    <row r="163" spans="1:14" ht="14.25" customHeight="1" x14ac:dyDescent="0.2">
      <c r="A163" s="550"/>
      <c r="B163" s="551"/>
      <c r="C163" s="551"/>
      <c r="D163" s="551"/>
      <c r="E163" s="552"/>
      <c r="F163" s="552"/>
      <c r="G163" s="552"/>
      <c r="H163" s="552"/>
      <c r="I163" s="552"/>
      <c r="J163" s="552"/>
      <c r="K163"/>
      <c r="L163"/>
      <c r="M163"/>
      <c r="N163"/>
    </row>
    <row r="164" spans="1:14" ht="24.6" customHeight="1" x14ac:dyDescent="0.2">
      <c r="A164" s="876" t="s">
        <v>581</v>
      </c>
      <c r="B164" s="876"/>
      <c r="C164" s="876" t="s">
        <v>565</v>
      </c>
      <c r="D164" s="876"/>
      <c r="E164" s="876" t="s">
        <v>566</v>
      </c>
      <c r="F164" s="876"/>
      <c r="G164" s="876" t="s">
        <v>567</v>
      </c>
      <c r="H164" s="876"/>
      <c r="I164" s="876" t="s">
        <v>568</v>
      </c>
      <c r="J164" s="876"/>
      <c r="K164" s="876" t="s">
        <v>569</v>
      </c>
      <c r="L164" s="876"/>
      <c r="M164" s="876" t="s">
        <v>570</v>
      </c>
      <c r="N164" s="876"/>
    </row>
    <row r="165" spans="1:14" ht="38.25" x14ac:dyDescent="0.2">
      <c r="A165" s="537" t="s">
        <v>571</v>
      </c>
      <c r="B165" s="538" t="s">
        <v>582</v>
      </c>
      <c r="C165" s="538" t="s">
        <v>573</v>
      </c>
      <c r="D165" s="538" t="s">
        <v>574</v>
      </c>
      <c r="E165" s="538" t="s">
        <v>573</v>
      </c>
      <c r="F165" s="538" t="s">
        <v>574</v>
      </c>
      <c r="G165" s="538" t="s">
        <v>573</v>
      </c>
      <c r="H165" s="538" t="s">
        <v>574</v>
      </c>
      <c r="I165" s="538" t="s">
        <v>573</v>
      </c>
      <c r="J165" s="538" t="s">
        <v>574</v>
      </c>
      <c r="K165" s="538" t="s">
        <v>573</v>
      </c>
      <c r="L165" s="538" t="s">
        <v>574</v>
      </c>
      <c r="M165" s="538" t="s">
        <v>573</v>
      </c>
      <c r="N165" s="538" t="s">
        <v>574</v>
      </c>
    </row>
    <row r="166" spans="1:14" ht="13.9" customHeight="1" x14ac:dyDescent="0.2">
      <c r="A166" s="539" t="s">
        <v>575</v>
      </c>
      <c r="B166" s="553">
        <f>1/'Prod. GEXSTM'!F19</f>
        <v>6.6666666666666664E-4</v>
      </c>
      <c r="C166" s="554">
        <f>D139</f>
        <v>4458.3128470444726</v>
      </c>
      <c r="D166" s="541">
        <f>B166*C166</f>
        <v>2.9722085646963148</v>
      </c>
      <c r="E166" s="541">
        <f>D140</f>
        <v>4483.5724099172457</v>
      </c>
      <c r="F166" s="541">
        <f>B166*E166</f>
        <v>2.9890482732781636</v>
      </c>
      <c r="G166" s="541">
        <f>D141</f>
        <v>4509.119831056375</v>
      </c>
      <c r="H166" s="541">
        <f>B166*G166</f>
        <v>3.0060798873709165</v>
      </c>
      <c r="I166" s="541">
        <f>D142</f>
        <v>4534.9600593145778</v>
      </c>
      <c r="J166" s="541">
        <f>B166*I166</f>
        <v>3.0233067062097185</v>
      </c>
      <c r="K166" s="541">
        <f>D143</f>
        <v>4561.0981576391578</v>
      </c>
      <c r="L166" s="541">
        <f>B166*K166</f>
        <v>3.0407321050927716</v>
      </c>
      <c r="M166" s="541">
        <f>D144</f>
        <v>4614.2888067078356</v>
      </c>
      <c r="N166" s="541">
        <f>B166*M166</f>
        <v>3.0761925378052237</v>
      </c>
    </row>
    <row r="167" spans="1:14" ht="13.9" customHeight="1" x14ac:dyDescent="0.2">
      <c r="A167" s="542" t="s">
        <v>576</v>
      </c>
      <c r="B167" s="540">
        <f>B166/'Prod. GEXSTM'!Q19</f>
        <v>3.0303030303030302E-5</v>
      </c>
      <c r="C167" s="541">
        <f>I139</f>
        <v>4326.7058543213298</v>
      </c>
      <c r="D167" s="541">
        <f>B167*C167</f>
        <v>0.13111229861579787</v>
      </c>
      <c r="E167" s="541">
        <f>I139</f>
        <v>4326.7058543213298</v>
      </c>
      <c r="F167" s="541">
        <f>B167*E167</f>
        <v>0.13111229861579787</v>
      </c>
      <c r="G167" s="541">
        <f>I139</f>
        <v>4326.7058543213298</v>
      </c>
      <c r="H167" s="541">
        <f>B167*G167</f>
        <v>0.13111229861579787</v>
      </c>
      <c r="I167" s="541">
        <f>I139</f>
        <v>4326.7058543213298</v>
      </c>
      <c r="J167" s="541">
        <f>B167*I167</f>
        <v>0.13111229861579787</v>
      </c>
      <c r="K167" s="541">
        <f>I139</f>
        <v>4326.7058543213298</v>
      </c>
      <c r="L167" s="541">
        <f>B167*K167</f>
        <v>0.13111229861579787</v>
      </c>
      <c r="M167" s="541">
        <f>I139</f>
        <v>4326.7058543213298</v>
      </c>
      <c r="N167" s="541">
        <f>B167*M167</f>
        <v>0.13111229861579787</v>
      </c>
    </row>
    <row r="168" spans="1:14" ht="13.9" customHeight="1" x14ac:dyDescent="0.2">
      <c r="A168" s="544" t="s">
        <v>583</v>
      </c>
      <c r="B168" s="545"/>
      <c r="C168" s="546"/>
      <c r="D168" s="546">
        <f>SUM(D166:D167)</f>
        <v>3.1033208633121125</v>
      </c>
      <c r="E168" s="546"/>
      <c r="F168" s="546">
        <f>SUM(F166:F167)</f>
        <v>3.1201605718939613</v>
      </c>
      <c r="G168" s="546"/>
      <c r="H168" s="546">
        <f>SUM(H166:H167)</f>
        <v>3.1371921859867142</v>
      </c>
      <c r="I168" s="546"/>
      <c r="J168" s="546">
        <f>SUM(J166:J167)</f>
        <v>3.1544190048255163</v>
      </c>
      <c r="K168" s="546"/>
      <c r="L168" s="546">
        <f>SUM(L166:L167)</f>
        <v>3.1718444037085693</v>
      </c>
      <c r="M168" s="546"/>
      <c r="N168" s="546">
        <f>SUM(N166:N167)</f>
        <v>3.2073048364210215</v>
      </c>
    </row>
    <row r="169" spans="1:14" ht="14.25" customHeight="1" x14ac:dyDescent="0.2">
      <c r="A169" s="550"/>
      <c r="B169" s="555"/>
      <c r="C169" s="555"/>
      <c r="D169" s="555"/>
      <c r="E169" s="555"/>
      <c r="F169" s="555"/>
      <c r="G169" s="555"/>
      <c r="H169" s="555"/>
      <c r="I169" s="555"/>
      <c r="J169" s="555"/>
      <c r="K169"/>
      <c r="L169"/>
      <c r="M169"/>
      <c r="N169"/>
    </row>
    <row r="170" spans="1:14" ht="26.1" customHeight="1" x14ac:dyDescent="0.2">
      <c r="A170" s="876" t="s">
        <v>584</v>
      </c>
      <c r="B170" s="876"/>
      <c r="C170" s="876" t="s">
        <v>565</v>
      </c>
      <c r="D170" s="876"/>
      <c r="E170" s="876" t="s">
        <v>566</v>
      </c>
      <c r="F170" s="876"/>
      <c r="G170" s="876" t="s">
        <v>567</v>
      </c>
      <c r="H170" s="876"/>
      <c r="I170" s="876" t="s">
        <v>568</v>
      </c>
      <c r="J170" s="876"/>
      <c r="K170" s="876" t="s">
        <v>569</v>
      </c>
      <c r="L170" s="876"/>
      <c r="M170" s="876" t="s">
        <v>570</v>
      </c>
      <c r="N170" s="876"/>
    </row>
    <row r="171" spans="1:14" ht="38.25" x14ac:dyDescent="0.2">
      <c r="A171" s="537" t="s">
        <v>571</v>
      </c>
      <c r="B171" s="538" t="s">
        <v>582</v>
      </c>
      <c r="C171" s="538" t="s">
        <v>573</v>
      </c>
      <c r="D171" s="538" t="s">
        <v>574</v>
      </c>
      <c r="E171" s="538" t="s">
        <v>573</v>
      </c>
      <c r="F171" s="538" t="s">
        <v>574</v>
      </c>
      <c r="G171" s="538" t="s">
        <v>573</v>
      </c>
      <c r="H171" s="538" t="s">
        <v>574</v>
      </c>
      <c r="I171" s="538" t="s">
        <v>573</v>
      </c>
      <c r="J171" s="538" t="s">
        <v>574</v>
      </c>
      <c r="K171" s="538" t="s">
        <v>573</v>
      </c>
      <c r="L171" s="538" t="s">
        <v>574</v>
      </c>
      <c r="M171" s="538" t="s">
        <v>573</v>
      </c>
      <c r="N171" s="538" t="s">
        <v>574</v>
      </c>
    </row>
    <row r="172" spans="1:14" ht="13.9" customHeight="1" x14ac:dyDescent="0.2">
      <c r="A172" s="539" t="s">
        <v>575</v>
      </c>
      <c r="B172" s="553">
        <f>1/'Prod. GEXSTM'!G19</f>
        <v>1E-3</v>
      </c>
      <c r="C172" s="554">
        <f>D139</f>
        <v>4458.3128470444726</v>
      </c>
      <c r="D172" s="541">
        <f>B172*C172</f>
        <v>4.4583128470444731</v>
      </c>
      <c r="E172" s="541">
        <f>D140</f>
        <v>4483.5724099172457</v>
      </c>
      <c r="F172" s="541">
        <f>B172*E172</f>
        <v>4.4835724099172456</v>
      </c>
      <c r="G172" s="541">
        <f>D141</f>
        <v>4509.119831056375</v>
      </c>
      <c r="H172" s="541">
        <f>B172*G172</f>
        <v>4.5091198310563749</v>
      </c>
      <c r="I172" s="541">
        <f>D142</f>
        <v>4534.9600593145778</v>
      </c>
      <c r="J172" s="541">
        <f>B172*I172</f>
        <v>4.534960059314578</v>
      </c>
      <c r="K172" s="541">
        <f>D143</f>
        <v>4561.0981576391578</v>
      </c>
      <c r="L172" s="541">
        <f>B172*K172</f>
        <v>4.561098157639158</v>
      </c>
      <c r="M172" s="541">
        <f>D144</f>
        <v>4614.2888067078356</v>
      </c>
      <c r="N172" s="541">
        <f>B172*M172</f>
        <v>4.6142888067078358</v>
      </c>
    </row>
    <row r="173" spans="1:14" ht="13.9" customHeight="1" x14ac:dyDescent="0.2">
      <c r="A173" s="542" t="s">
        <v>576</v>
      </c>
      <c r="B173" s="540">
        <f>B172/'Prod. GEXSTM'!Q19</f>
        <v>4.5454545454545459E-5</v>
      </c>
      <c r="C173" s="541">
        <f>I139</f>
        <v>4326.7058543213298</v>
      </c>
      <c r="D173" s="541">
        <f>B173*C173</f>
        <v>0.19666844792369684</v>
      </c>
      <c r="E173" s="541">
        <f>I139</f>
        <v>4326.7058543213298</v>
      </c>
      <c r="F173" s="541">
        <f>B173*E173</f>
        <v>0.19666844792369684</v>
      </c>
      <c r="G173" s="541">
        <f>I139</f>
        <v>4326.7058543213298</v>
      </c>
      <c r="H173" s="541">
        <f>B173*G173</f>
        <v>0.19666844792369684</v>
      </c>
      <c r="I173" s="541">
        <f>I139</f>
        <v>4326.7058543213298</v>
      </c>
      <c r="J173" s="541">
        <f>B173*I173</f>
        <v>0.19666844792369684</v>
      </c>
      <c r="K173" s="541">
        <f>I142</f>
        <v>4401.5805136565705</v>
      </c>
      <c r="L173" s="541">
        <f>B173*K173</f>
        <v>0.20007184152984414</v>
      </c>
      <c r="M173" s="541">
        <f>I139</f>
        <v>4326.7058543213298</v>
      </c>
      <c r="N173" s="541">
        <f>B173*M173</f>
        <v>0.19666844792369684</v>
      </c>
    </row>
    <row r="174" spans="1:14" ht="13.9" customHeight="1" x14ac:dyDescent="0.2">
      <c r="A174" s="544" t="s">
        <v>583</v>
      </c>
      <c r="B174" s="545"/>
      <c r="C174" s="546"/>
      <c r="D174" s="546">
        <f>SUM(D172:D173)</f>
        <v>4.6549812949681701</v>
      </c>
      <c r="E174" s="546"/>
      <c r="F174" s="546">
        <f>SUM(F172:F173)</f>
        <v>4.6802408578409427</v>
      </c>
      <c r="G174" s="546"/>
      <c r="H174" s="546">
        <f>SUM(H172:H173)</f>
        <v>4.705788278980072</v>
      </c>
      <c r="I174" s="546"/>
      <c r="J174" s="546">
        <f>SUM(J172:J173)</f>
        <v>4.7316285072382751</v>
      </c>
      <c r="K174" s="546"/>
      <c r="L174" s="546">
        <f>SUM(L172:L173)</f>
        <v>4.7611699991690024</v>
      </c>
      <c r="M174" s="546"/>
      <c r="N174" s="546">
        <f>SUM(N172:N173)</f>
        <v>4.8109572546315329</v>
      </c>
    </row>
    <row r="175" spans="1:14" ht="14.25" customHeight="1" x14ac:dyDescent="0.2">
      <c r="A175" s="550"/>
      <c r="B175" s="555"/>
      <c r="C175" s="555"/>
      <c r="D175" s="555"/>
      <c r="E175" s="555"/>
      <c r="F175" s="555"/>
      <c r="G175" s="555"/>
      <c r="H175" s="555"/>
      <c r="I175" s="555"/>
      <c r="J175" s="555"/>
      <c r="K175"/>
      <c r="L175"/>
      <c r="M175"/>
      <c r="N175"/>
    </row>
    <row r="176" spans="1:14" ht="24.6" customHeight="1" x14ac:dyDescent="0.2">
      <c r="A176" s="876" t="s">
        <v>585</v>
      </c>
      <c r="B176" s="876"/>
      <c r="C176" s="876" t="s">
        <v>565</v>
      </c>
      <c r="D176" s="876"/>
      <c r="E176" s="876" t="s">
        <v>566</v>
      </c>
      <c r="F176" s="876"/>
      <c r="G176" s="876" t="s">
        <v>567</v>
      </c>
      <c r="H176" s="876"/>
      <c r="I176" s="876" t="s">
        <v>568</v>
      </c>
      <c r="J176" s="876"/>
      <c r="K176" s="876" t="s">
        <v>569</v>
      </c>
      <c r="L176" s="876"/>
      <c r="M176" s="876" t="s">
        <v>570</v>
      </c>
      <c r="N176" s="876"/>
    </row>
    <row r="177" spans="1:14" ht="38.25" x14ac:dyDescent="0.2">
      <c r="A177" s="537" t="s">
        <v>571</v>
      </c>
      <c r="B177" s="538" t="s">
        <v>582</v>
      </c>
      <c r="C177" s="538" t="s">
        <v>573</v>
      </c>
      <c r="D177" s="538" t="s">
        <v>574</v>
      </c>
      <c r="E177" s="538" t="s">
        <v>573</v>
      </c>
      <c r="F177" s="538" t="s">
        <v>574</v>
      </c>
      <c r="G177" s="538" t="s">
        <v>573</v>
      </c>
      <c r="H177" s="538" t="s">
        <v>574</v>
      </c>
      <c r="I177" s="538" t="s">
        <v>573</v>
      </c>
      <c r="J177" s="538" t="s">
        <v>574</v>
      </c>
      <c r="K177" s="538" t="s">
        <v>573</v>
      </c>
      <c r="L177" s="538" t="s">
        <v>574</v>
      </c>
      <c r="M177" s="538" t="s">
        <v>573</v>
      </c>
      <c r="N177" s="538" t="s">
        <v>574</v>
      </c>
    </row>
    <row r="178" spans="1:14" ht="13.9" customHeight="1" x14ac:dyDescent="0.2">
      <c r="A178" s="539" t="s">
        <v>575</v>
      </c>
      <c r="B178" s="553">
        <f>1/'Prod. GEXSTM'!H19</f>
        <v>5.0000000000000001E-3</v>
      </c>
      <c r="C178" s="549">
        <f>C139</f>
        <v>4979.5855598350745</v>
      </c>
      <c r="D178" s="541">
        <f>B178*C178</f>
        <v>24.897927799175374</v>
      </c>
      <c r="E178" s="549">
        <f>C140</f>
        <v>5007.7985091825822</v>
      </c>
      <c r="F178" s="541">
        <f>B178*E178</f>
        <v>25.038992545912912</v>
      </c>
      <c r="G178" s="549">
        <f>C141</f>
        <v>5036.3329736223695</v>
      </c>
      <c r="H178" s="541">
        <f>B178*G178</f>
        <v>25.181664868111849</v>
      </c>
      <c r="I178" s="549">
        <f>C142</f>
        <v>5065.1944806345318</v>
      </c>
      <c r="J178" s="541">
        <f>B178*I178</f>
        <v>25.32597240317266</v>
      </c>
      <c r="K178" s="549">
        <f>C143</f>
        <v>5094.3886851338666</v>
      </c>
      <c r="L178" s="541">
        <f>B178*K178</f>
        <v>25.471943425669334</v>
      </c>
      <c r="M178" s="549">
        <f>C144</f>
        <v>5153.7984657185179</v>
      </c>
      <c r="N178" s="541">
        <f>B178*M178</f>
        <v>25.768992328592589</v>
      </c>
    </row>
    <row r="179" spans="1:14" ht="13.9" customHeight="1" x14ac:dyDescent="0.2">
      <c r="A179" s="542" t="s">
        <v>576</v>
      </c>
      <c r="B179" s="540">
        <f>B178/'Prod. GEXSTM'!Q19</f>
        <v>2.2727272727272727E-4</v>
      </c>
      <c r="C179" s="541">
        <f>I139</f>
        <v>4326.7058543213298</v>
      </c>
      <c r="D179" s="541">
        <f>C179*B179</f>
        <v>0.98334223961848399</v>
      </c>
      <c r="E179" s="541">
        <f>I139</f>
        <v>4326.7058543213298</v>
      </c>
      <c r="F179" s="541">
        <f>B179*E179</f>
        <v>0.98334223961848399</v>
      </c>
      <c r="G179" s="541">
        <f>I139</f>
        <v>4326.7058543213298</v>
      </c>
      <c r="H179" s="541">
        <f>B179*G179</f>
        <v>0.98334223961848399</v>
      </c>
      <c r="I179" s="541">
        <f>I139</f>
        <v>4326.7058543213298</v>
      </c>
      <c r="J179" s="541">
        <f>B179*I179</f>
        <v>0.98334223961848399</v>
      </c>
      <c r="K179" s="541">
        <f>I139</f>
        <v>4326.7058543213298</v>
      </c>
      <c r="L179" s="541">
        <f>B179*K179</f>
        <v>0.98334223961848399</v>
      </c>
      <c r="M179" s="541">
        <f>I139</f>
        <v>4326.7058543213298</v>
      </c>
      <c r="N179" s="541">
        <f>B179*M179</f>
        <v>0.98334223961848399</v>
      </c>
    </row>
    <row r="180" spans="1:14" ht="13.9" customHeight="1" x14ac:dyDescent="0.2">
      <c r="A180" s="544" t="s">
        <v>583</v>
      </c>
      <c r="B180" s="545"/>
      <c r="C180" s="546"/>
      <c r="D180" s="546">
        <f>SUM(D178:D179)</f>
        <v>25.881270038793858</v>
      </c>
      <c r="E180" s="546"/>
      <c r="F180" s="546">
        <f>SUM(F178:F179)</f>
        <v>26.022334785531395</v>
      </c>
      <c r="G180" s="546"/>
      <c r="H180" s="546">
        <f>SUM(H178:H179)</f>
        <v>26.165007107730332</v>
      </c>
      <c r="I180" s="546"/>
      <c r="J180" s="546">
        <f>SUM(J178:J179)</f>
        <v>26.309314642791144</v>
      </c>
      <c r="K180" s="546"/>
      <c r="L180" s="546">
        <f>SUM(L178:L179)</f>
        <v>26.455285665287818</v>
      </c>
      <c r="M180" s="546"/>
      <c r="N180" s="546">
        <f>SUM(N178:N179)</f>
        <v>26.752334568211072</v>
      </c>
    </row>
    <row r="181" spans="1:14" ht="13.9" customHeight="1" x14ac:dyDescent="0.2">
      <c r="A181" s="550"/>
      <c r="B181" s="556"/>
      <c r="C181" s="556"/>
      <c r="D181" s="556"/>
      <c r="E181" s="556"/>
      <c r="F181" s="556"/>
      <c r="G181" s="556"/>
      <c r="H181" s="556"/>
      <c r="I181" s="556"/>
      <c r="J181" s="556"/>
      <c r="K181"/>
      <c r="L181"/>
      <c r="M181"/>
      <c r="N181"/>
    </row>
    <row r="182" spans="1:14" ht="13.9" customHeight="1" x14ac:dyDescent="0.2">
      <c r="A182" s="898" t="s">
        <v>586</v>
      </c>
      <c r="B182" s="898"/>
      <c r="C182" s="898" t="s">
        <v>565</v>
      </c>
      <c r="D182" s="898"/>
      <c r="E182" s="898" t="s">
        <v>566</v>
      </c>
      <c r="F182" s="898"/>
      <c r="G182" s="898" t="s">
        <v>567</v>
      </c>
      <c r="H182" s="898"/>
      <c r="I182" s="898" t="s">
        <v>568</v>
      </c>
      <c r="J182" s="898"/>
      <c r="K182" s="898" t="s">
        <v>569</v>
      </c>
      <c r="L182" s="898"/>
      <c r="M182" s="898" t="s">
        <v>570</v>
      </c>
      <c r="N182" s="898"/>
    </row>
    <row r="183" spans="1:14" ht="35.25" customHeight="1" x14ac:dyDescent="0.2">
      <c r="A183" s="537" t="s">
        <v>571</v>
      </c>
      <c r="B183" s="538" t="s">
        <v>582</v>
      </c>
      <c r="C183" s="538" t="s">
        <v>573</v>
      </c>
      <c r="D183" s="538" t="s">
        <v>574</v>
      </c>
      <c r="E183" s="538" t="s">
        <v>573</v>
      </c>
      <c r="F183" s="538" t="s">
        <v>574</v>
      </c>
      <c r="G183" s="538" t="s">
        <v>573</v>
      </c>
      <c r="H183" s="538" t="s">
        <v>574</v>
      </c>
      <c r="I183" s="538" t="s">
        <v>573</v>
      </c>
      <c r="J183" s="538" t="s">
        <v>574</v>
      </c>
      <c r="K183" s="538" t="s">
        <v>573</v>
      </c>
      <c r="L183" s="538" t="s">
        <v>574</v>
      </c>
      <c r="M183" s="538" t="s">
        <v>573</v>
      </c>
      <c r="N183" s="538" t="s">
        <v>574</v>
      </c>
    </row>
    <row r="184" spans="1:14" ht="13.9" customHeight="1" x14ac:dyDescent="0.2">
      <c r="A184" s="539" t="s">
        <v>587</v>
      </c>
      <c r="B184" s="553">
        <f>1/'Prod. GEXSTM'!I19</f>
        <v>5.5555555555555556E-4</v>
      </c>
      <c r="C184" s="541">
        <f>D139</f>
        <v>4458.3128470444726</v>
      </c>
      <c r="D184" s="541">
        <f>B184*C184</f>
        <v>2.4768404705802625</v>
      </c>
      <c r="E184" s="541">
        <f>D140</f>
        <v>4483.5724099172457</v>
      </c>
      <c r="F184" s="541">
        <f>B184*E184</f>
        <v>2.4908735610651367</v>
      </c>
      <c r="G184" s="541">
        <f>D141</f>
        <v>4509.119831056375</v>
      </c>
      <c r="H184" s="541">
        <f>B184*G184</f>
        <v>2.5050665728090973</v>
      </c>
      <c r="I184" s="541">
        <f>D142</f>
        <v>4534.9600593145778</v>
      </c>
      <c r="J184" s="541">
        <f>B184*I184</f>
        <v>2.5194222551747654</v>
      </c>
      <c r="K184" s="541">
        <f>D143</f>
        <v>4561.0981576391578</v>
      </c>
      <c r="L184" s="541">
        <f>B184*K184</f>
        <v>2.5339434209106431</v>
      </c>
      <c r="M184" s="541">
        <f>D144</f>
        <v>4614.2888067078356</v>
      </c>
      <c r="N184" s="541">
        <f>B184*M184</f>
        <v>2.563493781504353</v>
      </c>
    </row>
    <row r="185" spans="1:14" ht="13.9" customHeight="1" x14ac:dyDescent="0.2">
      <c r="A185" s="542" t="s">
        <v>576</v>
      </c>
      <c r="B185" s="540">
        <f>B184/'Prod. GEXSTM'!Q19</f>
        <v>2.5252525252525253E-5</v>
      </c>
      <c r="C185" s="541">
        <f>I139</f>
        <v>4326.7058543213298</v>
      </c>
      <c r="D185" s="541">
        <f>B185*C185</f>
        <v>0.10926024884649822</v>
      </c>
      <c r="E185" s="541">
        <f>I139</f>
        <v>4326.7058543213298</v>
      </c>
      <c r="F185" s="541">
        <f>B185*E185</f>
        <v>0.10926024884649822</v>
      </c>
      <c r="G185" s="541">
        <f>I139</f>
        <v>4326.7058543213298</v>
      </c>
      <c r="H185" s="541">
        <f>B185*G185</f>
        <v>0.10926024884649822</v>
      </c>
      <c r="I185" s="541">
        <f>I139</f>
        <v>4326.7058543213298</v>
      </c>
      <c r="J185" s="541">
        <f>B185*I185</f>
        <v>0.10926024884649822</v>
      </c>
      <c r="K185" s="541">
        <f>I139</f>
        <v>4326.7058543213298</v>
      </c>
      <c r="L185" s="541">
        <f>B185*K185</f>
        <v>0.10926024884649822</v>
      </c>
      <c r="M185" s="541">
        <f>I139</f>
        <v>4326.7058543213298</v>
      </c>
      <c r="N185" s="541">
        <f>B185*M185</f>
        <v>0.10926024884649822</v>
      </c>
    </row>
    <row r="186" spans="1:14" ht="13.9" customHeight="1" x14ac:dyDescent="0.2">
      <c r="A186" s="557" t="s">
        <v>588</v>
      </c>
      <c r="B186" s="558"/>
      <c r="C186" s="559"/>
      <c r="D186" s="560">
        <f>SUM(D184:D185)</f>
        <v>2.5861007194267609</v>
      </c>
      <c r="E186" s="559"/>
      <c r="F186" s="560">
        <f>SUM(F184:F185)</f>
        <v>2.6001338099116351</v>
      </c>
      <c r="G186" s="559"/>
      <c r="H186" s="560">
        <f>SUM(H184:H185)</f>
        <v>2.6143268216555957</v>
      </c>
      <c r="I186" s="559"/>
      <c r="J186" s="560">
        <f>SUM(J184:J185)</f>
        <v>2.6286825040212638</v>
      </c>
      <c r="K186" s="559"/>
      <c r="L186" s="560">
        <f>SUM(L184:L185)</f>
        <v>2.6432036697571415</v>
      </c>
      <c r="M186" s="559"/>
      <c r="N186" s="560">
        <f>SUM(N184:N185)</f>
        <v>2.6727540303508515</v>
      </c>
    </row>
    <row r="187" spans="1:14" ht="14.25" customHeight="1" x14ac:dyDescent="0.2">
      <c r="A187" s="539" t="s">
        <v>589</v>
      </c>
      <c r="B187" s="553">
        <f>1/'Prod. GEXSTM'!J19</f>
        <v>3.7037037037037035E-4</v>
      </c>
      <c r="C187" s="541">
        <f>D139</f>
        <v>4458.3128470444726</v>
      </c>
      <c r="D187" s="541">
        <f>B187*C187</f>
        <v>1.6512269803868416</v>
      </c>
      <c r="E187" s="541">
        <f>D140</f>
        <v>4483.5724099172457</v>
      </c>
      <c r="F187" s="541">
        <f>B187*E187</f>
        <v>1.6605823740434242</v>
      </c>
      <c r="G187" s="541">
        <f>D141</f>
        <v>4509.119831056375</v>
      </c>
      <c r="H187" s="541">
        <f>B187*G187</f>
        <v>1.6700443818727313</v>
      </c>
      <c r="I187" s="541">
        <f>D142</f>
        <v>4534.9600593145778</v>
      </c>
      <c r="J187" s="541">
        <f>B187*I187</f>
        <v>1.6796148367831769</v>
      </c>
      <c r="K187" s="541">
        <f>D143</f>
        <v>4561.0981576391578</v>
      </c>
      <c r="L187" s="541">
        <f>B187*K187</f>
        <v>1.6892956139404287</v>
      </c>
      <c r="M187" s="541">
        <f>D144</f>
        <v>4614.2888067078356</v>
      </c>
      <c r="N187" s="541">
        <f>B187*M187</f>
        <v>1.7089958543362354</v>
      </c>
    </row>
    <row r="188" spans="1:14" ht="24.6" customHeight="1" x14ac:dyDescent="0.2">
      <c r="A188" s="542" t="s">
        <v>576</v>
      </c>
      <c r="B188" s="540">
        <f>B187/'Prod. GEXSTM'!Q19</f>
        <v>1.6835016835016834E-5</v>
      </c>
      <c r="C188" s="541">
        <f>I139</f>
        <v>4326.7058543213298</v>
      </c>
      <c r="D188" s="541">
        <f>B188*C188</f>
        <v>7.2840165897665482E-2</v>
      </c>
      <c r="E188" s="541">
        <f>I139</f>
        <v>4326.7058543213298</v>
      </c>
      <c r="F188" s="541">
        <f>B188*E188</f>
        <v>7.2840165897665482E-2</v>
      </c>
      <c r="G188" s="541">
        <f>I139</f>
        <v>4326.7058543213298</v>
      </c>
      <c r="H188" s="541">
        <f>B188*G188</f>
        <v>7.2840165897665482E-2</v>
      </c>
      <c r="I188" s="541">
        <f>I139</f>
        <v>4326.7058543213298</v>
      </c>
      <c r="J188" s="541">
        <f>B188*I188</f>
        <v>7.2840165897665482E-2</v>
      </c>
      <c r="K188" s="541">
        <f>I139</f>
        <v>4326.7058543213298</v>
      </c>
      <c r="L188" s="541">
        <f>B188*K188</f>
        <v>7.2840165897665482E-2</v>
      </c>
      <c r="M188" s="541">
        <f>I139</f>
        <v>4326.7058543213298</v>
      </c>
      <c r="N188" s="541">
        <f>B188*M188</f>
        <v>7.2840165897665482E-2</v>
      </c>
    </row>
    <row r="189" spans="1:14" ht="14.85" customHeight="1" x14ac:dyDescent="0.2">
      <c r="A189" s="557" t="s">
        <v>590</v>
      </c>
      <c r="B189" s="561"/>
      <c r="C189" s="559"/>
      <c r="D189" s="560">
        <f>SUM(D187:D188)</f>
        <v>1.724067146284507</v>
      </c>
      <c r="E189" s="559"/>
      <c r="F189" s="560">
        <f>SUM(F187:F188)</f>
        <v>1.7334225399410896</v>
      </c>
      <c r="G189" s="559"/>
      <c r="H189" s="560">
        <f>SUM(H187:H188)</f>
        <v>1.7428845477703967</v>
      </c>
      <c r="I189" s="559"/>
      <c r="J189" s="560">
        <f>SUM(J187:J188)</f>
        <v>1.7524550026808423</v>
      </c>
      <c r="K189" s="559"/>
      <c r="L189" s="560">
        <f>SUM(L187:L188)</f>
        <v>1.7621357798380941</v>
      </c>
      <c r="M189" s="559"/>
      <c r="N189" s="560">
        <f>SUM(N187:N188)</f>
        <v>1.7818360202339008</v>
      </c>
    </row>
    <row r="190" spans="1:14" ht="13.9" customHeight="1" x14ac:dyDescent="0.2">
      <c r="A190" s="539" t="s">
        <v>591</v>
      </c>
      <c r="B190" s="553">
        <f>1/'Prod. GEXSTM'!K19</f>
        <v>1.6666666666666666E-4</v>
      </c>
      <c r="C190" s="541">
        <f>D139</f>
        <v>4458.3128470444726</v>
      </c>
      <c r="D190" s="541">
        <f>B190*C190</f>
        <v>0.7430521411740787</v>
      </c>
      <c r="E190" s="541">
        <f>D140</f>
        <v>4483.5724099172457</v>
      </c>
      <c r="F190" s="541">
        <f>B190*E190</f>
        <v>0.7472620683195409</v>
      </c>
      <c r="G190" s="541">
        <f>D141</f>
        <v>4509.119831056375</v>
      </c>
      <c r="H190" s="541">
        <f>B190*G190</f>
        <v>0.75151997184272912</v>
      </c>
      <c r="I190" s="541">
        <f>D142</f>
        <v>4534.9600593145778</v>
      </c>
      <c r="J190" s="541">
        <f>B190*I190</f>
        <v>0.75582667655242963</v>
      </c>
      <c r="K190" s="541">
        <f>D143</f>
        <v>4561.0981576391578</v>
      </c>
      <c r="L190" s="541">
        <f>B190*K190</f>
        <v>0.7601830262731929</v>
      </c>
      <c r="M190" s="541">
        <f>D144</f>
        <v>4614.2888067078356</v>
      </c>
      <c r="N190" s="541">
        <f>B190*M190</f>
        <v>0.76904813445130593</v>
      </c>
    </row>
    <row r="191" spans="1:14" ht="13.9" customHeight="1" x14ac:dyDescent="0.2">
      <c r="A191" s="542" t="s">
        <v>576</v>
      </c>
      <c r="B191" s="540">
        <f>B190/'Prod. GEXSTM'!Q19</f>
        <v>7.5757575757575756E-6</v>
      </c>
      <c r="C191" s="541">
        <f>I139</f>
        <v>4326.7058543213298</v>
      </c>
      <c r="D191" s="541">
        <f>B191*C191</f>
        <v>3.2778074653949468E-2</v>
      </c>
      <c r="E191" s="541">
        <f>I139</f>
        <v>4326.7058543213298</v>
      </c>
      <c r="F191" s="541">
        <f>B191*E191</f>
        <v>3.2778074653949468E-2</v>
      </c>
      <c r="G191" s="541">
        <f>I139</f>
        <v>4326.7058543213298</v>
      </c>
      <c r="H191" s="541">
        <f>B191*G191</f>
        <v>3.2778074653949468E-2</v>
      </c>
      <c r="I191" s="541">
        <f>I139</f>
        <v>4326.7058543213298</v>
      </c>
      <c r="J191" s="541">
        <f>B191*I191</f>
        <v>3.2778074653949468E-2</v>
      </c>
      <c r="K191" s="541">
        <f>I139</f>
        <v>4326.7058543213298</v>
      </c>
      <c r="L191" s="541">
        <f>B191*K191</f>
        <v>3.2778074653949468E-2</v>
      </c>
      <c r="M191" s="541">
        <f>I139</f>
        <v>4326.7058543213298</v>
      </c>
      <c r="N191" s="541">
        <f>B191*M191</f>
        <v>3.2778074653949468E-2</v>
      </c>
    </row>
    <row r="192" spans="1:14" ht="14.85" customHeight="1" x14ac:dyDescent="0.2">
      <c r="A192" s="557" t="s">
        <v>592</v>
      </c>
      <c r="B192" s="561"/>
      <c r="C192" s="559"/>
      <c r="D192" s="560">
        <f>SUM(D190:D191)</f>
        <v>0.77583021582802814</v>
      </c>
      <c r="E192" s="559"/>
      <c r="F192" s="560">
        <f>SUM(F190:F191)</f>
        <v>0.78004014297349034</v>
      </c>
      <c r="G192" s="559"/>
      <c r="H192" s="560">
        <f>SUM(H190:H191)</f>
        <v>0.78429804649667856</v>
      </c>
      <c r="I192" s="559"/>
      <c r="J192" s="560">
        <f>SUM(J190:J191)</f>
        <v>0.78860475120637907</v>
      </c>
      <c r="K192" s="559"/>
      <c r="L192" s="560">
        <f>SUM(L190:L191)</f>
        <v>0.79296110092714234</v>
      </c>
      <c r="M192" s="559"/>
      <c r="N192" s="560">
        <f>SUM(N190:N191)</f>
        <v>0.80182620910525537</v>
      </c>
    </row>
    <row r="193" spans="1:14" ht="13.9" customHeight="1" x14ac:dyDescent="0.2">
      <c r="A193" s="550"/>
      <c r="B193" s="555"/>
      <c r="C193" s="555"/>
      <c r="D193" s="555"/>
      <c r="E193" s="555"/>
      <c r="F193" s="555"/>
      <c r="G193" s="555"/>
      <c r="H193" s="555"/>
      <c r="I193" s="555"/>
      <c r="J193" s="555"/>
      <c r="K193"/>
      <c r="L193"/>
      <c r="M193"/>
      <c r="N193"/>
    </row>
    <row r="194" spans="1:14" ht="13.9" customHeight="1" x14ac:dyDescent="0.2">
      <c r="A194" s="899" t="s">
        <v>593</v>
      </c>
      <c r="B194" s="899"/>
      <c r="C194" s="899" t="s">
        <v>565</v>
      </c>
      <c r="D194" s="899"/>
      <c r="E194" s="899" t="s">
        <v>566</v>
      </c>
      <c r="F194" s="899"/>
      <c r="G194" s="899" t="s">
        <v>567</v>
      </c>
      <c r="H194" s="899"/>
      <c r="I194" s="899" t="s">
        <v>568</v>
      </c>
      <c r="J194" s="899"/>
      <c r="K194" s="899" t="s">
        <v>569</v>
      </c>
      <c r="L194" s="899"/>
      <c r="M194" s="899" t="s">
        <v>570</v>
      </c>
      <c r="N194" s="899"/>
    </row>
    <row r="195" spans="1:14" ht="30" customHeight="1" x14ac:dyDescent="0.2">
      <c r="A195" s="537" t="s">
        <v>571</v>
      </c>
      <c r="B195" s="538" t="s">
        <v>582</v>
      </c>
      <c r="C195" s="538" t="s">
        <v>573</v>
      </c>
      <c r="D195" s="538" t="s">
        <v>574</v>
      </c>
      <c r="E195" s="538" t="s">
        <v>573</v>
      </c>
      <c r="F195" s="538" t="s">
        <v>574</v>
      </c>
      <c r="G195" s="538" t="s">
        <v>573</v>
      </c>
      <c r="H195" s="538" t="s">
        <v>574</v>
      </c>
      <c r="I195" s="538" t="s">
        <v>573</v>
      </c>
      <c r="J195" s="538" t="s">
        <v>574</v>
      </c>
      <c r="K195" s="538" t="s">
        <v>573</v>
      </c>
      <c r="L195" s="538" t="s">
        <v>574</v>
      </c>
      <c r="M195" s="538" t="s">
        <v>573</v>
      </c>
      <c r="N195" s="538" t="s">
        <v>574</v>
      </c>
    </row>
    <row r="196" spans="1:14" ht="13.9" customHeight="1" x14ac:dyDescent="0.2">
      <c r="A196" s="562" t="s">
        <v>594</v>
      </c>
      <c r="B196" s="553">
        <f>(1/'Prod. GEXSTM'!L19)*(1/(30/7*44*6))*8</f>
        <v>4.4191919191919199E-5</v>
      </c>
      <c r="C196" s="563">
        <f>H139</f>
        <v>4296.7879862507752</v>
      </c>
      <c r="D196" s="541">
        <f>B196*C196</f>
        <v>0.18988330747320348</v>
      </c>
      <c r="E196" s="563">
        <f>H140</f>
        <v>4321.1323941048877</v>
      </c>
      <c r="F196" s="541">
        <f>B196*E196</f>
        <v>0.19095913357786753</v>
      </c>
      <c r="G196" s="563">
        <f>H141</f>
        <v>4345.7542311083344</v>
      </c>
      <c r="H196" s="541">
        <f>B196*G196</f>
        <v>0.19204721980908046</v>
      </c>
      <c r="I196" s="563">
        <f>H142</f>
        <v>4370.6582668166911</v>
      </c>
      <c r="J196" s="541">
        <f>B196*I196</f>
        <v>0.19314777694265683</v>
      </c>
      <c r="K196" s="563">
        <f>H143</f>
        <v>4395.8493807464711</v>
      </c>
      <c r="L196" s="541">
        <f>B196*K196</f>
        <v>0.1942610206137961</v>
      </c>
      <c r="M196" s="563">
        <f>H144</f>
        <v>4447.1129303761672</v>
      </c>
      <c r="N196" s="541">
        <f>B196*M196</f>
        <v>0.19652645525652257</v>
      </c>
    </row>
    <row r="197" spans="1:14" ht="13.9" customHeight="1" x14ac:dyDescent="0.2">
      <c r="A197" s="542" t="s">
        <v>576</v>
      </c>
      <c r="B197" s="553">
        <f>B196/4</f>
        <v>1.10479797979798E-5</v>
      </c>
      <c r="C197" s="541">
        <f>I139</f>
        <v>4326.7058543213298</v>
      </c>
      <c r="D197" s="541">
        <f>B197*C197</f>
        <v>4.780135887034298E-2</v>
      </c>
      <c r="E197" s="541">
        <f>I139</f>
        <v>4326.7058543213298</v>
      </c>
      <c r="F197" s="541">
        <f>B197*E197</f>
        <v>4.780135887034298E-2</v>
      </c>
      <c r="G197" s="541">
        <f>I139</f>
        <v>4326.7058543213298</v>
      </c>
      <c r="H197" s="541">
        <f>B197*G197</f>
        <v>4.780135887034298E-2</v>
      </c>
      <c r="I197" s="541">
        <f>I139</f>
        <v>4326.7058543213298</v>
      </c>
      <c r="J197" s="541">
        <f>B197*I197</f>
        <v>4.780135887034298E-2</v>
      </c>
      <c r="K197" s="541">
        <f>I139</f>
        <v>4326.7058543213298</v>
      </c>
      <c r="L197" s="541">
        <f>B197*K197</f>
        <v>4.780135887034298E-2</v>
      </c>
      <c r="M197" s="541">
        <f>I139</f>
        <v>4326.7058543213298</v>
      </c>
      <c r="N197" s="541">
        <f>B197*M197</f>
        <v>4.780135887034298E-2</v>
      </c>
    </row>
    <row r="198" spans="1:14" ht="12.75" customHeight="1" x14ac:dyDescent="0.2">
      <c r="A198" s="564" t="s">
        <v>595</v>
      </c>
      <c r="B198" s="565"/>
      <c r="C198" s="566"/>
      <c r="D198" s="567">
        <f>SUM(D196:D197)</f>
        <v>0.23768466634354646</v>
      </c>
      <c r="E198" s="566"/>
      <c r="F198" s="567">
        <f>SUM(F196:F197)</f>
        <v>0.23876049244821052</v>
      </c>
      <c r="G198" s="566"/>
      <c r="H198" s="567">
        <f>SUM(H196:H197)</f>
        <v>0.23984857867942344</v>
      </c>
      <c r="I198" s="566"/>
      <c r="J198" s="567">
        <f>SUM(J196:J197)</f>
        <v>0.24094913581299982</v>
      </c>
      <c r="K198" s="566"/>
      <c r="L198" s="567">
        <f>SUM(L196:L197)</f>
        <v>0.24206237948413908</v>
      </c>
      <c r="M198" s="566"/>
      <c r="N198" s="567">
        <f>SUM(N196:N197)</f>
        <v>0.24432781412686555</v>
      </c>
    </row>
    <row r="199" spans="1:14" ht="12.75" customHeight="1" x14ac:dyDescent="0.2">
      <c r="A199" s="562" t="s">
        <v>596</v>
      </c>
      <c r="B199" s="553">
        <f>1/'Prod. GEXSTM'!M19*16*(1/188.76)</f>
        <v>2.2306242401936183E-4</v>
      </c>
      <c r="C199" s="541">
        <f>D139</f>
        <v>4458.3128470444726</v>
      </c>
      <c r="D199" s="541">
        <f>B199*C199</f>
        <v>0.99448207069840244</v>
      </c>
      <c r="E199" s="541">
        <f>D140</f>
        <v>4483.5724099172457</v>
      </c>
      <c r="F199" s="541">
        <f>B199*E199</f>
        <v>1.0001165300224726</v>
      </c>
      <c r="G199" s="541">
        <f>D141</f>
        <v>4509.119831056375</v>
      </c>
      <c r="H199" s="541">
        <f>B199*G199</f>
        <v>1.0058151997092104</v>
      </c>
      <c r="I199" s="541">
        <f>D142</f>
        <v>4534.9600593145778</v>
      </c>
      <c r="J199" s="541">
        <f>B199*I199</f>
        <v>1.0115791836616987</v>
      </c>
      <c r="K199" s="541">
        <f>D143</f>
        <v>4561.0981576391578</v>
      </c>
      <c r="L199" s="541">
        <f>B199*K199</f>
        <v>1.0174096112332358</v>
      </c>
      <c r="M199" s="541">
        <f>D144</f>
        <v>4614.2888067078356</v>
      </c>
      <c r="N199" s="541">
        <f>B199*M199</f>
        <v>1.0292744463496584</v>
      </c>
    </row>
    <row r="200" spans="1:14" ht="12.75" customHeight="1" x14ac:dyDescent="0.2">
      <c r="A200" s="542" t="s">
        <v>576</v>
      </c>
      <c r="B200" s="553">
        <f>1/('Prod. GEXSTM'!Q19*'Prod. GEXSTM'!M19)*16*(1/188.76)</f>
        <v>1.0139201091789175E-5</v>
      </c>
      <c r="C200" s="541">
        <f>I139</f>
        <v>4326.7058543213298</v>
      </c>
      <c r="D200" s="541">
        <f>B200*C200</f>
        <v>4.3869340721985443E-2</v>
      </c>
      <c r="E200" s="541">
        <f>I139</f>
        <v>4326.7058543213298</v>
      </c>
      <c r="F200" s="541">
        <f>B200*E200</f>
        <v>4.3869340721985443E-2</v>
      </c>
      <c r="G200" s="541">
        <f>I139</f>
        <v>4326.7058543213298</v>
      </c>
      <c r="H200" s="541">
        <f>B200*G200</f>
        <v>4.3869340721985443E-2</v>
      </c>
      <c r="I200" s="541">
        <f>I139</f>
        <v>4326.7058543213298</v>
      </c>
      <c r="J200" s="541">
        <f>B200*I200</f>
        <v>4.3869340721985443E-2</v>
      </c>
      <c r="K200" s="541">
        <f>I139</f>
        <v>4326.7058543213298</v>
      </c>
      <c r="L200" s="541">
        <f>B200*K200</f>
        <v>4.3869340721985443E-2</v>
      </c>
      <c r="M200" s="541">
        <f>I139</f>
        <v>4326.7058543213298</v>
      </c>
      <c r="N200" s="541">
        <f>B200*M200</f>
        <v>4.3869340721985443E-2</v>
      </c>
    </row>
    <row r="201" spans="1:14" ht="12.75" customHeight="1" x14ac:dyDescent="0.2">
      <c r="A201" s="564" t="s">
        <v>597</v>
      </c>
      <c r="B201" s="565"/>
      <c r="C201" s="566"/>
      <c r="D201" s="567">
        <f>SUM(D199:D200)</f>
        <v>1.0383514114203878</v>
      </c>
      <c r="E201" s="566"/>
      <c r="F201" s="567">
        <f>SUM(F199:F200)</f>
        <v>1.043985870744458</v>
      </c>
      <c r="G201" s="566"/>
      <c r="H201" s="567">
        <f>SUM(H199:H200)</f>
        <v>1.0496845404311959</v>
      </c>
      <c r="I201" s="566"/>
      <c r="J201" s="567">
        <f>SUM(J199:J200)</f>
        <v>1.0554485243836842</v>
      </c>
      <c r="K201" s="566"/>
      <c r="L201" s="567">
        <f>SUM(L199:L200)</f>
        <v>1.0612789519552213</v>
      </c>
      <c r="M201" s="566"/>
      <c r="N201" s="567">
        <f>SUM(N199:N200)</f>
        <v>1.0731437870716438</v>
      </c>
    </row>
    <row r="202" spans="1:14" ht="12.75" customHeight="1" x14ac:dyDescent="0.2">
      <c r="A202" s="539" t="s">
        <v>598</v>
      </c>
      <c r="B202" s="553">
        <f>1/'Prod. GEXSTM'!N19*16*(1/188.76)</f>
        <v>2.2306242401936183E-4</v>
      </c>
      <c r="C202" s="541">
        <f>D139</f>
        <v>4458.3128470444726</v>
      </c>
      <c r="D202" s="541">
        <f>B202*C202</f>
        <v>0.99448207069840244</v>
      </c>
      <c r="E202" s="541">
        <f>D140</f>
        <v>4483.5724099172457</v>
      </c>
      <c r="F202" s="541">
        <f>B202*E202</f>
        <v>1.0001165300224726</v>
      </c>
      <c r="G202" s="541">
        <f>D141</f>
        <v>4509.119831056375</v>
      </c>
      <c r="H202" s="541">
        <f>B202*G202</f>
        <v>1.0058151997092104</v>
      </c>
      <c r="I202" s="541">
        <f>F141</f>
        <v>3481.0425943249647</v>
      </c>
      <c r="J202" s="541">
        <f>B202*I202</f>
        <v>0.77648979920477468</v>
      </c>
      <c r="K202" s="541">
        <f>D143</f>
        <v>4561.0981576391578</v>
      </c>
      <c r="L202" s="541">
        <f>B202*K202</f>
        <v>1.0174096112332358</v>
      </c>
      <c r="M202" s="541">
        <f>D144</f>
        <v>4614.2888067078356</v>
      </c>
      <c r="N202" s="541">
        <f>B202*M202</f>
        <v>1.0292744463496584</v>
      </c>
    </row>
    <row r="203" spans="1:14" ht="12.75" customHeight="1" x14ac:dyDescent="0.2">
      <c r="A203" s="542" t="s">
        <v>576</v>
      </c>
      <c r="B203" s="553">
        <f>1/('Prod. GEXSTM'!Q19*'Prod. GEXSTM'!N19)*16*(1/188.76)</f>
        <v>1.0139201091789175E-5</v>
      </c>
      <c r="C203" s="541">
        <f>I139</f>
        <v>4326.7058543213298</v>
      </c>
      <c r="D203" s="541">
        <f>B203*C203</f>
        <v>4.3869340721985443E-2</v>
      </c>
      <c r="E203" s="541">
        <f>I139</f>
        <v>4326.7058543213298</v>
      </c>
      <c r="F203" s="541">
        <f>B203*E203</f>
        <v>4.3869340721985443E-2</v>
      </c>
      <c r="G203" s="541">
        <f>I139</f>
        <v>4326.7058543213298</v>
      </c>
      <c r="H203" s="541">
        <f>B203*G203</f>
        <v>4.3869340721985443E-2</v>
      </c>
      <c r="I203" s="541">
        <f>I139</f>
        <v>4326.7058543213298</v>
      </c>
      <c r="J203" s="541">
        <f>B203*I203</f>
        <v>4.3869340721985443E-2</v>
      </c>
      <c r="K203" s="541">
        <f>I139</f>
        <v>4326.7058543213298</v>
      </c>
      <c r="L203" s="541">
        <f>B203*K203</f>
        <v>4.3869340721985443E-2</v>
      </c>
      <c r="M203" s="541">
        <f>I139</f>
        <v>4326.7058543213298</v>
      </c>
      <c r="N203" s="541">
        <f>B203*M203</f>
        <v>4.3869340721985443E-2</v>
      </c>
    </row>
    <row r="204" spans="1:14" ht="12.75" customHeight="1" x14ac:dyDescent="0.2">
      <c r="A204" s="564" t="s">
        <v>599</v>
      </c>
      <c r="B204" s="565"/>
      <c r="C204" s="566"/>
      <c r="D204" s="567">
        <f>SUM(D202:D203)</f>
        <v>1.0383514114203878</v>
      </c>
      <c r="E204" s="566"/>
      <c r="F204" s="567">
        <f>SUM(F202:F203)</f>
        <v>1.043985870744458</v>
      </c>
      <c r="G204" s="566"/>
      <c r="H204" s="567">
        <f>SUM(H202:H203)</f>
        <v>1.0496845404311959</v>
      </c>
      <c r="I204" s="566"/>
      <c r="J204" s="567">
        <f>SUM(J202:J203)</f>
        <v>0.82035913992676013</v>
      </c>
      <c r="K204" s="566"/>
      <c r="L204" s="567">
        <f>SUM(L202:L203)</f>
        <v>1.0612789519552213</v>
      </c>
      <c r="M204" s="566"/>
      <c r="N204" s="567">
        <f>SUM(N202:N203)</f>
        <v>1.0731437870716438</v>
      </c>
    </row>
    <row r="205" spans="1:14" ht="12.75" customHeight="1" x14ac:dyDescent="0.2">
      <c r="A205" s="536"/>
    </row>
  </sheetData>
  <mergeCells count="88">
    <mergeCell ref="K176:L176"/>
    <mergeCell ref="M176:N176"/>
    <mergeCell ref="K182:L182"/>
    <mergeCell ref="M182:N182"/>
    <mergeCell ref="K194:L194"/>
    <mergeCell ref="M194:N194"/>
    <mergeCell ref="A137:B137"/>
    <mergeCell ref="A138:B138"/>
    <mergeCell ref="A164:B164"/>
    <mergeCell ref="C164:D164"/>
    <mergeCell ref="E164:F164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92:B92"/>
    <mergeCell ref="A115:A120"/>
    <mergeCell ref="A125:B125"/>
    <mergeCell ref="A126:B126"/>
    <mergeCell ref="A123:I123"/>
    <mergeCell ref="A124:I124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  <mergeCell ref="K152:L152"/>
    <mergeCell ref="M152:N152"/>
    <mergeCell ref="A158:B158"/>
    <mergeCell ref="C158:D158"/>
    <mergeCell ref="E158:F158"/>
    <mergeCell ref="G158:H158"/>
    <mergeCell ref="I158:J158"/>
    <mergeCell ref="K158:L158"/>
    <mergeCell ref="M158:N158"/>
    <mergeCell ref="A152:B152"/>
    <mergeCell ref="C152:D152"/>
    <mergeCell ref="E152:F152"/>
    <mergeCell ref="G152:H152"/>
    <mergeCell ref="I152:J152"/>
    <mergeCell ref="I164:J164"/>
    <mergeCell ref="K164:L164"/>
    <mergeCell ref="M164:N164"/>
    <mergeCell ref="A170:B170"/>
    <mergeCell ref="C170:D170"/>
    <mergeCell ref="E170:F170"/>
    <mergeCell ref="G170:H170"/>
    <mergeCell ref="I170:J170"/>
    <mergeCell ref="K170:L170"/>
    <mergeCell ref="M170:N170"/>
    <mergeCell ref="G164:H164"/>
    <mergeCell ref="A176:B176"/>
    <mergeCell ref="C176:D176"/>
    <mergeCell ref="E176:F176"/>
    <mergeCell ref="G176:H176"/>
    <mergeCell ref="I176:J176"/>
    <mergeCell ref="A182:B182"/>
    <mergeCell ref="C182:D182"/>
    <mergeCell ref="E182:F182"/>
    <mergeCell ref="G182:H182"/>
    <mergeCell ref="I182:J182"/>
    <mergeCell ref="A194:B194"/>
    <mergeCell ref="C194:D194"/>
    <mergeCell ref="E194:F194"/>
    <mergeCell ref="G194:H194"/>
    <mergeCell ref="I194:J19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A145"/>
  <sheetViews>
    <sheetView topLeftCell="A121" zoomScaleNormal="100" workbookViewId="0">
      <selection activeCell="F134" sqref="F134:J150"/>
    </sheetView>
  </sheetViews>
  <sheetFormatPr defaultColWidth="9" defaultRowHeight="14.25" x14ac:dyDescent="0.2"/>
  <cols>
    <col min="1" max="1" width="55.5" style="369" customWidth="1"/>
    <col min="2" max="5" width="14" style="369" customWidth="1"/>
    <col min="6" max="1015" width="9" style="369"/>
    <col min="1016" max="1019" width="8.625" customWidth="1"/>
  </cols>
  <sheetData>
    <row r="1" spans="1:1015" ht="15" customHeight="1" x14ac:dyDescent="0.2">
      <c r="A1" s="878" t="s">
        <v>441</v>
      </c>
      <c r="B1" s="878"/>
      <c r="C1" s="878"/>
      <c r="D1" s="878"/>
      <c r="E1" s="87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1:1015" ht="15" customHeight="1" x14ac:dyDescent="0.2">
      <c r="A2" s="879" t="s">
        <v>442</v>
      </c>
      <c r="B2" s="879"/>
      <c r="C2" s="879"/>
      <c r="D2" s="879"/>
      <c r="E2" s="879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1:1015" ht="15.75" customHeight="1" x14ac:dyDescent="0.2">
      <c r="A3" s="879" t="s">
        <v>443</v>
      </c>
      <c r="B3" s="879"/>
      <c r="C3" s="879"/>
      <c r="D3" s="879"/>
      <c r="E3" s="87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1:1015" ht="15" customHeight="1" x14ac:dyDescent="0.2">
      <c r="A4" s="370"/>
      <c r="B4" s="371"/>
      <c r="C4" s="372" t="s">
        <v>444</v>
      </c>
      <c r="D4" s="375" t="s">
        <v>445</v>
      </c>
      <c r="E4" s="375" t="s">
        <v>446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1:1015" ht="13.9" customHeight="1" x14ac:dyDescent="0.2">
      <c r="A5" s="376"/>
      <c r="B5" s="377" t="s">
        <v>449</v>
      </c>
      <c r="C5" s="378">
        <f>MC!I11</f>
        <v>1194.6272727272726</v>
      </c>
      <c r="D5" s="378">
        <f>MC!J11</f>
        <v>895.97045454545446</v>
      </c>
      <c r="E5" s="380">
        <f>MC!K11</f>
        <v>597.31363636363631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1:1015" ht="13.9" customHeight="1" x14ac:dyDescent="0.2">
      <c r="A6" s="376"/>
      <c r="B6" s="377" t="s">
        <v>450</v>
      </c>
      <c r="C6" s="381">
        <f>MC!J8</f>
        <v>44562</v>
      </c>
      <c r="D6" s="383">
        <f>C6</f>
        <v>44562</v>
      </c>
      <c r="E6" s="383">
        <f>C6</f>
        <v>44562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1:1015" ht="13.9" customHeight="1" x14ac:dyDescent="0.2">
      <c r="A7" s="376"/>
      <c r="B7" s="377" t="s">
        <v>451</v>
      </c>
      <c r="C7" s="381" t="str">
        <f>MC!H8</f>
        <v>RS000052/2022</v>
      </c>
      <c r="D7" s="383" t="str">
        <f>C7</f>
        <v>RS000052/2022</v>
      </c>
      <c r="E7" s="383" t="str">
        <f>C7</f>
        <v>RS000052/2022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1:1015" ht="13.9" customHeight="1" x14ac:dyDescent="0.2">
      <c r="A8" s="376"/>
      <c r="B8" s="377" t="s">
        <v>452</v>
      </c>
      <c r="C8" s="384" t="str">
        <f>MC!K8</f>
        <v>5143-20</v>
      </c>
      <c r="D8" s="386" t="str">
        <f>C8</f>
        <v>5143-20</v>
      </c>
      <c r="E8" s="386" t="str">
        <f>C8</f>
        <v>5143-20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1:1015" ht="13.9" customHeight="1" x14ac:dyDescent="0.2">
      <c r="A9" s="892"/>
      <c r="B9" s="892"/>
      <c r="C9" s="892"/>
      <c r="D9" s="892"/>
      <c r="E9" s="892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1:1015" ht="66.75" customHeight="1" x14ac:dyDescent="0.2">
      <c r="A10" s="758" t="s">
        <v>453</v>
      </c>
      <c r="B10" s="759" t="s">
        <v>454</v>
      </c>
      <c r="C10" s="759" t="s">
        <v>600</v>
      </c>
      <c r="D10" s="759" t="s">
        <v>601</v>
      </c>
      <c r="E10" s="760" t="s">
        <v>602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1:1015" ht="14.25" customHeight="1" x14ac:dyDescent="0.2">
      <c r="A11" s="900" t="s">
        <v>462</v>
      </c>
      <c r="B11" s="901"/>
      <c r="C11" s="901"/>
      <c r="D11" s="901"/>
      <c r="E11" s="902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</row>
    <row r="12" spans="1:1015" ht="14.25" customHeight="1" x14ac:dyDescent="0.2">
      <c r="A12" s="698" t="s">
        <v>463</v>
      </c>
      <c r="B12" s="688" t="s">
        <v>464</v>
      </c>
      <c r="C12" s="688" t="s">
        <v>465</v>
      </c>
      <c r="D12" s="688" t="s">
        <v>465</v>
      </c>
      <c r="E12" s="699" t="s">
        <v>465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1:1015" ht="14.25" customHeight="1" x14ac:dyDescent="0.2">
      <c r="A13" s="700" t="s">
        <v>466</v>
      </c>
      <c r="B13" s="755"/>
      <c r="C13" s="711">
        <f>C5</f>
        <v>1194.6272727272726</v>
      </c>
      <c r="D13" s="711">
        <f>D5</f>
        <v>895.97045454545446</v>
      </c>
      <c r="E13" s="717">
        <f>E5</f>
        <v>597.31363636363631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1:1015" ht="14.25" customHeight="1" x14ac:dyDescent="0.2">
      <c r="A14" s="700" t="s">
        <v>467</v>
      </c>
      <c r="B14" s="761">
        <v>0.2</v>
      </c>
      <c r="C14" s="711">
        <f>C13*$B$14</f>
        <v>238.92545454545453</v>
      </c>
      <c r="D14" s="711">
        <f>D13*$B$14</f>
        <v>179.1940909090909</v>
      </c>
      <c r="E14" s="711">
        <f>E13*$B$14</f>
        <v>119.46272727272726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1:1015" ht="14.25" customHeight="1" x14ac:dyDescent="0.2">
      <c r="A15" s="700" t="s">
        <v>470</v>
      </c>
      <c r="B15" s="756"/>
      <c r="C15" s="711"/>
      <c r="D15" s="711"/>
      <c r="E15" s="717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1:1015" ht="14.25" customHeight="1" x14ac:dyDescent="0.2">
      <c r="A16" s="700" t="s">
        <v>471</v>
      </c>
      <c r="B16" s="756"/>
      <c r="C16" s="711"/>
      <c r="D16" s="711"/>
      <c r="E16" s="717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1:1015" ht="14.25" customHeight="1" x14ac:dyDescent="0.2">
      <c r="A17" s="700" t="s">
        <v>472</v>
      </c>
      <c r="B17" s="756"/>
      <c r="C17" s="711"/>
      <c r="D17" s="711"/>
      <c r="E17" s="7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1:1015" ht="14.25" customHeight="1" x14ac:dyDescent="0.2">
      <c r="A18" s="700" t="s">
        <v>473</v>
      </c>
      <c r="B18" s="757"/>
      <c r="C18" s="711"/>
      <c r="D18" s="711"/>
      <c r="E18" s="717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1:1015" ht="14.25" customHeight="1" x14ac:dyDescent="0.2">
      <c r="A19" s="737" t="s">
        <v>474</v>
      </c>
      <c r="B19" s="738"/>
      <c r="C19" s="739">
        <f>SUM(C13:C18)</f>
        <v>1433.5527272727272</v>
      </c>
      <c r="D19" s="739">
        <f>SUM(D13:D18)</f>
        <v>1075.1645454545453</v>
      </c>
      <c r="E19" s="740">
        <f>SUM(E13:E18)</f>
        <v>716.77636363636361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1:1015" ht="14.25" customHeight="1" x14ac:dyDescent="0.2">
      <c r="A20" s="903"/>
      <c r="B20" s="903"/>
      <c r="C20" s="903"/>
      <c r="D20" s="903"/>
      <c r="E20" s="90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1:1015" ht="14.25" customHeight="1" x14ac:dyDescent="0.2">
      <c r="A21" s="904" t="s">
        <v>475</v>
      </c>
      <c r="B21" s="905"/>
      <c r="C21" s="905"/>
      <c r="D21" s="905"/>
      <c r="E21" s="90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1:1015" ht="14.25" customHeight="1" x14ac:dyDescent="0.2">
      <c r="A22" s="732" t="s">
        <v>476</v>
      </c>
      <c r="B22" s="725" t="s">
        <v>464</v>
      </c>
      <c r="C22" s="725" t="s">
        <v>465</v>
      </c>
      <c r="D22" s="725" t="s">
        <v>465</v>
      </c>
      <c r="E22" s="733" t="s">
        <v>465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1:1015" ht="14.25" customHeight="1" x14ac:dyDescent="0.2">
      <c r="A23" s="716" t="s">
        <v>477</v>
      </c>
      <c r="B23" s="689">
        <f>1/12</f>
        <v>8.3333333333333329E-2</v>
      </c>
      <c r="C23" s="711">
        <f>ROUND($B23*C$19,2)</f>
        <v>119.46</v>
      </c>
      <c r="D23" s="711">
        <f>ROUND($B23*D$19,2)</f>
        <v>89.6</v>
      </c>
      <c r="E23" s="717">
        <f>ROUND($B23*E$19,2)</f>
        <v>59.73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1:1015" ht="14.25" customHeight="1" x14ac:dyDescent="0.2">
      <c r="A24" s="716" t="s">
        <v>478</v>
      </c>
      <c r="B24" s="689">
        <f>1/3*1/12</f>
        <v>2.7777777777777776E-2</v>
      </c>
      <c r="C24" s="711">
        <f>C$19*$B$24</f>
        <v>39.82090909090909</v>
      </c>
      <c r="D24" s="711">
        <f>D$19*$B$24</f>
        <v>29.865681818181812</v>
      </c>
      <c r="E24" s="717">
        <f>E$19*$B$24</f>
        <v>19.910454545454545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1:1015" ht="14.25" customHeight="1" x14ac:dyDescent="0.2">
      <c r="A25" s="752" t="s">
        <v>474</v>
      </c>
      <c r="B25" s="743">
        <f>SUM(B23:B24)</f>
        <v>0.1111111111111111</v>
      </c>
      <c r="C25" s="731">
        <f>SUM(C23:C24)</f>
        <v>159.28090909090909</v>
      </c>
      <c r="D25" s="731">
        <f>SUM(D23:D24)</f>
        <v>119.46568181818181</v>
      </c>
      <c r="E25" s="753">
        <f>SUM(E23:E24)</f>
        <v>79.640454545454546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1:1015" ht="14.25" customHeight="1" x14ac:dyDescent="0.2">
      <c r="A26" s="732" t="s">
        <v>479</v>
      </c>
      <c r="B26" s="725" t="s">
        <v>464</v>
      </c>
      <c r="C26" s="725" t="s">
        <v>465</v>
      </c>
      <c r="D26" s="725" t="s">
        <v>465</v>
      </c>
      <c r="E26" s="733" t="s">
        <v>465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1:1015" ht="14.25" customHeight="1" x14ac:dyDescent="0.2">
      <c r="A27" s="732" t="s">
        <v>480</v>
      </c>
      <c r="B27" s="724"/>
      <c r="C27" s="724"/>
      <c r="D27" s="724"/>
      <c r="E27" s="75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1:1015" ht="14.25" customHeight="1" x14ac:dyDescent="0.2">
      <c r="A28" s="716" t="s">
        <v>481</v>
      </c>
      <c r="B28" s="689">
        <v>0.2</v>
      </c>
      <c r="C28" s="690">
        <f t="shared" ref="C28:E35" si="0">ROUND((C$19+C$25)*$B28,2)</f>
        <v>318.57</v>
      </c>
      <c r="D28" s="690">
        <f t="shared" si="0"/>
        <v>238.93</v>
      </c>
      <c r="E28" s="701">
        <f t="shared" si="0"/>
        <v>159.28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1:1015" ht="14.25" customHeight="1" x14ac:dyDescent="0.2">
      <c r="A29" s="716" t="s">
        <v>482</v>
      </c>
      <c r="B29" s="689">
        <v>2.5000000000000001E-2</v>
      </c>
      <c r="C29" s="690">
        <f t="shared" si="0"/>
        <v>39.82</v>
      </c>
      <c r="D29" s="690">
        <f t="shared" si="0"/>
        <v>29.87</v>
      </c>
      <c r="E29" s="701">
        <f t="shared" si="0"/>
        <v>19.91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1:1015" ht="14.25" customHeight="1" x14ac:dyDescent="0.2">
      <c r="A30" s="716" t="s">
        <v>483</v>
      </c>
      <c r="B30" s="689">
        <v>0.03</v>
      </c>
      <c r="C30" s="690">
        <f t="shared" si="0"/>
        <v>47.79</v>
      </c>
      <c r="D30" s="690">
        <f t="shared" si="0"/>
        <v>35.840000000000003</v>
      </c>
      <c r="E30" s="701">
        <f t="shared" si="0"/>
        <v>23.89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1:1015" ht="14.25" customHeight="1" x14ac:dyDescent="0.2">
      <c r="A31" s="716" t="s">
        <v>484</v>
      </c>
      <c r="B31" s="689">
        <v>1.4999999999999999E-2</v>
      </c>
      <c r="C31" s="690">
        <f t="shared" si="0"/>
        <v>23.89</v>
      </c>
      <c r="D31" s="690">
        <f t="shared" si="0"/>
        <v>17.920000000000002</v>
      </c>
      <c r="E31" s="701">
        <f t="shared" si="0"/>
        <v>11.95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1:1015" ht="14.25" customHeight="1" x14ac:dyDescent="0.2">
      <c r="A32" s="716" t="s">
        <v>485</v>
      </c>
      <c r="B32" s="689">
        <v>0.01</v>
      </c>
      <c r="C32" s="690">
        <f t="shared" si="0"/>
        <v>15.93</v>
      </c>
      <c r="D32" s="690">
        <f t="shared" si="0"/>
        <v>11.95</v>
      </c>
      <c r="E32" s="701">
        <f t="shared" si="0"/>
        <v>7.96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1:1015" ht="14.25" customHeight="1" x14ac:dyDescent="0.2">
      <c r="A33" s="716" t="s">
        <v>486</v>
      </c>
      <c r="B33" s="689">
        <v>6.0000000000000001E-3</v>
      </c>
      <c r="C33" s="690">
        <f t="shared" si="0"/>
        <v>9.56</v>
      </c>
      <c r="D33" s="690">
        <f t="shared" si="0"/>
        <v>7.17</v>
      </c>
      <c r="E33" s="701">
        <f t="shared" si="0"/>
        <v>4.78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1:1015" ht="14.25" customHeight="1" x14ac:dyDescent="0.2">
      <c r="A34" s="716" t="s">
        <v>487</v>
      </c>
      <c r="B34" s="689">
        <v>2E-3</v>
      </c>
      <c r="C34" s="690">
        <f t="shared" si="0"/>
        <v>3.19</v>
      </c>
      <c r="D34" s="690">
        <f t="shared" si="0"/>
        <v>2.39</v>
      </c>
      <c r="E34" s="701">
        <f t="shared" si="0"/>
        <v>1.59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1:1015" ht="14.25" customHeight="1" x14ac:dyDescent="0.2">
      <c r="A35" s="716" t="s">
        <v>488</v>
      </c>
      <c r="B35" s="689">
        <v>0.08</v>
      </c>
      <c r="C35" s="690">
        <f t="shared" si="0"/>
        <v>127.43</v>
      </c>
      <c r="D35" s="690">
        <f t="shared" si="0"/>
        <v>95.57</v>
      </c>
      <c r="E35" s="701">
        <f t="shared" si="0"/>
        <v>63.71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1:1015" ht="14.25" customHeight="1" x14ac:dyDescent="0.2">
      <c r="A36" s="752" t="s">
        <v>474</v>
      </c>
      <c r="B36" s="743">
        <f>SUM(B28:B35)</f>
        <v>0.36800000000000005</v>
      </c>
      <c r="C36" s="731">
        <f>SUM(C27:C35)</f>
        <v>586.18000000000006</v>
      </c>
      <c r="D36" s="731">
        <f>SUM(D27:D35)</f>
        <v>439.64</v>
      </c>
      <c r="E36" s="753">
        <f>SUM(E27:E35)</f>
        <v>293.07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1:1015" ht="14.25" customHeight="1" x14ac:dyDescent="0.2">
      <c r="A37" s="732" t="s">
        <v>489</v>
      </c>
      <c r="B37" s="725" t="s">
        <v>490</v>
      </c>
      <c r="C37" s="725" t="s">
        <v>465</v>
      </c>
      <c r="D37" s="725" t="s">
        <v>465</v>
      </c>
      <c r="E37" s="733" t="s">
        <v>465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1:1015" ht="14.25" customHeight="1" x14ac:dyDescent="0.2">
      <c r="A38" s="716" t="s">
        <v>491</v>
      </c>
      <c r="B38" s="749">
        <f>MC!D85</f>
        <v>3.584848484848485</v>
      </c>
      <c r="C38" s="711">
        <f>ROUND(((2*22*$B$38)-0.06*C$13),2)</f>
        <v>86.06</v>
      </c>
      <c r="D38" s="711">
        <f>ROUND(((2*22*$B$38)-0.06*D$13),2)</f>
        <v>103.98</v>
      </c>
      <c r="E38" s="717">
        <f>ROUND(((2*22*$B$38)-0.06*E$13),2)</f>
        <v>121.89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1:1015" ht="14.25" customHeight="1" x14ac:dyDescent="0.2">
      <c r="A39" s="716" t="s">
        <v>492</v>
      </c>
      <c r="B39" s="750"/>
      <c r="C39" s="690">
        <f>MC!E19</f>
        <v>359.61</v>
      </c>
      <c r="D39" s="690">
        <f>MC!E20</f>
        <v>179.8</v>
      </c>
      <c r="E39" s="701">
        <f>MC!E20</f>
        <v>179.8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1:1015" ht="14.25" customHeight="1" x14ac:dyDescent="0.2">
      <c r="A40" s="716" t="s">
        <v>493</v>
      </c>
      <c r="B40" s="689">
        <f>MC!C24</f>
        <v>0</v>
      </c>
      <c r="C40" s="690"/>
      <c r="D40" s="690"/>
      <c r="E40" s="70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1:1015" ht="14.25" customHeight="1" x14ac:dyDescent="0.2">
      <c r="A41" s="716" t="s">
        <v>603</v>
      </c>
      <c r="B41" s="751">
        <f>MC!E26</f>
        <v>0</v>
      </c>
      <c r="C41" s="690">
        <f>B41</f>
        <v>0</v>
      </c>
      <c r="D41" s="690">
        <f>B41</f>
        <v>0</v>
      </c>
      <c r="E41" s="70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1:1015" ht="14.25" customHeight="1" x14ac:dyDescent="0.2">
      <c r="A42" s="716" t="s">
        <v>604</v>
      </c>
      <c r="B42" s="751">
        <f>MC!E27</f>
        <v>17.32</v>
      </c>
      <c r="C42" s="690">
        <f>$B42</f>
        <v>17.32</v>
      </c>
      <c r="D42" s="690">
        <f>$B42</f>
        <v>17.32</v>
      </c>
      <c r="E42" s="701">
        <f>$B42</f>
        <v>17.32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1:1015" ht="14.25" customHeight="1" x14ac:dyDescent="0.2">
      <c r="A43" s="716" t="s">
        <v>496</v>
      </c>
      <c r="B43" s="689"/>
      <c r="C43" s="690"/>
      <c r="D43" s="690"/>
      <c r="E43" s="70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1:1015" ht="14.25" customHeight="1" x14ac:dyDescent="0.2">
      <c r="A44" s="752" t="s">
        <v>474</v>
      </c>
      <c r="B44" s="730"/>
      <c r="C44" s="731">
        <f>SUM(C38:C43)</f>
        <v>462.99</v>
      </c>
      <c r="D44" s="731">
        <f>SUM(D38:D43)</f>
        <v>301.10000000000002</v>
      </c>
      <c r="E44" s="753">
        <f>SUM(E38:E43)</f>
        <v>319.01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1:1015" ht="14.25" customHeight="1" x14ac:dyDescent="0.2">
      <c r="A45" s="698" t="s">
        <v>497</v>
      </c>
      <c r="B45" s="688" t="s">
        <v>464</v>
      </c>
      <c r="C45" s="688" t="s">
        <v>465</v>
      </c>
      <c r="D45" s="688" t="s">
        <v>465</v>
      </c>
      <c r="E45" s="699" t="s">
        <v>465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1:1015" ht="14.25" customHeight="1" x14ac:dyDescent="0.2">
      <c r="A46" s="716" t="s">
        <v>476</v>
      </c>
      <c r="B46" s="728">
        <f>B25</f>
        <v>0.1111111111111111</v>
      </c>
      <c r="C46" s="729">
        <f>C25</f>
        <v>159.28090909090909</v>
      </c>
      <c r="D46" s="729">
        <f>D25</f>
        <v>119.46568181818181</v>
      </c>
      <c r="E46" s="736">
        <f>E25</f>
        <v>79.640454545454546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1:1015" ht="14.25" customHeight="1" x14ac:dyDescent="0.2">
      <c r="A47" s="716" t="s">
        <v>498</v>
      </c>
      <c r="B47" s="728">
        <f>B36</f>
        <v>0.36800000000000005</v>
      </c>
      <c r="C47" s="729">
        <f>C36</f>
        <v>586.18000000000006</v>
      </c>
      <c r="D47" s="729">
        <f>D36</f>
        <v>439.64</v>
      </c>
      <c r="E47" s="736">
        <f>E36</f>
        <v>293.07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1:1015" ht="14.25" customHeight="1" x14ac:dyDescent="0.2">
      <c r="A48" s="716" t="s">
        <v>489</v>
      </c>
      <c r="B48" s="728"/>
      <c r="C48" s="729">
        <f>C44</f>
        <v>462.99</v>
      </c>
      <c r="D48" s="729">
        <f>D44</f>
        <v>301.10000000000002</v>
      </c>
      <c r="E48" s="736">
        <f>E44</f>
        <v>319.01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1:1015" ht="14.25" customHeight="1" x14ac:dyDescent="0.2">
      <c r="A49" s="737" t="s">
        <v>474</v>
      </c>
      <c r="B49" s="738"/>
      <c r="C49" s="739">
        <f>SUM(C46:C48)</f>
        <v>1208.4509090909091</v>
      </c>
      <c r="D49" s="739">
        <f>SUM(D46:D48)</f>
        <v>860.2056818181818</v>
      </c>
      <c r="E49" s="740">
        <f>SUM(E46:E48)</f>
        <v>691.72045454545446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1:1015" ht="14.25" customHeight="1" x14ac:dyDescent="0.2">
      <c r="A50" s="903"/>
      <c r="B50" s="903"/>
      <c r="C50" s="903"/>
      <c r="D50" s="903"/>
      <c r="E50" s="90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1:1015" s="437" customFormat="1" ht="14.25" customHeight="1" x14ac:dyDescent="0.2">
      <c r="A51" s="904" t="s">
        <v>499</v>
      </c>
      <c r="B51" s="905"/>
      <c r="C51" s="905"/>
      <c r="D51" s="905"/>
      <c r="E51" s="906"/>
    </row>
    <row r="52" spans="1:1015" ht="14.25" customHeight="1" x14ac:dyDescent="0.2">
      <c r="A52" s="698" t="s">
        <v>500</v>
      </c>
      <c r="B52" s="688" t="s">
        <v>464</v>
      </c>
      <c r="C52" s="688" t="s">
        <v>465</v>
      </c>
      <c r="D52" s="688" t="s">
        <v>465</v>
      </c>
      <c r="E52" s="699" t="s">
        <v>465</v>
      </c>
    </row>
    <row r="53" spans="1:1015" ht="14.25" customHeight="1" x14ac:dyDescent="0.2">
      <c r="A53" s="732" t="s">
        <v>501</v>
      </c>
      <c r="B53" s="741"/>
      <c r="C53" s="741"/>
      <c r="D53" s="741"/>
      <c r="E53" s="748"/>
    </row>
    <row r="54" spans="1:1015" ht="14.25" customHeight="1" x14ac:dyDescent="0.2">
      <c r="A54" s="716" t="s">
        <v>502</v>
      </c>
      <c r="B54" s="728">
        <f>1/12*0.05</f>
        <v>4.1666666666666666E-3</v>
      </c>
      <c r="C54" s="742">
        <f>C19*$B54</f>
        <v>5.973136363636363</v>
      </c>
      <c r="D54" s="742">
        <f>D19*$B54</f>
        <v>4.479852272727272</v>
      </c>
      <c r="E54" s="744">
        <f>E19*$B54</f>
        <v>2.9865681818181815</v>
      </c>
    </row>
    <row r="55" spans="1:1015" ht="14.25" customHeight="1" x14ac:dyDescent="0.2">
      <c r="A55" s="716" t="s">
        <v>503</v>
      </c>
      <c r="B55" s="728">
        <f>B35*B54</f>
        <v>3.3333333333333332E-4</v>
      </c>
      <c r="C55" s="742">
        <f>$B$55*C19</f>
        <v>0.47785090909090905</v>
      </c>
      <c r="D55" s="742">
        <f>$B$55*D19</f>
        <v>0.35838818181818177</v>
      </c>
      <c r="E55" s="744">
        <f>$B$55*E19</f>
        <v>0.23892545454545452</v>
      </c>
    </row>
    <row r="56" spans="1:1015" ht="14.25" customHeight="1" x14ac:dyDescent="0.2">
      <c r="A56" s="716" t="s">
        <v>504</v>
      </c>
      <c r="B56" s="728">
        <v>0</v>
      </c>
      <c r="C56" s="742">
        <f>C35*$B56</f>
        <v>0</v>
      </c>
      <c r="D56" s="742">
        <f>D35*$B56</f>
        <v>0</v>
      </c>
      <c r="E56" s="744">
        <f>E35*$B56</f>
        <v>0</v>
      </c>
    </row>
    <row r="57" spans="1:1015" ht="14.25" customHeight="1" x14ac:dyDescent="0.2">
      <c r="A57" s="716" t="s">
        <v>505</v>
      </c>
      <c r="B57" s="728">
        <f>1/12*1/30*7</f>
        <v>1.9444444444444441E-2</v>
      </c>
      <c r="C57" s="729">
        <f>C19*$B57</f>
        <v>27.874636363636359</v>
      </c>
      <c r="D57" s="729">
        <f>D19*$B57</f>
        <v>20.905977272727267</v>
      </c>
      <c r="E57" s="736">
        <f>E19*$B57</f>
        <v>13.937318181818179</v>
      </c>
    </row>
    <row r="58" spans="1:1015" ht="14.25" customHeight="1" x14ac:dyDescent="0.2">
      <c r="A58" s="716" t="s">
        <v>506</v>
      </c>
      <c r="B58" s="728">
        <f>B36*B57</f>
        <v>7.1555555555555556E-3</v>
      </c>
      <c r="C58" s="729">
        <f>$B58*C19</f>
        <v>10.257866181818182</v>
      </c>
      <c r="D58" s="729">
        <f>$B58*D19</f>
        <v>7.693399636363635</v>
      </c>
      <c r="E58" s="736">
        <f>$B58*E19</f>
        <v>5.1289330909090909</v>
      </c>
    </row>
    <row r="59" spans="1:1015" ht="14.25" customHeight="1" x14ac:dyDescent="0.2">
      <c r="A59" s="716" t="s">
        <v>507</v>
      </c>
      <c r="B59" s="728">
        <f>B35*40/100*90/100*(1+1/12+1/12+1/3*1/12)</f>
        <v>3.4399999999999993E-2</v>
      </c>
      <c r="C59" s="729">
        <f>C19*$B59</f>
        <v>49.314213818181805</v>
      </c>
      <c r="D59" s="729">
        <f>D19*$B59</f>
        <v>36.985660363636349</v>
      </c>
      <c r="E59" s="736">
        <f>E19*$B59</f>
        <v>24.657106909090903</v>
      </c>
    </row>
    <row r="60" spans="1:1015" ht="14.25" customHeight="1" x14ac:dyDescent="0.2">
      <c r="A60" s="737" t="s">
        <v>474</v>
      </c>
      <c r="B60" s="745">
        <f>SUM(B54:B59)</f>
        <v>6.5499999999999989E-2</v>
      </c>
      <c r="C60" s="746">
        <f>SUM(C54:C59)</f>
        <v>93.897703636363616</v>
      </c>
      <c r="D60" s="746">
        <f>SUM(D54:D59)</f>
        <v>70.423277727272705</v>
      </c>
      <c r="E60" s="747">
        <f>SUM(E54:E59)</f>
        <v>46.948851818181808</v>
      </c>
    </row>
    <row r="61" spans="1:1015" ht="14.25" customHeight="1" x14ac:dyDescent="0.2">
      <c r="A61" s="903"/>
      <c r="B61" s="903"/>
      <c r="C61" s="903"/>
      <c r="D61" s="903"/>
      <c r="E61" s="903"/>
    </row>
    <row r="62" spans="1:1015" ht="14.25" customHeight="1" x14ac:dyDescent="0.2">
      <c r="A62" s="904" t="s">
        <v>508</v>
      </c>
      <c r="B62" s="905"/>
      <c r="C62" s="905"/>
      <c r="D62" s="905"/>
      <c r="E62" s="906"/>
    </row>
    <row r="63" spans="1:1015" ht="14.25" customHeight="1" x14ac:dyDescent="0.2">
      <c r="A63" s="732" t="s">
        <v>46</v>
      </c>
      <c r="B63" s="725" t="s">
        <v>464</v>
      </c>
      <c r="C63" s="725" t="s">
        <v>465</v>
      </c>
      <c r="D63" s="725" t="s">
        <v>465</v>
      </c>
      <c r="E63" s="733" t="s">
        <v>465</v>
      </c>
    </row>
    <row r="64" spans="1:1015" ht="14.25" customHeight="1" x14ac:dyDescent="0.2">
      <c r="A64" s="716" t="s">
        <v>47</v>
      </c>
      <c r="B64" s="689">
        <f>1/12</f>
        <v>8.3333333333333329E-2</v>
      </c>
      <c r="C64" s="690">
        <f t="shared" ref="C64:E67" si="1">$B64*(C$19+C$49+C$60)</f>
        <v>227.99177833333331</v>
      </c>
      <c r="D64" s="690">
        <f t="shared" si="1"/>
        <v>167.14945874999998</v>
      </c>
      <c r="E64" s="701">
        <f t="shared" si="1"/>
        <v>121.28713916666665</v>
      </c>
    </row>
    <row r="65" spans="1:5" ht="14.25" customHeight="1" x14ac:dyDescent="0.2">
      <c r="A65" s="716" t="s">
        <v>509</v>
      </c>
      <c r="B65" s="689">
        <f>MC!E54/30/12</f>
        <v>1.3538888888888885E-2</v>
      </c>
      <c r="C65" s="690">
        <f t="shared" si="1"/>
        <v>37.04106425322221</v>
      </c>
      <c r="D65" s="690">
        <f t="shared" si="1"/>
        <v>27.156215398249991</v>
      </c>
      <c r="E65" s="701">
        <f t="shared" si="1"/>
        <v>19.705117209944436</v>
      </c>
    </row>
    <row r="66" spans="1:5" ht="14.25" customHeight="1" x14ac:dyDescent="0.2">
      <c r="A66" s="716" t="s">
        <v>510</v>
      </c>
      <c r="B66" s="726">
        <f>(5/30)/12*MC!F56*MC!C57</f>
        <v>1.0764583333333333E-4</v>
      </c>
      <c r="C66" s="690">
        <f t="shared" si="1"/>
        <v>0.29450837966208332</v>
      </c>
      <c r="D66" s="690">
        <f t="shared" si="1"/>
        <v>0.21591531334031247</v>
      </c>
      <c r="E66" s="701">
        <f t="shared" si="1"/>
        <v>0.15667266201854166</v>
      </c>
    </row>
    <row r="67" spans="1:5" ht="14.25" customHeight="1" x14ac:dyDescent="0.2">
      <c r="A67" s="716" t="s">
        <v>511</v>
      </c>
      <c r="B67" s="726">
        <f>MC!C59/30/12</f>
        <v>2.6830555555555553E-3</v>
      </c>
      <c r="C67" s="690">
        <f t="shared" si="1"/>
        <v>7.3405752897388883</v>
      </c>
      <c r="D67" s="690">
        <f t="shared" si="1"/>
        <v>5.3816554068874991</v>
      </c>
      <c r="E67" s="701">
        <f t="shared" si="1"/>
        <v>3.9050415907027771</v>
      </c>
    </row>
    <row r="68" spans="1:5" ht="14.25" customHeight="1" x14ac:dyDescent="0.2">
      <c r="A68" s="716" t="s">
        <v>473</v>
      </c>
      <c r="B68" s="689"/>
      <c r="C68" s="690"/>
      <c r="D68" s="690"/>
      <c r="E68" s="701"/>
    </row>
    <row r="69" spans="1:5" ht="14.25" customHeight="1" x14ac:dyDescent="0.2">
      <c r="A69" s="734" t="s">
        <v>512</v>
      </c>
      <c r="B69" s="727">
        <f>SUM(B64:B68)</f>
        <v>9.9662923611111107E-2</v>
      </c>
      <c r="C69" s="715">
        <f>SUM(C64:C68)</f>
        <v>272.6679262559565</v>
      </c>
      <c r="D69" s="715">
        <f>SUM(D64:D68)</f>
        <v>199.90324486847777</v>
      </c>
      <c r="E69" s="735">
        <f>SUM(E64:E68)</f>
        <v>145.05397062933241</v>
      </c>
    </row>
    <row r="70" spans="1:5" ht="14.25" customHeight="1" x14ac:dyDescent="0.2">
      <c r="A70" s="732" t="s">
        <v>513</v>
      </c>
      <c r="B70" s="725" t="s">
        <v>464</v>
      </c>
      <c r="C70" s="725" t="s">
        <v>465</v>
      </c>
      <c r="D70" s="725" t="s">
        <v>465</v>
      </c>
      <c r="E70" s="733" t="s">
        <v>465</v>
      </c>
    </row>
    <row r="71" spans="1:5" ht="14.25" customHeight="1" x14ac:dyDescent="0.2">
      <c r="A71" s="716" t="s">
        <v>514</v>
      </c>
      <c r="B71" s="689"/>
      <c r="C71" s="690"/>
      <c r="D71" s="690"/>
      <c r="E71" s="701"/>
    </row>
    <row r="72" spans="1:5" ht="14.25" customHeight="1" x14ac:dyDescent="0.2">
      <c r="A72" s="734" t="s">
        <v>512</v>
      </c>
      <c r="B72" s="727"/>
      <c r="C72" s="715">
        <f>C71</f>
        <v>0</v>
      </c>
      <c r="D72" s="715"/>
      <c r="E72" s="735"/>
    </row>
    <row r="73" spans="1:5" ht="14.25" customHeight="1" x14ac:dyDescent="0.2">
      <c r="A73" s="732" t="s">
        <v>68</v>
      </c>
      <c r="B73" s="725" t="s">
        <v>464</v>
      </c>
      <c r="C73" s="725" t="s">
        <v>465</v>
      </c>
      <c r="D73" s="725" t="s">
        <v>465</v>
      </c>
      <c r="E73" s="733" t="s">
        <v>465</v>
      </c>
    </row>
    <row r="74" spans="1:5" ht="14.25" customHeight="1" x14ac:dyDescent="0.2">
      <c r="A74" s="716" t="s">
        <v>69</v>
      </c>
      <c r="B74" s="689">
        <f>120/30*MC!C62*MC!C63</f>
        <v>6.18624E-3</v>
      </c>
      <c r="C74" s="690">
        <f>(((C19*2)+ (C19*1/3))+(C36)+(C44-C38-C39))*$B$74</f>
        <v>24.426098694981821</v>
      </c>
      <c r="D74" s="690">
        <f>(((D19*2)+ (D19*1/3))+(D36)+(D44-D38-D39))*$B$74</f>
        <v>18.346391371636361</v>
      </c>
      <c r="E74" s="701">
        <f>(((E19*2)+ (E19*1/3))+(E36)+(E44-E38-E39))*$B$74</f>
        <v>12.266498461090908</v>
      </c>
    </row>
    <row r="75" spans="1:5" ht="14.25" customHeight="1" x14ac:dyDescent="0.2">
      <c r="A75" s="734" t="s">
        <v>474</v>
      </c>
      <c r="B75" s="727"/>
      <c r="C75" s="715"/>
      <c r="D75" s="715"/>
      <c r="E75" s="735"/>
    </row>
    <row r="76" spans="1:5" ht="14.25" customHeight="1" x14ac:dyDescent="0.2">
      <c r="A76" s="698" t="s">
        <v>515</v>
      </c>
      <c r="B76" s="688" t="s">
        <v>464</v>
      </c>
      <c r="C76" s="688" t="s">
        <v>465</v>
      </c>
      <c r="D76" s="688" t="s">
        <v>465</v>
      </c>
      <c r="E76" s="699" t="s">
        <v>465</v>
      </c>
    </row>
    <row r="77" spans="1:5" ht="14.25" customHeight="1" x14ac:dyDescent="0.2">
      <c r="A77" s="716" t="s">
        <v>46</v>
      </c>
      <c r="B77" s="728">
        <f>B69</f>
        <v>9.9662923611111107E-2</v>
      </c>
      <c r="C77" s="729">
        <f>C69</f>
        <v>272.6679262559565</v>
      </c>
      <c r="D77" s="729">
        <f>D69</f>
        <v>199.90324486847777</v>
      </c>
      <c r="E77" s="736">
        <f>E69</f>
        <v>145.05397062933241</v>
      </c>
    </row>
    <row r="78" spans="1:5" ht="14.25" customHeight="1" x14ac:dyDescent="0.2">
      <c r="A78" s="716" t="s">
        <v>513</v>
      </c>
      <c r="B78" s="728">
        <f>B72</f>
        <v>0</v>
      </c>
      <c r="C78" s="729">
        <f>C72</f>
        <v>0</v>
      </c>
      <c r="D78" s="729">
        <f>D72</f>
        <v>0</v>
      </c>
      <c r="E78" s="736">
        <f>E72</f>
        <v>0</v>
      </c>
    </row>
    <row r="79" spans="1:5" ht="14.25" customHeight="1" x14ac:dyDescent="0.2">
      <c r="A79" s="716" t="s">
        <v>68</v>
      </c>
      <c r="B79" s="728">
        <f>B74</f>
        <v>6.18624E-3</v>
      </c>
      <c r="C79" s="729">
        <f>C74</f>
        <v>24.426098694981821</v>
      </c>
      <c r="D79" s="729">
        <f>D74</f>
        <v>18.346391371636361</v>
      </c>
      <c r="E79" s="736">
        <f>E74</f>
        <v>12.266498461090908</v>
      </c>
    </row>
    <row r="80" spans="1:5" ht="14.25" customHeight="1" x14ac:dyDescent="0.2">
      <c r="A80" s="737" t="s">
        <v>474</v>
      </c>
      <c r="B80" s="738"/>
      <c r="C80" s="739">
        <f>SUM(C77:C79)</f>
        <v>297.09402495093832</v>
      </c>
      <c r="D80" s="739">
        <f>SUM(D77:D79)</f>
        <v>218.24963624011414</v>
      </c>
      <c r="E80" s="740">
        <f>SUM(E77:E79)</f>
        <v>157.32046909042333</v>
      </c>
    </row>
    <row r="81" spans="1:5" ht="14.25" customHeight="1" x14ac:dyDescent="0.2">
      <c r="A81" s="903"/>
      <c r="B81" s="903"/>
      <c r="C81" s="903"/>
      <c r="D81" s="903"/>
      <c r="E81" s="903"/>
    </row>
    <row r="82" spans="1:5" ht="14.25" customHeight="1" x14ac:dyDescent="0.2">
      <c r="A82" s="904" t="s">
        <v>516</v>
      </c>
      <c r="B82" s="905"/>
      <c r="C82" s="905"/>
      <c r="D82" s="905"/>
      <c r="E82" s="906"/>
    </row>
    <row r="83" spans="1:5" ht="14.25" customHeight="1" x14ac:dyDescent="0.2">
      <c r="A83" s="698" t="s">
        <v>517</v>
      </c>
      <c r="B83" s="688" t="s">
        <v>490</v>
      </c>
      <c r="C83" s="688" t="s">
        <v>465</v>
      </c>
      <c r="D83" s="688" t="s">
        <v>465</v>
      </c>
      <c r="E83" s="699" t="s">
        <v>465</v>
      </c>
    </row>
    <row r="84" spans="1:5" ht="14.25" customHeight="1" x14ac:dyDescent="0.2">
      <c r="A84" s="716" t="s">
        <v>519</v>
      </c>
      <c r="B84" s="710"/>
      <c r="C84" s="711">
        <f>Insumos!$I118</f>
        <v>27.875416666666666</v>
      </c>
      <c r="D84" s="711">
        <f>Insumos!$I118</f>
        <v>27.875416666666666</v>
      </c>
      <c r="E84" s="717">
        <f>Insumos!$I118</f>
        <v>27.875416666666666</v>
      </c>
    </row>
    <row r="85" spans="1:5" ht="14.25" customHeight="1" x14ac:dyDescent="0.2">
      <c r="A85" s="718" t="s">
        <v>520</v>
      </c>
      <c r="B85" s="710"/>
      <c r="C85" s="711">
        <f>Insumos!$G70</f>
        <v>247.1166666666667</v>
      </c>
      <c r="D85" s="711">
        <f>Insumos!$G70</f>
        <v>247.1166666666667</v>
      </c>
      <c r="E85" s="717">
        <f>Insumos!$G70</f>
        <v>247.1166666666667</v>
      </c>
    </row>
    <row r="86" spans="1:5" ht="14.25" customHeight="1" x14ac:dyDescent="0.2">
      <c r="A86" s="718" t="s">
        <v>521</v>
      </c>
      <c r="B86" s="712"/>
      <c r="C86" s="713" t="s">
        <v>469</v>
      </c>
      <c r="D86" s="713" t="s">
        <v>469</v>
      </c>
      <c r="E86" s="719" t="s">
        <v>469</v>
      </c>
    </row>
    <row r="87" spans="1:5" ht="14.25" customHeight="1" x14ac:dyDescent="0.2">
      <c r="A87" s="718" t="s">
        <v>522</v>
      </c>
      <c r="B87" s="714"/>
      <c r="C87" s="711">
        <f>Insumos!$I123</f>
        <v>142.21333333333334</v>
      </c>
      <c r="D87" s="711">
        <f>Insumos!$H123</f>
        <v>122.52333333333333</v>
      </c>
      <c r="E87" s="717">
        <f>Insumos!$H123</f>
        <v>122.52333333333333</v>
      </c>
    </row>
    <row r="88" spans="1:5" ht="14.25" customHeight="1" x14ac:dyDescent="0.2">
      <c r="A88" s="720" t="s">
        <v>474</v>
      </c>
      <c r="B88" s="721"/>
      <c r="C88" s="722">
        <f>SUM(C84:C87)</f>
        <v>417.20541666666668</v>
      </c>
      <c r="D88" s="722">
        <f>SUM(D84:D87)</f>
        <v>397.51541666666668</v>
      </c>
      <c r="E88" s="723">
        <f>SUM(E84:E87)</f>
        <v>397.51541666666668</v>
      </c>
    </row>
    <row r="89" spans="1:5" ht="14.25" customHeight="1" x14ac:dyDescent="0.2">
      <c r="A89" s="903"/>
      <c r="B89" s="903"/>
      <c r="C89" s="903"/>
      <c r="D89" s="903"/>
      <c r="E89" s="903"/>
    </row>
    <row r="90" spans="1:5" ht="14.25" customHeight="1" x14ac:dyDescent="0.2">
      <c r="A90" s="904" t="s">
        <v>526</v>
      </c>
      <c r="B90" s="905"/>
      <c r="C90" s="905"/>
      <c r="D90" s="905"/>
      <c r="E90" s="906"/>
    </row>
    <row r="91" spans="1:5" ht="14.25" customHeight="1" x14ac:dyDescent="0.2">
      <c r="A91" s="698" t="s">
        <v>527</v>
      </c>
      <c r="B91" s="688" t="s">
        <v>464</v>
      </c>
      <c r="C91" s="688" t="s">
        <v>465</v>
      </c>
      <c r="D91" s="688" t="s">
        <v>465</v>
      </c>
      <c r="E91" s="699" t="s">
        <v>465</v>
      </c>
    </row>
    <row r="92" spans="1:5" ht="14.25" customHeight="1" x14ac:dyDescent="0.2">
      <c r="A92" s="700" t="s">
        <v>74</v>
      </c>
      <c r="B92" s="689">
        <v>0.03</v>
      </c>
      <c r="C92" s="690">
        <f>($C$19+$C$49+$C$60+$C$80+$C$88)*$B$92</f>
        <v>103.50602344852814</v>
      </c>
      <c r="D92" s="690">
        <f>(D$19+D$49+D$60+D$80+D$88)*$B$92</f>
        <v>78.646756737203418</v>
      </c>
      <c r="E92" s="701">
        <f>(E$19+E$49+E$60+E$80+E$88)*$B$92</f>
        <v>60.308446672712691</v>
      </c>
    </row>
    <row r="93" spans="1:5" ht="14.25" customHeight="1" x14ac:dyDescent="0.2">
      <c r="A93" s="700" t="s">
        <v>75</v>
      </c>
      <c r="B93" s="689">
        <v>6.7900000000000002E-2</v>
      </c>
      <c r="C93" s="690">
        <f>($C$19+$C$49+$C$60+$C$80+$C$88+C92)*B93</f>
        <v>241.29669206399043</v>
      </c>
      <c r="D93" s="690">
        <f>(D$19+D$49+D$60+D$80+D$88+D$92)*$B$93</f>
        <v>183.34394086432653</v>
      </c>
      <c r="E93" s="701">
        <f>(E$19+E$49+E$60+E$80+E$88+E$92)*$B$93</f>
        <v>140.5930611649836</v>
      </c>
    </row>
    <row r="94" spans="1:5" ht="14.25" customHeight="1" x14ac:dyDescent="0.2">
      <c r="A94" s="702" t="s">
        <v>528</v>
      </c>
      <c r="B94" s="691">
        <f>B95+B96</f>
        <v>0.1125</v>
      </c>
      <c r="C94" s="692">
        <f>((C19+C49+C60+C80+C88+C92+C93)/(1-($B$94)))*$B$94</f>
        <v>481.0567813263537</v>
      </c>
      <c r="D94" s="692">
        <f>((D19+D49+D60+D80+D88+D92+D93)/(1-($B$94)))*$B$94</f>
        <v>365.52032816302534</v>
      </c>
      <c r="E94" s="703">
        <f>((E19+E49+E60+E80+E88+E92+E93)/(1-($B$94)))*$B$94</f>
        <v>280.29081087821237</v>
      </c>
    </row>
    <row r="95" spans="1:5" ht="14.25" customHeight="1" x14ac:dyDescent="0.2">
      <c r="A95" s="700" t="s">
        <v>529</v>
      </c>
      <c r="B95" s="689">
        <f>0.0165+0.076</f>
        <v>9.2499999999999999E-2</v>
      </c>
      <c r="C95" s="693">
        <f>((C$19+C$49+C$60+C$80+C$88+C$92+C$93)/(1-($B$94)))*$B$95</f>
        <v>395.53557575722414</v>
      </c>
      <c r="D95" s="693">
        <f>((D$19+D$49+D$60+D$80+D$88+D$92+D$93)/(1-($B$94)))*$B$95</f>
        <v>300.5389364895986</v>
      </c>
      <c r="E95" s="704">
        <f>((E$19+E$49+E$60+E$80+E$88+E$92+E$93)/(1-($B$94)))*$B$95</f>
        <v>230.46133338875239</v>
      </c>
    </row>
    <row r="96" spans="1:5" ht="14.25" customHeight="1" x14ac:dyDescent="0.2">
      <c r="A96" s="700" t="s">
        <v>530</v>
      </c>
      <c r="B96" s="689">
        <v>0.02</v>
      </c>
      <c r="C96" s="693">
        <f>((C$19+C$49+C$60+C$80+C$88+C$92+C$93)/(1-($B$94)))*$B$96</f>
        <v>85.521205569129549</v>
      </c>
      <c r="D96" s="693">
        <f>((D$19+D$49+D$60+D$80+D$88+D$92+D$93)/(1-($B$94)))*$B$96</f>
        <v>64.981391673426728</v>
      </c>
      <c r="E96" s="704">
        <f>((E$19+E$49+E$60+E$80+E$88+E$92+E$93)/(1-($B$94)))*$B$96</f>
        <v>49.829477489459975</v>
      </c>
    </row>
    <row r="97" spans="1:5" ht="14.25" customHeight="1" x14ac:dyDescent="0.2">
      <c r="A97" s="702" t="s">
        <v>531</v>
      </c>
      <c r="B97" s="691">
        <f>B98+B99</f>
        <v>0.11749999999999999</v>
      </c>
      <c r="C97" s="692">
        <f>((C19+C49+C60+C80+C88+C92+C93)/(1-($B$97)))*$B$97</f>
        <v>505.28375174253762</v>
      </c>
      <c r="D97" s="692">
        <f>((D19+D49+D60+D80+D88+D92+D93)/(1-($B$97)))*$B$97</f>
        <v>383.92865441612065</v>
      </c>
      <c r="E97" s="703">
        <f>((E19+E49+E60+E80+E88+E92+E93)/(1-($B$97)))*$B$97</f>
        <v>294.40681016701114</v>
      </c>
    </row>
    <row r="98" spans="1:5" ht="14.25" customHeight="1" x14ac:dyDescent="0.2">
      <c r="A98" s="700" t="s">
        <v>529</v>
      </c>
      <c r="B98" s="689">
        <f>0.0165+0.076</f>
        <v>9.2499999999999999E-2</v>
      </c>
      <c r="C98" s="694">
        <f>((C19+C49+C60+C80+C88+C92+C93)/(1-($B$97)))*$B$98</f>
        <v>397.77657052072112</v>
      </c>
      <c r="D98" s="694">
        <f>((D19+D49+D60+D80+D88+D92+D93)/(1-($B$97)))*$B$98</f>
        <v>302.2417066680099</v>
      </c>
      <c r="E98" s="705">
        <f>((E19+E49+E60+E80+E88+E92+E93)/(1-($B$97)))*$B$98</f>
        <v>231.76706332296624</v>
      </c>
    </row>
    <row r="99" spans="1:5" ht="14.25" customHeight="1" x14ac:dyDescent="0.2">
      <c r="A99" s="700" t="s">
        <v>530</v>
      </c>
      <c r="B99" s="689">
        <v>2.5000000000000001E-2</v>
      </c>
      <c r="C99" s="694">
        <f>((C$19+C$49+C$60+C$80+C$88+C$92+C$93)/(1-($B$97)))*$B$99</f>
        <v>107.50718122181652</v>
      </c>
      <c r="D99" s="694">
        <f>((D$19+D$49+D$60+D$80+D$88+D$92+D$93)/(1-($B$97)))*$B$99</f>
        <v>81.686947748110782</v>
      </c>
      <c r="E99" s="705">
        <f>((E$19+E$49+E$60+E$80+E$88+E$92+E$93)/(1-($B$97)))*$B$99</f>
        <v>62.639746844044936</v>
      </c>
    </row>
    <row r="100" spans="1:5" ht="14.25" customHeight="1" x14ac:dyDescent="0.2">
      <c r="A100" s="702" t="s">
        <v>532</v>
      </c>
      <c r="B100" s="691">
        <f>B101+B102</f>
        <v>0.1225</v>
      </c>
      <c r="C100" s="692">
        <f>((C19+C49+C60+C80+C88+C92+C93)/(1-($B$100)))*$B$100</f>
        <v>529.78681298967535</v>
      </c>
      <c r="D100" s="692">
        <f>((D19+D49+D60+D80+D88+D92+D93)/(1-($B$100)))*$B$100</f>
        <v>402.54676216497785</v>
      </c>
      <c r="E100" s="703">
        <f>((E19+E49+E60+E80+E88+E92+E93)/(1-($B$100)))*$B$100</f>
        <v>308.68367554457132</v>
      </c>
    </row>
    <row r="101" spans="1:5" ht="14.25" customHeight="1" x14ac:dyDescent="0.2">
      <c r="A101" s="700" t="s">
        <v>529</v>
      </c>
      <c r="B101" s="689">
        <f>0.0165+0.076</f>
        <v>9.2499999999999999E-2</v>
      </c>
      <c r="C101" s="694">
        <f>((C19+C49+C60+C80+C88+C92+C93)/(1-($B$100)))*$B$101</f>
        <v>400.04310368608139</v>
      </c>
      <c r="D101" s="694">
        <f>((D19+D49+D60+D80+D88+D92+D93)/(1-($B$100)))*$B$101</f>
        <v>303.96388163477923</v>
      </c>
      <c r="E101" s="705">
        <f>((E19+E49+E60+E80+E88+E92+E93)/(1-($B$100)))*$B$101</f>
        <v>233.0876733703906</v>
      </c>
    </row>
    <row r="102" spans="1:5" ht="14.25" customHeight="1" x14ac:dyDescent="0.2">
      <c r="A102" s="700" t="s">
        <v>530</v>
      </c>
      <c r="B102" s="689">
        <v>0.03</v>
      </c>
      <c r="C102" s="694">
        <f>((C19+C49+C60+C80+C88+C92+C93)/(1-($B$100)))*$B$102</f>
        <v>129.74370930359396</v>
      </c>
      <c r="D102" s="694">
        <f>((D19+D49+D60+D80+D88+D92+D93)/(1-($B$100)))*$B$102</f>
        <v>98.582880530198665</v>
      </c>
      <c r="E102" s="705">
        <f>((E19+E49+E60+E80+E88+E92+E93)/(1-($B$100)))*$B$102</f>
        <v>75.596002174180725</v>
      </c>
    </row>
    <row r="103" spans="1:5" ht="14.25" customHeight="1" x14ac:dyDescent="0.2">
      <c r="A103" s="702" t="s">
        <v>533</v>
      </c>
      <c r="B103" s="691">
        <f>B104+B105</f>
        <v>0.1275</v>
      </c>
      <c r="C103" s="692">
        <f>((C19+C49+C60+C80+C88+C92+C93)/(1-($B$103)))*$B$103</f>
        <v>554.57071161500369</v>
      </c>
      <c r="D103" s="692">
        <f t="shared" ref="D103:E103" si="2">((D19+D49+D60+D80+D88+D92+D93)/(1-($B$103)))*$B$103</f>
        <v>421.37825796826314</v>
      </c>
      <c r="E103" s="703">
        <f t="shared" si="2"/>
        <v>323.12417261700313</v>
      </c>
    </row>
    <row r="104" spans="1:5" ht="14.25" customHeight="1" x14ac:dyDescent="0.2">
      <c r="A104" s="700" t="s">
        <v>529</v>
      </c>
      <c r="B104" s="689">
        <f>0.0165+0.076</f>
        <v>9.2499999999999999E-2</v>
      </c>
      <c r="C104" s="694">
        <f>((C19+C49+C60+C80+C88+C92+C93)/(1-($B$103)))*$B$104</f>
        <v>402.33561430892428</v>
      </c>
      <c r="D104" s="694">
        <f t="shared" ref="D104:E104" si="3">((D19+D49+D60+D80+D88+D92+D93)/(1-($B$103)))*$B$104</f>
        <v>305.70579499658305</v>
      </c>
      <c r="E104" s="705">
        <f t="shared" si="3"/>
        <v>234.42341934959049</v>
      </c>
    </row>
    <row r="105" spans="1:5" ht="14.25" customHeight="1" x14ac:dyDescent="0.2">
      <c r="A105" s="700" t="s">
        <v>530</v>
      </c>
      <c r="B105" s="689">
        <v>3.5000000000000003E-2</v>
      </c>
      <c r="C105" s="694">
        <f>((C19+C49+C60+C80+C88+C92+C93)/(1-($B$103)))*$B$105</f>
        <v>152.23509730607947</v>
      </c>
      <c r="D105" s="694">
        <f t="shared" ref="D105:E105" si="4">((D19+D49+D60+D80+D88+D92+D93)/(1-($B$103)))*$B$105</f>
        <v>115.67246297168008</v>
      </c>
      <c r="E105" s="705">
        <f t="shared" si="4"/>
        <v>88.700753267412622</v>
      </c>
    </row>
    <row r="106" spans="1:5" ht="14.25" customHeight="1" x14ac:dyDescent="0.2">
      <c r="A106" s="702" t="s">
        <v>534</v>
      </c>
      <c r="B106" s="691">
        <f>B107+B108</f>
        <v>0.13250000000000001</v>
      </c>
      <c r="C106" s="692">
        <f>((C19+C49+C60+C80+C88+C92+C93)/(1-($B$106)))*$B$106</f>
        <v>579.64030359624371</v>
      </c>
      <c r="D106" s="692">
        <f>((D19+D49+D60+D80+D88+D92+D93)/(1-($B$106)))*$B$106</f>
        <v>440.42683153296969</v>
      </c>
      <c r="E106" s="703">
        <f>((E19+E49+E60+E80+E88+E92+E93)/(1-($B$106)))*$B$106</f>
        <v>337.73113075078874</v>
      </c>
    </row>
    <row r="107" spans="1:5" ht="14.25" customHeight="1" x14ac:dyDescent="0.2">
      <c r="A107" s="700" t="s">
        <v>529</v>
      </c>
      <c r="B107" s="689">
        <f>0.0165+0.076</f>
        <v>9.2499999999999999E-2</v>
      </c>
      <c r="C107" s="694">
        <f>((C19+C49+C60+C80+C88+C92+C93)/(1-($B$106)))*$B$107</f>
        <v>404.654551567189</v>
      </c>
      <c r="D107" s="694">
        <f>((D19+D49+D60+D80+D88+D92+D93)/(1-($B$106)))*$B$107</f>
        <v>307.46778805131845</v>
      </c>
      <c r="E107" s="705">
        <f>((E19+E49+E60+E80+E88+E92+E93)/(1-($B$106)))*$B$107</f>
        <v>235.77456297696571</v>
      </c>
    </row>
    <row r="108" spans="1:5" ht="14.25" customHeight="1" x14ac:dyDescent="0.2">
      <c r="A108" s="700" t="s">
        <v>530</v>
      </c>
      <c r="B108" s="689">
        <v>0.04</v>
      </c>
      <c r="C108" s="694">
        <f>((C19+C49+C60+C80+C88+C92+C93)/(1-($B$106)))*$B$108</f>
        <v>174.98575202905471</v>
      </c>
      <c r="D108" s="694">
        <f>((D19+D49+D60+D80+D88+D92+D93)/(1-($B$106)))*$B$108</f>
        <v>132.95904348165124</v>
      </c>
      <c r="E108" s="705">
        <f>((E19+E49+E60+E80+E88+E92+E93)/(1-($B$106)))*$B$108</f>
        <v>101.95656777382301</v>
      </c>
    </row>
    <row r="109" spans="1:5" ht="14.25" customHeight="1" x14ac:dyDescent="0.2">
      <c r="A109" s="702" t="s">
        <v>535</v>
      </c>
      <c r="B109" s="691">
        <f>B110+B111</f>
        <v>0.14250000000000002</v>
      </c>
      <c r="C109" s="692">
        <f>((C19+C49+C60+C80+C88+C92+C93)/(1-($B$109)))*$B$109</f>
        <v>630.6565578321198</v>
      </c>
      <c r="D109" s="692">
        <f>((D19+D49+D60+D80+D88+D92+D93)/(1-($B$109)))*$B$109</f>
        <v>479.1904010611479</v>
      </c>
      <c r="E109" s="703">
        <f>((E19+E49+E60+E80+E88+E92+E93)/(1-($B$109)))*$B$109</f>
        <v>367.45607762362346</v>
      </c>
    </row>
    <row r="110" spans="1:5" ht="14.25" customHeight="1" x14ac:dyDescent="0.2">
      <c r="A110" s="700" t="s">
        <v>529</v>
      </c>
      <c r="B110" s="689">
        <f>0.0165+0.076</f>
        <v>9.2499999999999999E-2</v>
      </c>
      <c r="C110" s="693">
        <f>((C19+C49+C60+C80+C88+C92+C93)/(1-($B$109)))*$B$110</f>
        <v>409.37355508400753</v>
      </c>
      <c r="D110" s="693">
        <f>((D19+D49+D60+D80+D88+D92+D93)/(1-($B$109)))*$B$110</f>
        <v>311.05341823267491</v>
      </c>
      <c r="E110" s="704">
        <f>((E19+E49+E60+E80+E88+E92+E93)/(1-($B$109)))*$B$110</f>
        <v>238.5241205627029</v>
      </c>
    </row>
    <row r="111" spans="1:5" ht="14.25" customHeight="1" x14ac:dyDescent="0.2">
      <c r="A111" s="706" t="s">
        <v>530</v>
      </c>
      <c r="B111" s="707">
        <v>0.05</v>
      </c>
      <c r="C111" s="708">
        <f>((C19+C49+C60+C80+C88+C92+C93)/(1-($B$109)))*$B$111</f>
        <v>221.28300274811218</v>
      </c>
      <c r="D111" s="708">
        <f>((D19+D49+D60+D80+D88+D92+D93)/(1-($B$109)))*$B$111</f>
        <v>168.13698282847292</v>
      </c>
      <c r="E111" s="709">
        <f>((E19+E49+E60+E80+E88+E92+E93)/(1-($B$109)))*$B$111</f>
        <v>128.9319570609205</v>
      </c>
    </row>
    <row r="112" spans="1:5" ht="14.25" customHeight="1" x14ac:dyDescent="0.2">
      <c r="A112" s="907" t="s">
        <v>536</v>
      </c>
      <c r="B112" s="695">
        <v>0.02</v>
      </c>
      <c r="C112" s="696">
        <f>C92+C93+C94</f>
        <v>825.85949683887225</v>
      </c>
      <c r="D112" s="696">
        <f>D92+D93+D94</f>
        <v>627.51102576455537</v>
      </c>
      <c r="E112" s="697">
        <f>E92+E93+E94</f>
        <v>481.19231871590864</v>
      </c>
    </row>
    <row r="113" spans="1:5" ht="14.25" customHeight="1" x14ac:dyDescent="0.2">
      <c r="A113" s="908"/>
      <c r="B113" s="682">
        <v>2.5000000000000001E-2</v>
      </c>
      <c r="C113" s="683">
        <f>C92+C93+C97</f>
        <v>850.08646725505628</v>
      </c>
      <c r="D113" s="683">
        <f>D92+D93+D97</f>
        <v>645.91935201765068</v>
      </c>
      <c r="E113" s="684">
        <f>E92+E93+E97</f>
        <v>495.30831800470742</v>
      </c>
    </row>
    <row r="114" spans="1:5" ht="14.25" customHeight="1" x14ac:dyDescent="0.2">
      <c r="A114" s="908"/>
      <c r="B114" s="682">
        <v>0.03</v>
      </c>
      <c r="C114" s="683">
        <f>C92+C93+C100</f>
        <v>874.58952850219396</v>
      </c>
      <c r="D114" s="683">
        <f>D92+D93+D100</f>
        <v>664.53745976650782</v>
      </c>
      <c r="E114" s="684">
        <f>E92+E93+E100</f>
        <v>509.58518338226759</v>
      </c>
    </row>
    <row r="115" spans="1:5" ht="14.25" customHeight="1" x14ac:dyDescent="0.2">
      <c r="A115" s="908"/>
      <c r="B115" s="682">
        <v>3.5000000000000003E-2</v>
      </c>
      <c r="C115" s="683">
        <f>C92+C93+C103</f>
        <v>899.37342712752229</v>
      </c>
      <c r="D115" s="683">
        <f t="shared" ref="D115:E115" si="5">D92+D93+D103</f>
        <v>683.36895556979312</v>
      </c>
      <c r="E115" s="684">
        <f t="shared" si="5"/>
        <v>524.02568045469934</v>
      </c>
    </row>
    <row r="116" spans="1:5" ht="14.25" customHeight="1" x14ac:dyDescent="0.2">
      <c r="A116" s="908"/>
      <c r="B116" s="682">
        <v>0.04</v>
      </c>
      <c r="C116" s="683">
        <f>C92+C93+C106</f>
        <v>924.44301910876231</v>
      </c>
      <c r="D116" s="683">
        <f>D92+D93+D106</f>
        <v>702.41752913449966</v>
      </c>
      <c r="E116" s="684">
        <f>E92+E93+E106</f>
        <v>538.63263858848495</v>
      </c>
    </row>
    <row r="117" spans="1:5" ht="14.25" customHeight="1" x14ac:dyDescent="0.2">
      <c r="A117" s="909"/>
      <c r="B117" s="685">
        <v>0.05</v>
      </c>
      <c r="C117" s="686">
        <f>C92+C93+C109</f>
        <v>975.4592733446384</v>
      </c>
      <c r="D117" s="686">
        <f>D92+D93+D109</f>
        <v>741.18109866267787</v>
      </c>
      <c r="E117" s="687">
        <f>E92+E93+E109</f>
        <v>568.35758546131979</v>
      </c>
    </row>
    <row r="118" spans="1:5" ht="14.25" customHeight="1" x14ac:dyDescent="0.2">
      <c r="A118" s="892"/>
      <c r="B118" s="892"/>
      <c r="C118" s="892"/>
      <c r="D118" s="892"/>
      <c r="E118" s="892"/>
    </row>
    <row r="119" spans="1:5" ht="14.25" customHeight="1" x14ac:dyDescent="0.2">
      <c r="A119" s="892"/>
      <c r="B119" s="892"/>
      <c r="C119" s="892"/>
      <c r="D119" s="892"/>
      <c r="E119" s="892"/>
    </row>
    <row r="120" spans="1:5" ht="14.25" customHeight="1" x14ac:dyDescent="0.2">
      <c r="A120" s="893" t="s">
        <v>538</v>
      </c>
      <c r="B120" s="893"/>
      <c r="C120" s="497" t="str">
        <f>C10</f>
        <v>Servente 40h
COVID</v>
      </c>
      <c r="D120" s="568" t="str">
        <f>D10</f>
        <v>Servente 30h
COVID</v>
      </c>
      <c r="E120" s="569" t="str">
        <f>E10</f>
        <v>Servente 20h
COVID</v>
      </c>
    </row>
    <row r="121" spans="1:5" ht="14.25" customHeight="1" x14ac:dyDescent="0.2">
      <c r="A121" s="894" t="s">
        <v>539</v>
      </c>
      <c r="B121" s="894"/>
      <c r="C121" s="500" t="s">
        <v>465</v>
      </c>
      <c r="D121" s="570" t="s">
        <v>465</v>
      </c>
      <c r="E121" s="571" t="s">
        <v>465</v>
      </c>
    </row>
    <row r="122" spans="1:5" ht="15.75" customHeight="1" x14ac:dyDescent="0.2">
      <c r="A122" s="895" t="s">
        <v>540</v>
      </c>
      <c r="B122" s="895"/>
      <c r="C122" s="502">
        <f>C19</f>
        <v>1433.5527272727272</v>
      </c>
      <c r="D122" s="572">
        <f>D19</f>
        <v>1075.1645454545453</v>
      </c>
      <c r="E122" s="573">
        <f>E19</f>
        <v>716.77636363636361</v>
      </c>
    </row>
    <row r="123" spans="1:5" ht="15.75" customHeight="1" x14ac:dyDescent="0.2">
      <c r="A123" s="874" t="s">
        <v>541</v>
      </c>
      <c r="B123" s="874"/>
      <c r="C123" s="504">
        <f>C49</f>
        <v>1208.4509090909091</v>
      </c>
      <c r="D123" s="574">
        <f>D49</f>
        <v>860.2056818181818</v>
      </c>
      <c r="E123" s="575">
        <f>E49</f>
        <v>691.72045454545446</v>
      </c>
    </row>
    <row r="124" spans="1:5" ht="15.75" customHeight="1" x14ac:dyDescent="0.2">
      <c r="A124" s="874" t="s">
        <v>542</v>
      </c>
      <c r="B124" s="874"/>
      <c r="C124" s="504">
        <f>C60</f>
        <v>93.897703636363616</v>
      </c>
      <c r="D124" s="574">
        <f>D60</f>
        <v>70.423277727272705</v>
      </c>
      <c r="E124" s="575">
        <f>E60</f>
        <v>46.948851818181808</v>
      </c>
    </row>
    <row r="125" spans="1:5" ht="15.75" customHeight="1" x14ac:dyDescent="0.2">
      <c r="A125" s="874" t="s">
        <v>543</v>
      </c>
      <c r="B125" s="874"/>
      <c r="C125" s="504">
        <f>C80</f>
        <v>297.09402495093832</v>
      </c>
      <c r="D125" s="574">
        <f>D80</f>
        <v>218.24963624011414</v>
      </c>
      <c r="E125" s="575">
        <f>E80</f>
        <v>157.32046909042333</v>
      </c>
    </row>
    <row r="126" spans="1:5" ht="15.75" customHeight="1" x14ac:dyDescent="0.2">
      <c r="A126" s="874" t="s">
        <v>544</v>
      </c>
      <c r="B126" s="874"/>
      <c r="C126" s="504">
        <f>C88</f>
        <v>417.20541666666668</v>
      </c>
      <c r="D126" s="574">
        <f>D88</f>
        <v>397.51541666666668</v>
      </c>
      <c r="E126" s="575">
        <f>E88</f>
        <v>397.51541666666668</v>
      </c>
    </row>
    <row r="127" spans="1:5" ht="15.75" customHeight="1" x14ac:dyDescent="0.2">
      <c r="A127" s="896" t="s">
        <v>545</v>
      </c>
      <c r="B127" s="896"/>
      <c r="C127" s="506">
        <f>SUM(C122:C126)</f>
        <v>3450.2007816176047</v>
      </c>
      <c r="D127" s="576">
        <f>SUM(D122:D126)</f>
        <v>2621.5585579067806</v>
      </c>
      <c r="E127" s="577">
        <f>SUM(E122:E126)</f>
        <v>2010.2815557570898</v>
      </c>
    </row>
    <row r="128" spans="1:5" ht="15.75" customHeight="1" x14ac:dyDescent="0.2">
      <c r="A128" s="877" t="s">
        <v>546</v>
      </c>
      <c r="B128" s="877"/>
      <c r="C128" s="509">
        <f t="shared" ref="C128:E130" si="6">C112</f>
        <v>825.85949683887225</v>
      </c>
      <c r="D128" s="576">
        <f t="shared" si="6"/>
        <v>627.51102576455537</v>
      </c>
      <c r="E128" s="577">
        <f t="shared" si="6"/>
        <v>481.19231871590864</v>
      </c>
    </row>
    <row r="129" spans="1:5" ht="15.75" customHeight="1" x14ac:dyDescent="0.2">
      <c r="A129" s="874" t="s">
        <v>547</v>
      </c>
      <c r="B129" s="874"/>
      <c r="C129" s="511">
        <f t="shared" si="6"/>
        <v>850.08646725505628</v>
      </c>
      <c r="D129" s="576">
        <f t="shared" si="6"/>
        <v>645.91935201765068</v>
      </c>
      <c r="E129" s="577">
        <f t="shared" si="6"/>
        <v>495.30831800470742</v>
      </c>
    </row>
    <row r="130" spans="1:5" ht="15.75" customHeight="1" x14ac:dyDescent="0.2">
      <c r="A130" s="874" t="s">
        <v>548</v>
      </c>
      <c r="B130" s="874"/>
      <c r="C130" s="511">
        <f t="shared" si="6"/>
        <v>874.58952850219396</v>
      </c>
      <c r="D130" s="576">
        <f t="shared" si="6"/>
        <v>664.53745976650782</v>
      </c>
      <c r="E130" s="577">
        <f t="shared" si="6"/>
        <v>509.58518338226759</v>
      </c>
    </row>
    <row r="131" spans="1:5" ht="15.75" customHeight="1" x14ac:dyDescent="0.2">
      <c r="A131" s="874" t="s">
        <v>549</v>
      </c>
      <c r="B131" s="874"/>
      <c r="C131" s="511">
        <f>C115</f>
        <v>899.37342712752229</v>
      </c>
      <c r="D131" s="511">
        <f t="shared" ref="D131:E131" si="7">D115</f>
        <v>683.36895556979312</v>
      </c>
      <c r="E131" s="511">
        <f t="shared" si="7"/>
        <v>524.02568045469934</v>
      </c>
    </row>
    <row r="132" spans="1:5" ht="15.75" customHeight="1" x14ac:dyDescent="0.2">
      <c r="A132" s="874" t="s">
        <v>550</v>
      </c>
      <c r="B132" s="874"/>
      <c r="C132" s="511">
        <f>C116</f>
        <v>924.44301910876231</v>
      </c>
      <c r="D132" s="576">
        <f>D116</f>
        <v>702.41752913449966</v>
      </c>
      <c r="E132" s="577">
        <f>E116</f>
        <v>538.63263858848495</v>
      </c>
    </row>
    <row r="133" spans="1:5" ht="15.75" customHeight="1" x14ac:dyDescent="0.2">
      <c r="A133" s="877" t="s">
        <v>551</v>
      </c>
      <c r="B133" s="877"/>
      <c r="C133" s="511">
        <f>C117</f>
        <v>975.4592733446384</v>
      </c>
      <c r="D133" s="578">
        <f>D117</f>
        <v>741.18109866267787</v>
      </c>
      <c r="E133" s="579">
        <f>E117</f>
        <v>568.35758546131979</v>
      </c>
    </row>
    <row r="134" spans="1:5" ht="15.75" customHeight="1" x14ac:dyDescent="0.2">
      <c r="A134" s="513" t="s">
        <v>552</v>
      </c>
      <c r="B134" s="514"/>
      <c r="C134" s="515">
        <f>C127+C128</f>
        <v>4276.0602784564771</v>
      </c>
      <c r="D134" s="515">
        <f>D127+D128</f>
        <v>3249.0695836713357</v>
      </c>
      <c r="E134" s="516">
        <f>E127+E128</f>
        <v>2491.4738744729984</v>
      </c>
    </row>
    <row r="135" spans="1:5" ht="15.75" customHeight="1" x14ac:dyDescent="0.2">
      <c r="A135" s="517" t="s">
        <v>553</v>
      </c>
      <c r="B135" s="518"/>
      <c r="C135" s="519">
        <f>C127+C129</f>
        <v>4300.2872488726607</v>
      </c>
      <c r="D135" s="519">
        <f>D127+D129</f>
        <v>3267.4779099244315</v>
      </c>
      <c r="E135" s="520">
        <f>E127+E129</f>
        <v>2505.5898737617972</v>
      </c>
    </row>
    <row r="136" spans="1:5" ht="15.75" customHeight="1" x14ac:dyDescent="0.2">
      <c r="A136" s="517" t="s">
        <v>554</v>
      </c>
      <c r="B136" s="518"/>
      <c r="C136" s="519">
        <f>C127+C130</f>
        <v>4324.790310119799</v>
      </c>
      <c r="D136" s="519">
        <f>D127+D130</f>
        <v>3286.0960176732883</v>
      </c>
      <c r="E136" s="520">
        <f>E127+E130</f>
        <v>2519.8667391393574</v>
      </c>
    </row>
    <row r="137" spans="1:5" ht="15.75" customHeight="1" x14ac:dyDescent="0.2">
      <c r="A137" s="517" t="s">
        <v>555</v>
      </c>
      <c r="B137" s="518"/>
      <c r="C137" s="519">
        <f>C127+C131</f>
        <v>4349.5742087451272</v>
      </c>
      <c r="D137" s="519">
        <f t="shared" ref="D137:E137" si="8">D127+D131</f>
        <v>3304.9275134765739</v>
      </c>
      <c r="E137" s="519">
        <f t="shared" si="8"/>
        <v>2534.3072362117891</v>
      </c>
    </row>
    <row r="138" spans="1:5" ht="15.75" customHeight="1" x14ac:dyDescent="0.2">
      <c r="A138" s="517" t="s">
        <v>556</v>
      </c>
      <c r="B138" s="518"/>
      <c r="C138" s="519">
        <f>C127+C132</f>
        <v>4374.6438007263669</v>
      </c>
      <c r="D138" s="519">
        <f>D127+D132</f>
        <v>3323.9760870412802</v>
      </c>
      <c r="E138" s="520">
        <f>E127+E132</f>
        <v>2548.9141943455747</v>
      </c>
    </row>
    <row r="139" spans="1:5" ht="13.9" customHeight="1" x14ac:dyDescent="0.2">
      <c r="A139" s="517" t="s">
        <v>557</v>
      </c>
      <c r="B139" s="518"/>
      <c r="C139" s="519">
        <f>C127+C133</f>
        <v>4425.6600549622435</v>
      </c>
      <c r="D139" s="580">
        <f>D127+D133</f>
        <v>3362.7396565694585</v>
      </c>
      <c r="E139" s="581">
        <f>E127+E133</f>
        <v>2578.6391412184093</v>
      </c>
    </row>
    <row r="140" spans="1:5" ht="13.9" customHeight="1" x14ac:dyDescent="0.2">
      <c r="A140" s="521" t="s">
        <v>558</v>
      </c>
      <c r="B140" s="522"/>
      <c r="C140" s="523">
        <f t="shared" ref="C140:C145" si="9">C134/200</f>
        <v>21.380301392282387</v>
      </c>
      <c r="D140" s="523"/>
      <c r="E140" s="582"/>
    </row>
    <row r="141" spans="1:5" ht="13.9" customHeight="1" x14ac:dyDescent="0.2">
      <c r="A141" s="526" t="s">
        <v>559</v>
      </c>
      <c r="B141" s="527"/>
      <c r="C141" s="528">
        <f t="shared" si="9"/>
        <v>21.501436244363305</v>
      </c>
      <c r="D141" s="528"/>
      <c r="E141" s="583"/>
    </row>
    <row r="142" spans="1:5" ht="13.9" customHeight="1" x14ac:dyDescent="0.2">
      <c r="A142" s="526" t="s">
        <v>560</v>
      </c>
      <c r="B142" s="527"/>
      <c r="C142" s="528">
        <f t="shared" si="9"/>
        <v>21.623951550598996</v>
      </c>
      <c r="D142" s="528"/>
      <c r="E142" s="583"/>
    </row>
    <row r="143" spans="1:5" ht="13.9" customHeight="1" x14ac:dyDescent="0.2">
      <c r="A143" s="526" t="s">
        <v>561</v>
      </c>
      <c r="B143" s="527"/>
      <c r="C143" s="528">
        <f t="shared" si="9"/>
        <v>21.747871043725635</v>
      </c>
      <c r="D143" s="528"/>
      <c r="E143" s="583"/>
    </row>
    <row r="144" spans="1:5" ht="13.9" customHeight="1" x14ac:dyDescent="0.2">
      <c r="A144" s="526" t="s">
        <v>562</v>
      </c>
      <c r="B144" s="527"/>
      <c r="C144" s="528">
        <f t="shared" si="9"/>
        <v>21.873219003631835</v>
      </c>
      <c r="D144" s="528"/>
      <c r="E144" s="583"/>
    </row>
    <row r="145" spans="1:5" ht="13.9" customHeight="1" x14ac:dyDescent="0.2">
      <c r="A145" s="531" t="s">
        <v>563</v>
      </c>
      <c r="B145" s="532"/>
      <c r="C145" s="533">
        <f t="shared" si="9"/>
        <v>22.128300274811217</v>
      </c>
      <c r="D145" s="533"/>
      <c r="E145" s="584"/>
    </row>
  </sheetData>
  <mergeCells count="32">
    <mergeCell ref="A128:B128"/>
    <mergeCell ref="A123:B123"/>
    <mergeCell ref="A124:B124"/>
    <mergeCell ref="A125:B125"/>
    <mergeCell ref="A126:B126"/>
    <mergeCell ref="A127:B127"/>
    <mergeCell ref="A112:A117"/>
    <mergeCell ref="A120:B120"/>
    <mergeCell ref="A121:B121"/>
    <mergeCell ref="A122:B122"/>
    <mergeCell ref="A118:E118"/>
    <mergeCell ref="A119:E119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  <mergeCell ref="A129:B129"/>
    <mergeCell ref="A130:B130"/>
    <mergeCell ref="A131:B131"/>
    <mergeCell ref="A132:B132"/>
    <mergeCell ref="A133:B13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2779F605D534DA1B3FC3D1B1B4DA1" ma:contentTypeVersion="4" ma:contentTypeDescription="Create a new document." ma:contentTypeScope="" ma:versionID="792bdeb3ee64891d3fd5aa3829d0a470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dcda8fd05be29a03d07af7c7ebb24494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386671-7A0D-456D-9CB2-8010AA314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aeb68-ee4a-4fef-ab94-779009af24c2"/>
    <ds:schemaRef ds:uri="a1fdbba4-714c-4189-ada0-32d20d17b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3AD061-D27C-44D8-8088-13DCB84CA604}">
  <ds:schemaRefs>
    <ds:schemaRef ds:uri="http://purl.org/dc/terms/"/>
    <ds:schemaRef ds:uri="c3daeb68-ee4a-4fef-ab94-779009af24c2"/>
    <ds:schemaRef ds:uri="http://schemas.microsoft.com/office/2006/documentManagement/types"/>
    <ds:schemaRef ds:uri="http://schemas.microsoft.com/office/infopath/2007/PartnerControls"/>
    <ds:schemaRef ds:uri="a1fdbba4-714c-4189-ada0-32d20d17b81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B785BD-8C1F-4A67-BDF9-6295CD06F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6</vt:i4>
      </vt:variant>
    </vt:vector>
  </HeadingPairs>
  <TitlesOfParts>
    <vt:vector size="18" baseType="lpstr">
      <vt:lpstr>MC</vt:lpstr>
      <vt:lpstr>Insumos</vt:lpstr>
      <vt:lpstr>Resumo Proposta</vt:lpstr>
      <vt:lpstr>Prod. GEXPEL</vt:lpstr>
      <vt:lpstr>GEXPEL Limp.Ord.</vt:lpstr>
      <vt:lpstr>GEXPEL Covid</vt:lpstr>
      <vt:lpstr>Prod. GEXSTM</vt:lpstr>
      <vt:lpstr>GEXSTM Limp.Ord. </vt:lpstr>
      <vt:lpstr>GEXSTM Covid </vt:lpstr>
      <vt:lpstr>Prod. GEXURG</vt:lpstr>
      <vt:lpstr>GEXURG Limp. Ord.</vt:lpstr>
      <vt:lpstr>GEXURG Covid</vt:lpstr>
      <vt:lpstr>'Prod. GEXSTM'!_FiltrarBancodeDados</vt:lpstr>
      <vt:lpstr>'GEXPEL Covid'!Print_Area</vt:lpstr>
      <vt:lpstr>'GEXPEL Limp.Ord.'!Print_Area</vt:lpstr>
      <vt:lpstr>'GEXSTM Covid '!Print_Area</vt:lpstr>
      <vt:lpstr>'GEXSTM Limp.Ord. '!Print_Area</vt:lpstr>
      <vt:lpstr>MC!Print_Area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90</cp:revision>
  <dcterms:created xsi:type="dcterms:W3CDTF">2020-03-17T09:48:25Z</dcterms:created>
  <dcterms:modified xsi:type="dcterms:W3CDTF">2022-06-30T16:05:56Z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