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500" activeTab="2"/>
  </bookViews>
  <sheets>
    <sheet name="MC" sheetId="1" r:id="rId1"/>
    <sheet name="Insumos" sheetId="2" r:id="rId2"/>
    <sheet name="Resumo Proposta" sheetId="3" r:id="rId3"/>
    <sheet name="Prod. GEXCAN" sheetId="4" r:id="rId4"/>
    <sheet name="GEXCAN Limp.Ord." sheetId="5" r:id="rId5"/>
    <sheet name="GEXCAN Covid" sheetId="6" r:id="rId6"/>
    <sheet name="Prod. GEXNHB" sheetId="7" r:id="rId7"/>
    <sheet name="GEXNHB Limp.Ord. " sheetId="8" r:id="rId8"/>
    <sheet name="GEXNHB Covid " sheetId="9" r:id="rId9"/>
    <sheet name="Prod. GEXPOA" sheetId="10" r:id="rId10"/>
    <sheet name="GEXPOA Limp. Ord." sheetId="11" r:id="rId11"/>
    <sheet name="GEX POA Covid" sheetId="12" r:id="rId12"/>
  </sheets>
  <definedNames>
    <definedName name="_xlnm._FilterDatabase" localSheetId="6">'Prod. GEXPOA'!$A$2:$Y$2</definedName>
    <definedName name="Print_Area" localSheetId="5">MC!$A$1:$D$137</definedName>
    <definedName name="Print_Area" localSheetId="4">'GEXCAN Limp.Ord.'!$A$1:$E$198</definedName>
    <definedName name="Print_Area" localSheetId="8">'GEX POA Covid'!$A$1:$D$139</definedName>
    <definedName name="Print_Area" localSheetId="7">'GEXPOA Limp. Ord.'!$A$1:$D$198</definedName>
    <definedName name="Print_Area" localSheetId="0">MC!$A$3:$W$22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47" i="3" l="1"/>
  <c r="AE47" i="3"/>
  <c r="AC47" i="3"/>
  <c r="AB47" i="3"/>
  <c r="AA47" i="3"/>
  <c r="E116" i="12" l="1"/>
  <c r="D116" i="12"/>
  <c r="C116" i="12"/>
  <c r="B107" i="12"/>
  <c r="B106" i="12"/>
  <c r="B104" i="12"/>
  <c r="B103" i="12"/>
  <c r="B101" i="12"/>
  <c r="B100" i="12"/>
  <c r="B98" i="12"/>
  <c r="B97" i="12"/>
  <c r="B95" i="12"/>
  <c r="B94" i="12"/>
  <c r="E86" i="12"/>
  <c r="D86" i="12"/>
  <c r="C86" i="12"/>
  <c r="E78" i="12"/>
  <c r="D78" i="12"/>
  <c r="C78" i="12"/>
  <c r="B78" i="12"/>
  <c r="B74" i="12"/>
  <c r="B79" i="12" s="1"/>
  <c r="C72" i="12"/>
  <c r="B67" i="12"/>
  <c r="B66" i="12"/>
  <c r="B64" i="12"/>
  <c r="B59" i="12"/>
  <c r="B57" i="12"/>
  <c r="B54" i="12"/>
  <c r="B55" i="12" s="1"/>
  <c r="B47" i="12"/>
  <c r="D41" i="12"/>
  <c r="B41" i="12"/>
  <c r="C41" i="12" s="1"/>
  <c r="B40" i="12"/>
  <c r="E39" i="12"/>
  <c r="D39" i="12"/>
  <c r="C39" i="12"/>
  <c r="B36" i="12"/>
  <c r="B58" i="12" s="1"/>
  <c r="B24" i="12"/>
  <c r="B23" i="12"/>
  <c r="E8" i="12"/>
  <c r="D8" i="12"/>
  <c r="C8" i="12"/>
  <c r="E7" i="12"/>
  <c r="D7" i="12"/>
  <c r="C7" i="12"/>
  <c r="E6" i="12"/>
  <c r="D6" i="12"/>
  <c r="C6" i="12"/>
  <c r="B195" i="11"/>
  <c r="B192" i="11"/>
  <c r="B190" i="11"/>
  <c r="B189" i="11"/>
  <c r="B183" i="11"/>
  <c r="B180" i="11"/>
  <c r="B177" i="11"/>
  <c r="B171" i="11"/>
  <c r="B165" i="11"/>
  <c r="B159" i="11"/>
  <c r="B153" i="11"/>
  <c r="B147" i="11"/>
  <c r="I121" i="11"/>
  <c r="H121" i="11"/>
  <c r="G121" i="11"/>
  <c r="F121" i="11"/>
  <c r="E121" i="11"/>
  <c r="D121" i="11"/>
  <c r="C121" i="11"/>
  <c r="B110" i="11"/>
  <c r="B109" i="11"/>
  <c r="B107" i="11"/>
  <c r="B106" i="11"/>
  <c r="B104" i="11"/>
  <c r="B103" i="11"/>
  <c r="B101" i="11"/>
  <c r="B100" i="11"/>
  <c r="B98" i="11"/>
  <c r="B97" i="11"/>
  <c r="B96" i="11"/>
  <c r="B95" i="11"/>
  <c r="B79" i="11"/>
  <c r="H78" i="11"/>
  <c r="F78" i="11"/>
  <c r="D78" i="11"/>
  <c r="B78" i="11"/>
  <c r="B74" i="11"/>
  <c r="I72" i="11"/>
  <c r="I78" i="11" s="1"/>
  <c r="H72" i="11"/>
  <c r="G72" i="11"/>
  <c r="G78" i="11" s="1"/>
  <c r="F72" i="11"/>
  <c r="E72" i="11"/>
  <c r="E78" i="11" s="1"/>
  <c r="D72" i="11"/>
  <c r="C72" i="11"/>
  <c r="C78" i="11" s="1"/>
  <c r="B67" i="11"/>
  <c r="B66" i="11"/>
  <c r="B64" i="11"/>
  <c r="B59" i="11"/>
  <c r="B58" i="11"/>
  <c r="B57" i="11"/>
  <c r="B54" i="11"/>
  <c r="B55" i="11" s="1"/>
  <c r="B36" i="11"/>
  <c r="B47" i="11" s="1"/>
  <c r="B24" i="11"/>
  <c r="B23" i="11"/>
  <c r="B25" i="11" s="1"/>
  <c r="B46" i="11" s="1"/>
  <c r="I8" i="11"/>
  <c r="H8" i="11"/>
  <c r="G8" i="11"/>
  <c r="E8" i="11"/>
  <c r="C8" i="11"/>
  <c r="I7" i="11"/>
  <c r="H7" i="11"/>
  <c r="G7" i="11"/>
  <c r="E7" i="11"/>
  <c r="C7" i="11"/>
  <c r="I6" i="11"/>
  <c r="H6" i="11"/>
  <c r="G6" i="11"/>
  <c r="E6" i="11"/>
  <c r="C6" i="11"/>
  <c r="H5" i="11"/>
  <c r="H13" i="11" s="1"/>
  <c r="H19" i="11" s="1"/>
  <c r="L18" i="10"/>
  <c r="N18" i="10" s="1"/>
  <c r="G15" i="10"/>
  <c r="K14" i="10"/>
  <c r="J14" i="10"/>
  <c r="I14" i="10"/>
  <c r="I15" i="10" s="1"/>
  <c r="H14" i="10"/>
  <c r="G14" i="10"/>
  <c r="F14" i="10"/>
  <c r="D14" i="10"/>
  <c r="D15" i="10" s="1"/>
  <c r="Y10" i="10"/>
  <c r="K15" i="10" s="1"/>
  <c r="X10" i="10"/>
  <c r="W10" i="10"/>
  <c r="V10" i="10"/>
  <c r="U10" i="10"/>
  <c r="U11" i="10" s="1"/>
  <c r="T10" i="10"/>
  <c r="S10" i="10"/>
  <c r="R10" i="10"/>
  <c r="Q10" i="10"/>
  <c r="P10" i="10"/>
  <c r="Q12" i="10" s="1"/>
  <c r="N10" i="10"/>
  <c r="N12" i="10" s="1"/>
  <c r="M10" i="10"/>
  <c r="M12" i="10" s="1"/>
  <c r="L10" i="10"/>
  <c r="L12" i="10" s="1"/>
  <c r="K10" i="10"/>
  <c r="J10" i="10"/>
  <c r="J12" i="10" s="1"/>
  <c r="I10" i="10"/>
  <c r="H10" i="10"/>
  <c r="H12" i="10" s="1"/>
  <c r="G10" i="10"/>
  <c r="F10" i="10"/>
  <c r="F12" i="10" s="1"/>
  <c r="E10" i="10"/>
  <c r="E9" i="10"/>
  <c r="D9" i="10"/>
  <c r="O9" i="10" s="1"/>
  <c r="O8" i="10"/>
  <c r="E8" i="10"/>
  <c r="E7" i="10"/>
  <c r="D7" i="10" s="1"/>
  <c r="O7" i="10" s="1"/>
  <c r="E6" i="10"/>
  <c r="D6" i="10" s="1"/>
  <c r="O6" i="10" s="1"/>
  <c r="E5" i="10"/>
  <c r="D5" i="10" s="1"/>
  <c r="O5" i="10" s="1"/>
  <c r="E4" i="10"/>
  <c r="D4" i="10" s="1"/>
  <c r="E120" i="9"/>
  <c r="D120" i="9"/>
  <c r="C120" i="9"/>
  <c r="B110" i="9"/>
  <c r="B109" i="9" s="1"/>
  <c r="B107" i="9"/>
  <c r="B106" i="9"/>
  <c r="B104" i="9"/>
  <c r="B103" i="9"/>
  <c r="B101" i="9"/>
  <c r="B100" i="9"/>
  <c r="B98" i="9"/>
  <c r="B97" i="9"/>
  <c r="B95" i="9"/>
  <c r="B94" i="9"/>
  <c r="B87" i="9"/>
  <c r="B85" i="9"/>
  <c r="B84" i="9"/>
  <c r="E78" i="9"/>
  <c r="D78" i="9"/>
  <c r="B78" i="9"/>
  <c r="B74" i="9"/>
  <c r="B79" i="9" s="1"/>
  <c r="C72" i="9"/>
  <c r="C78" i="9" s="1"/>
  <c r="B67" i="9"/>
  <c r="B66" i="9"/>
  <c r="B64" i="9"/>
  <c r="B59" i="9"/>
  <c r="B58" i="9"/>
  <c r="B57" i="9"/>
  <c r="B54" i="9"/>
  <c r="B55" i="9" s="1"/>
  <c r="C41" i="9"/>
  <c r="B41" i="9"/>
  <c r="D41" i="9" s="1"/>
  <c r="B40" i="9"/>
  <c r="B36" i="9"/>
  <c r="B47" i="9" s="1"/>
  <c r="B24" i="9"/>
  <c r="B23" i="9"/>
  <c r="B25" i="9" s="1"/>
  <c r="B46" i="9" s="1"/>
  <c r="E8" i="9"/>
  <c r="D8" i="9"/>
  <c r="C8" i="9"/>
  <c r="E7" i="9"/>
  <c r="D7" i="9"/>
  <c r="C7" i="9"/>
  <c r="E6" i="9"/>
  <c r="D6" i="9"/>
  <c r="C6" i="9"/>
  <c r="B202" i="8"/>
  <c r="B199" i="8"/>
  <c r="B196" i="8"/>
  <c r="B190" i="8"/>
  <c r="B187" i="8"/>
  <c r="B184" i="8"/>
  <c r="B178" i="8"/>
  <c r="B172" i="8"/>
  <c r="B166" i="8"/>
  <c r="B160" i="8"/>
  <c r="B154" i="8"/>
  <c r="J125" i="8"/>
  <c r="I125" i="8"/>
  <c r="H125" i="8"/>
  <c r="G125" i="8"/>
  <c r="F125" i="8"/>
  <c r="E125" i="8"/>
  <c r="D125" i="8"/>
  <c r="C125" i="8"/>
  <c r="B113" i="8"/>
  <c r="B112" i="8" s="1"/>
  <c r="B110" i="8"/>
  <c r="B109" i="8" s="1"/>
  <c r="B107" i="8"/>
  <c r="B106" i="8" s="1"/>
  <c r="B104" i="8"/>
  <c r="B103" i="8" s="1"/>
  <c r="B101" i="8"/>
  <c r="B100" i="8" s="1"/>
  <c r="B98" i="8"/>
  <c r="B97" i="8" s="1"/>
  <c r="B96" i="8"/>
  <c r="B95" i="8"/>
  <c r="B79" i="8"/>
  <c r="I78" i="8"/>
  <c r="G78" i="8"/>
  <c r="E78" i="8"/>
  <c r="C78" i="8"/>
  <c r="B78" i="8"/>
  <c r="B74" i="8"/>
  <c r="J72" i="8"/>
  <c r="J78" i="8" s="1"/>
  <c r="I72" i="8"/>
  <c r="H72" i="8"/>
  <c r="H78" i="8" s="1"/>
  <c r="G72" i="8"/>
  <c r="F72" i="8"/>
  <c r="F78" i="8" s="1"/>
  <c r="E72" i="8"/>
  <c r="D72" i="8"/>
  <c r="D78" i="8" s="1"/>
  <c r="C72" i="8"/>
  <c r="B67" i="8"/>
  <c r="B66" i="8"/>
  <c r="B64" i="8"/>
  <c r="B59" i="8"/>
  <c r="B57" i="8"/>
  <c r="B54" i="8"/>
  <c r="B46" i="8"/>
  <c r="B36" i="8"/>
  <c r="B25" i="8"/>
  <c r="B24" i="8"/>
  <c r="H23" i="8"/>
  <c r="B23" i="8"/>
  <c r="I19" i="8"/>
  <c r="G19" i="8"/>
  <c r="H14" i="8"/>
  <c r="G14" i="8"/>
  <c r="H13" i="8"/>
  <c r="H19" i="8" s="1"/>
  <c r="G13" i="8"/>
  <c r="J8" i="8"/>
  <c r="I8" i="8"/>
  <c r="G8" i="8"/>
  <c r="E8" i="8"/>
  <c r="C8" i="8"/>
  <c r="J7" i="8"/>
  <c r="I7" i="8"/>
  <c r="E7" i="8"/>
  <c r="C7" i="8"/>
  <c r="J6" i="8"/>
  <c r="I6" i="8"/>
  <c r="E6" i="8"/>
  <c r="C6" i="8"/>
  <c r="I5" i="8"/>
  <c r="I13" i="8" s="1"/>
  <c r="L30" i="7"/>
  <c r="N30" i="7" s="1"/>
  <c r="K27" i="7"/>
  <c r="M26" i="7"/>
  <c r="M27" i="7" s="1"/>
  <c r="K26" i="7"/>
  <c r="J26" i="7"/>
  <c r="I26" i="7"/>
  <c r="H26" i="7"/>
  <c r="H27" i="7" s="1"/>
  <c r="G26" i="7"/>
  <c r="F26" i="7"/>
  <c r="D26" i="7"/>
  <c r="L24" i="7"/>
  <c r="I24" i="7"/>
  <c r="AA22" i="7"/>
  <c r="Z22" i="7"/>
  <c r="Y22" i="7"/>
  <c r="X22" i="7"/>
  <c r="W22" i="7"/>
  <c r="W23" i="7" s="1"/>
  <c r="V22" i="7"/>
  <c r="U22" i="7"/>
  <c r="T22" i="7"/>
  <c r="S22" i="7"/>
  <c r="R22" i="7"/>
  <c r="Q22" i="7"/>
  <c r="P22" i="7"/>
  <c r="Q23" i="7" s="1"/>
  <c r="N22" i="7"/>
  <c r="N24" i="7" s="1"/>
  <c r="L22" i="7"/>
  <c r="J22" i="7"/>
  <c r="J24" i="7" s="1"/>
  <c r="I22" i="7"/>
  <c r="G22" i="7"/>
  <c r="C22" i="7"/>
  <c r="E21" i="7"/>
  <c r="O21" i="7" s="1"/>
  <c r="O20" i="7"/>
  <c r="O19" i="7"/>
  <c r="E19" i="7"/>
  <c r="E18" i="7"/>
  <c r="O18" i="7" s="1"/>
  <c r="O17" i="7"/>
  <c r="E17" i="7"/>
  <c r="M16" i="7"/>
  <c r="E16" i="7"/>
  <c r="D16" i="7"/>
  <c r="M15" i="7"/>
  <c r="E15" i="7"/>
  <c r="D15" i="7" s="1"/>
  <c r="M14" i="7"/>
  <c r="E14" i="7"/>
  <c r="D14" i="7"/>
  <c r="M13" i="7"/>
  <c r="K13" i="7"/>
  <c r="K22" i="7" s="1"/>
  <c r="H13" i="7"/>
  <c r="G13" i="7"/>
  <c r="F13" i="7"/>
  <c r="E13" i="7"/>
  <c r="D13" i="7" s="1"/>
  <c r="O13" i="7" s="1"/>
  <c r="M12" i="7"/>
  <c r="M22" i="7" s="1"/>
  <c r="M24" i="7" s="1"/>
  <c r="E12" i="7"/>
  <c r="D12" i="7"/>
  <c r="M11" i="7"/>
  <c r="H11" i="7"/>
  <c r="E11" i="7" s="1"/>
  <c r="D11" i="7" s="1"/>
  <c r="G11" i="7"/>
  <c r="F11" i="7"/>
  <c r="F22" i="7" s="1"/>
  <c r="O10" i="7"/>
  <c r="M10" i="7"/>
  <c r="E10" i="7"/>
  <c r="D10" i="7" s="1"/>
  <c r="E9" i="7"/>
  <c r="O9" i="7" s="1"/>
  <c r="O8" i="7"/>
  <c r="M8" i="7"/>
  <c r="E8" i="7"/>
  <c r="D8" i="7" s="1"/>
  <c r="E7" i="7"/>
  <c r="O7" i="7" s="1"/>
  <c r="O6" i="7"/>
  <c r="E6" i="7"/>
  <c r="E5" i="7"/>
  <c r="O4" i="7"/>
  <c r="E4" i="7"/>
  <c r="E116" i="6"/>
  <c r="D116" i="6"/>
  <c r="C116" i="6"/>
  <c r="B107" i="6"/>
  <c r="B106" i="6" s="1"/>
  <c r="B104" i="6"/>
  <c r="B103" i="6"/>
  <c r="B101" i="6"/>
  <c r="B100" i="6" s="1"/>
  <c r="B98" i="6"/>
  <c r="B97" i="6"/>
  <c r="B95" i="6"/>
  <c r="B94" i="6"/>
  <c r="E78" i="6"/>
  <c r="D78" i="6"/>
  <c r="C78" i="6"/>
  <c r="B78" i="6"/>
  <c r="B74" i="6"/>
  <c r="B79" i="6" s="1"/>
  <c r="C72" i="6"/>
  <c r="B67" i="6"/>
  <c r="B66" i="6"/>
  <c r="B64" i="6"/>
  <c r="B59" i="6"/>
  <c r="B57" i="6"/>
  <c r="B58" i="6" s="1"/>
  <c r="B54" i="6"/>
  <c r="B55" i="6" s="1"/>
  <c r="C41" i="6"/>
  <c r="B41" i="6"/>
  <c r="D41" i="6" s="1"/>
  <c r="B40" i="6"/>
  <c r="B36" i="6"/>
  <c r="B47" i="6" s="1"/>
  <c r="B24" i="6"/>
  <c r="B23" i="6"/>
  <c r="E8" i="6"/>
  <c r="D8" i="6"/>
  <c r="C8" i="6"/>
  <c r="E7" i="6"/>
  <c r="D7" i="6"/>
  <c r="C7" i="6"/>
  <c r="E6" i="6"/>
  <c r="D6" i="6"/>
  <c r="C6" i="6"/>
  <c r="B195" i="5"/>
  <c r="B192" i="5"/>
  <c r="B190" i="5"/>
  <c r="B189" i="5"/>
  <c r="B183" i="5"/>
  <c r="B180" i="5"/>
  <c r="B177" i="5"/>
  <c r="B171" i="5"/>
  <c r="B165" i="5"/>
  <c r="B159" i="5"/>
  <c r="B153" i="5"/>
  <c r="B147" i="5"/>
  <c r="I121" i="5"/>
  <c r="H121" i="5"/>
  <c r="G121" i="5"/>
  <c r="F121" i="5"/>
  <c r="E121" i="5"/>
  <c r="D121" i="5"/>
  <c r="C121" i="5"/>
  <c r="B110" i="5"/>
  <c r="B109" i="5"/>
  <c r="B107" i="5"/>
  <c r="B106" i="5" s="1"/>
  <c r="B104" i="5"/>
  <c r="B103" i="5"/>
  <c r="B101" i="5"/>
  <c r="B100" i="5"/>
  <c r="B98" i="5"/>
  <c r="B97" i="5"/>
  <c r="B96" i="5"/>
  <c r="B95" i="5"/>
  <c r="I78" i="5"/>
  <c r="G78" i="5"/>
  <c r="E78" i="5"/>
  <c r="C78" i="5"/>
  <c r="B78" i="5"/>
  <c r="B74" i="5"/>
  <c r="B79" i="5" s="1"/>
  <c r="I72" i="5"/>
  <c r="H72" i="5"/>
  <c r="H78" i="5" s="1"/>
  <c r="G72" i="5"/>
  <c r="F72" i="5"/>
  <c r="F78" i="5" s="1"/>
  <c r="E72" i="5"/>
  <c r="D72" i="5"/>
  <c r="D78" i="5" s="1"/>
  <c r="C72" i="5"/>
  <c r="B67" i="5"/>
  <c r="B66" i="5"/>
  <c r="B64" i="5"/>
  <c r="B59" i="5"/>
  <c r="B57" i="5"/>
  <c r="B54" i="5"/>
  <c r="B47" i="5"/>
  <c r="B36" i="5"/>
  <c r="B58" i="5" s="1"/>
  <c r="H24" i="5"/>
  <c r="B24" i="5"/>
  <c r="B23" i="5"/>
  <c r="H19" i="5"/>
  <c r="H54" i="5" s="1"/>
  <c r="H13" i="5"/>
  <c r="I8" i="5"/>
  <c r="H8" i="5"/>
  <c r="G8" i="5"/>
  <c r="E8" i="5"/>
  <c r="C8" i="5"/>
  <c r="I7" i="5"/>
  <c r="H7" i="5"/>
  <c r="G7" i="5"/>
  <c r="E7" i="5"/>
  <c r="C7" i="5"/>
  <c r="I6" i="5"/>
  <c r="H6" i="5"/>
  <c r="G6" i="5"/>
  <c r="E6" i="5"/>
  <c r="C6" i="5"/>
  <c r="H5" i="5"/>
  <c r="N25" i="4"/>
  <c r="N21" i="4" s="1"/>
  <c r="N22" i="4" s="1"/>
  <c r="L25" i="4"/>
  <c r="H22" i="4"/>
  <c r="K21" i="4"/>
  <c r="K22" i="4" s="1"/>
  <c r="J21" i="4"/>
  <c r="J22" i="4" s="1"/>
  <c r="I21" i="4"/>
  <c r="I22" i="4" s="1"/>
  <c r="H21" i="4"/>
  <c r="G21" i="4"/>
  <c r="G22" i="4" s="1"/>
  <c r="F21" i="4"/>
  <c r="F22" i="4" s="1"/>
  <c r="D21" i="4"/>
  <c r="D22" i="4" s="1"/>
  <c r="Y17" i="4"/>
  <c r="X17" i="4"/>
  <c r="W17" i="4"/>
  <c r="V17" i="4"/>
  <c r="U17" i="4"/>
  <c r="T17" i="4"/>
  <c r="U18" i="4" s="1"/>
  <c r="S17" i="4"/>
  <c r="R17" i="4"/>
  <c r="Q18" i="4" s="1"/>
  <c r="Q17" i="4"/>
  <c r="P17" i="4"/>
  <c r="Q19" i="4" s="1"/>
  <c r="N17" i="4"/>
  <c r="N19" i="4" s="1"/>
  <c r="I17" i="4"/>
  <c r="I19" i="4" s="1"/>
  <c r="H17" i="4"/>
  <c r="F17" i="4"/>
  <c r="C17" i="4"/>
  <c r="O16" i="4"/>
  <c r="E16" i="4"/>
  <c r="E15" i="4"/>
  <c r="O15" i="4" s="1"/>
  <c r="M14" i="4"/>
  <c r="E14" i="4"/>
  <c r="D14" i="4" s="1"/>
  <c r="O14" i="4" s="1"/>
  <c r="E13" i="4"/>
  <c r="O13" i="4" s="1"/>
  <c r="M12" i="4"/>
  <c r="K12" i="4"/>
  <c r="E12" i="4"/>
  <c r="D12" i="4"/>
  <c r="O12" i="4" s="1"/>
  <c r="M11" i="4"/>
  <c r="K11" i="4"/>
  <c r="E11" i="4"/>
  <c r="D11" i="4"/>
  <c r="O11" i="4" s="1"/>
  <c r="M10" i="4"/>
  <c r="K10" i="4"/>
  <c r="E10" i="4"/>
  <c r="D10" i="4"/>
  <c r="O10" i="4" s="1"/>
  <c r="M9" i="4"/>
  <c r="K9" i="4"/>
  <c r="K17" i="4" s="1"/>
  <c r="E9" i="4"/>
  <c r="D9" i="4"/>
  <c r="O9" i="4" s="1"/>
  <c r="N8" i="4"/>
  <c r="M8" i="4"/>
  <c r="W10" i="3" s="1"/>
  <c r="H8" i="4"/>
  <c r="G8" i="4"/>
  <c r="F8" i="4"/>
  <c r="E8" i="4"/>
  <c r="D8" i="4" s="1"/>
  <c r="O8" i="4" s="1"/>
  <c r="L7" i="4"/>
  <c r="L17" i="4" s="1"/>
  <c r="L19" i="4" s="1"/>
  <c r="E7" i="4"/>
  <c r="O7" i="4" s="1"/>
  <c r="E6" i="4"/>
  <c r="O6" i="4" s="1"/>
  <c r="O5" i="4"/>
  <c r="E5" i="4"/>
  <c r="N4" i="4"/>
  <c r="M4" i="4" s="1"/>
  <c r="J4" i="4"/>
  <c r="J17" i="4" s="1"/>
  <c r="H4" i="4"/>
  <c r="G4" i="4"/>
  <c r="G17" i="4" s="1"/>
  <c r="F4" i="4"/>
  <c r="E4" i="4"/>
  <c r="Y44" i="3"/>
  <c r="W44" i="3"/>
  <c r="U44" i="3"/>
  <c r="S44" i="3"/>
  <c r="Q44" i="3"/>
  <c r="O44" i="3"/>
  <c r="M44" i="3"/>
  <c r="K44" i="3"/>
  <c r="I44" i="3"/>
  <c r="I45" i="3" s="1"/>
  <c r="G44" i="3"/>
  <c r="E44" i="3"/>
  <c r="D44" i="3"/>
  <c r="B9" i="10" s="1"/>
  <c r="Y43" i="3"/>
  <c r="W43" i="3"/>
  <c r="U43" i="3"/>
  <c r="S43" i="3"/>
  <c r="Q43" i="3"/>
  <c r="O43" i="3"/>
  <c r="M43" i="3"/>
  <c r="K43" i="3"/>
  <c r="I43" i="3"/>
  <c r="G43" i="3"/>
  <c r="E43" i="3"/>
  <c r="D43" i="3"/>
  <c r="B8" i="10" s="1"/>
  <c r="Y42" i="3"/>
  <c r="W42" i="3"/>
  <c r="W45" i="3" s="1"/>
  <c r="U42" i="3"/>
  <c r="S42" i="3"/>
  <c r="Q42" i="3"/>
  <c r="O42" i="3"/>
  <c r="M42" i="3"/>
  <c r="K42" i="3"/>
  <c r="I42" i="3"/>
  <c r="G42" i="3"/>
  <c r="E42" i="3"/>
  <c r="D42" i="3"/>
  <c r="B7" i="10" s="1"/>
  <c r="Y41" i="3"/>
  <c r="W41" i="3"/>
  <c r="U41" i="3"/>
  <c r="S41" i="3"/>
  <c r="Q41" i="3"/>
  <c r="O41" i="3"/>
  <c r="M41" i="3"/>
  <c r="K41" i="3"/>
  <c r="I41" i="3"/>
  <c r="G41" i="3"/>
  <c r="E41" i="3"/>
  <c r="D41" i="3"/>
  <c r="B6" i="10" s="1"/>
  <c r="Y40" i="3"/>
  <c r="W40" i="3"/>
  <c r="U40" i="3"/>
  <c r="S40" i="3"/>
  <c r="Q40" i="3"/>
  <c r="O40" i="3"/>
  <c r="M40" i="3"/>
  <c r="K40" i="3"/>
  <c r="I40" i="3"/>
  <c r="G40" i="3"/>
  <c r="E40" i="3"/>
  <c r="D40" i="3"/>
  <c r="B5" i="10" s="1"/>
  <c r="AE39" i="3"/>
  <c r="AE45" i="3" s="1"/>
  <c r="Y39" i="3"/>
  <c r="W39" i="3"/>
  <c r="U39" i="3"/>
  <c r="S39" i="3"/>
  <c r="S45" i="3" s="1"/>
  <c r="Q39" i="3"/>
  <c r="Q45" i="3" s="1"/>
  <c r="O39" i="3"/>
  <c r="M39" i="3"/>
  <c r="K39" i="3"/>
  <c r="K45" i="3" s="1"/>
  <c r="I39" i="3"/>
  <c r="G39" i="3"/>
  <c r="E39" i="3"/>
  <c r="D39" i="3"/>
  <c r="B4" i="10" s="1"/>
  <c r="Z37" i="3"/>
  <c r="Y37" i="3"/>
  <c r="W37" i="3"/>
  <c r="U37" i="3"/>
  <c r="S37" i="3"/>
  <c r="Q37" i="3"/>
  <c r="O37" i="3"/>
  <c r="M37" i="3"/>
  <c r="K37" i="3"/>
  <c r="I37" i="3"/>
  <c r="G37" i="3"/>
  <c r="E37" i="3"/>
  <c r="D37" i="3"/>
  <c r="B21" i="7" s="1"/>
  <c r="Y36" i="3"/>
  <c r="W36" i="3"/>
  <c r="U36" i="3"/>
  <c r="S36" i="3"/>
  <c r="Q36" i="3"/>
  <c r="O36" i="3"/>
  <c r="M36" i="3"/>
  <c r="K36" i="3"/>
  <c r="I36" i="3"/>
  <c r="G36" i="3"/>
  <c r="E36" i="3"/>
  <c r="D36" i="3"/>
  <c r="B20" i="7" s="1"/>
  <c r="Y35" i="3"/>
  <c r="W35" i="3"/>
  <c r="U35" i="3"/>
  <c r="S35" i="3"/>
  <c r="Q35" i="3"/>
  <c r="O35" i="3"/>
  <c r="M35" i="3"/>
  <c r="K35" i="3"/>
  <c r="I35" i="3"/>
  <c r="G35" i="3"/>
  <c r="E35" i="3"/>
  <c r="D35" i="3"/>
  <c r="B19" i="7" s="1"/>
  <c r="Y34" i="3"/>
  <c r="W34" i="3"/>
  <c r="U34" i="3"/>
  <c r="S34" i="3"/>
  <c r="Q34" i="3"/>
  <c r="O34" i="3"/>
  <c r="M34" i="3"/>
  <c r="K34" i="3"/>
  <c r="I34" i="3"/>
  <c r="G34" i="3"/>
  <c r="E34" i="3"/>
  <c r="D34" i="3"/>
  <c r="B18" i="7" s="1"/>
  <c r="Z33" i="3"/>
  <c r="Y33" i="3"/>
  <c r="W33" i="3"/>
  <c r="U33" i="3"/>
  <c r="S33" i="3"/>
  <c r="Q33" i="3"/>
  <c r="O33" i="3"/>
  <c r="M33" i="3"/>
  <c r="K33" i="3"/>
  <c r="I33" i="3"/>
  <c r="G33" i="3"/>
  <c r="E33" i="3"/>
  <c r="D33" i="3"/>
  <c r="B17" i="7" s="1"/>
  <c r="Y32" i="3"/>
  <c r="W32" i="3"/>
  <c r="U32" i="3"/>
  <c r="S32" i="3"/>
  <c r="Q32" i="3"/>
  <c r="O32" i="3"/>
  <c r="M32" i="3"/>
  <c r="K32" i="3"/>
  <c r="I32" i="3"/>
  <c r="G32" i="3"/>
  <c r="E32" i="3"/>
  <c r="D32" i="3"/>
  <c r="B16" i="7" s="1"/>
  <c r="Z31" i="3"/>
  <c r="Y31" i="3"/>
  <c r="W31" i="3"/>
  <c r="U31" i="3"/>
  <c r="S31" i="3"/>
  <c r="Q31" i="3"/>
  <c r="O31" i="3"/>
  <c r="M31" i="3"/>
  <c r="K31" i="3"/>
  <c r="I31" i="3"/>
  <c r="G31" i="3"/>
  <c r="D31" i="3"/>
  <c r="B15" i="7" s="1"/>
  <c r="Y30" i="3"/>
  <c r="W30" i="3"/>
  <c r="U30" i="3"/>
  <c r="S30" i="3"/>
  <c r="Q30" i="3"/>
  <c r="O30" i="3"/>
  <c r="M30" i="3"/>
  <c r="K30" i="3"/>
  <c r="I30" i="3"/>
  <c r="G30" i="3"/>
  <c r="D30" i="3"/>
  <c r="B14" i="7" s="1"/>
  <c r="Y29" i="3"/>
  <c r="W29" i="3"/>
  <c r="U29" i="3"/>
  <c r="S29" i="3"/>
  <c r="Q29" i="3"/>
  <c r="O29" i="3"/>
  <c r="M29" i="3"/>
  <c r="K29" i="3"/>
  <c r="I29" i="3"/>
  <c r="G29" i="3"/>
  <c r="E29" i="3"/>
  <c r="D29" i="3"/>
  <c r="B13" i="7" s="1"/>
  <c r="Z28" i="3"/>
  <c r="Y28" i="3"/>
  <c r="W28" i="3"/>
  <c r="U28" i="3"/>
  <c r="S28" i="3"/>
  <c r="Q28" i="3"/>
  <c r="O28" i="3"/>
  <c r="M28" i="3"/>
  <c r="K28" i="3"/>
  <c r="I28" i="3"/>
  <c r="G28" i="3"/>
  <c r="E28" i="3"/>
  <c r="D28" i="3"/>
  <c r="B12" i="7" s="1"/>
  <c r="Y27" i="3"/>
  <c r="W27" i="3"/>
  <c r="W38" i="3" s="1"/>
  <c r="U27" i="3"/>
  <c r="S27" i="3"/>
  <c r="Q27" i="3"/>
  <c r="O27" i="3"/>
  <c r="M27" i="3"/>
  <c r="K27" i="3"/>
  <c r="I27" i="3"/>
  <c r="D27" i="3"/>
  <c r="B11" i="7" s="1"/>
  <c r="Y26" i="3"/>
  <c r="W26" i="3"/>
  <c r="U26" i="3"/>
  <c r="S26" i="3"/>
  <c r="Q26" i="3"/>
  <c r="O26" i="3"/>
  <c r="M26" i="3"/>
  <c r="K26" i="3"/>
  <c r="I26" i="3"/>
  <c r="G26" i="3"/>
  <c r="E26" i="3"/>
  <c r="D26" i="3"/>
  <c r="B10" i="7" s="1"/>
  <c r="Y25" i="3"/>
  <c r="W25" i="3"/>
  <c r="U25" i="3"/>
  <c r="S25" i="3"/>
  <c r="Q25" i="3"/>
  <c r="O25" i="3"/>
  <c r="M25" i="3"/>
  <c r="K25" i="3"/>
  <c r="I25" i="3"/>
  <c r="I38" i="3" s="1"/>
  <c r="G25" i="3"/>
  <c r="E25" i="3"/>
  <c r="D25" i="3"/>
  <c r="B9" i="7" s="1"/>
  <c r="Y24" i="3"/>
  <c r="W24" i="3"/>
  <c r="U24" i="3"/>
  <c r="S24" i="3"/>
  <c r="Q24" i="3"/>
  <c r="O24" i="3"/>
  <c r="M24" i="3"/>
  <c r="K24" i="3"/>
  <c r="I24" i="3"/>
  <c r="G24" i="3"/>
  <c r="E24" i="3"/>
  <c r="D24" i="3"/>
  <c r="B8" i="7" s="1"/>
  <c r="Z23" i="3"/>
  <c r="Y23" i="3"/>
  <c r="W23" i="3"/>
  <c r="U23" i="3"/>
  <c r="S23" i="3"/>
  <c r="Q23" i="3"/>
  <c r="O23" i="3"/>
  <c r="M23" i="3"/>
  <c r="K23" i="3"/>
  <c r="I23" i="3"/>
  <c r="G23" i="3"/>
  <c r="E23" i="3"/>
  <c r="D23" i="3"/>
  <c r="B7" i="7" s="1"/>
  <c r="Z22" i="3"/>
  <c r="Y22" i="3"/>
  <c r="W22" i="3"/>
  <c r="U22" i="3"/>
  <c r="S22" i="3"/>
  <c r="Q22" i="3"/>
  <c r="O22" i="3"/>
  <c r="M22" i="3"/>
  <c r="K22" i="3"/>
  <c r="I22" i="3"/>
  <c r="G22" i="3"/>
  <c r="E22" i="3"/>
  <c r="D22" i="3"/>
  <c r="B6" i="7" s="1"/>
  <c r="Z21" i="3"/>
  <c r="Y21" i="3"/>
  <c r="W21" i="3"/>
  <c r="U21" i="3"/>
  <c r="S21" i="3"/>
  <c r="Q21" i="3"/>
  <c r="O21" i="3"/>
  <c r="M21" i="3"/>
  <c r="K21" i="3"/>
  <c r="I21" i="3"/>
  <c r="E21" i="3"/>
  <c r="D21" i="3"/>
  <c r="B5" i="7" s="1"/>
  <c r="AE20" i="3"/>
  <c r="AE38" i="3" s="1"/>
  <c r="Y20" i="3"/>
  <c r="W20" i="3"/>
  <c r="U20" i="3"/>
  <c r="S20" i="3"/>
  <c r="Q20" i="3"/>
  <c r="Q38" i="3" s="1"/>
  <c r="O20" i="3"/>
  <c r="M20" i="3"/>
  <c r="M38" i="3" s="1"/>
  <c r="K20" i="3"/>
  <c r="I20" i="3"/>
  <c r="G20" i="3"/>
  <c r="E20" i="3"/>
  <c r="D20" i="3"/>
  <c r="B4" i="7" s="1"/>
  <c r="Y18" i="3"/>
  <c r="W18" i="3"/>
  <c r="U18" i="3"/>
  <c r="S18" i="3"/>
  <c r="Q18" i="3"/>
  <c r="O18" i="3"/>
  <c r="M18" i="3"/>
  <c r="K18" i="3"/>
  <c r="I18" i="3"/>
  <c r="G18" i="3"/>
  <c r="E18" i="3"/>
  <c r="D18" i="3"/>
  <c r="B16" i="4" s="1"/>
  <c r="Y17" i="3"/>
  <c r="W17" i="3"/>
  <c r="U17" i="3"/>
  <c r="S17" i="3"/>
  <c r="Q17" i="3"/>
  <c r="O17" i="3"/>
  <c r="M17" i="3"/>
  <c r="K17" i="3"/>
  <c r="I17" i="3"/>
  <c r="G17" i="3"/>
  <c r="E17" i="3"/>
  <c r="D17" i="3"/>
  <c r="B15" i="4" s="1"/>
  <c r="Y16" i="3"/>
  <c r="W16" i="3"/>
  <c r="U16" i="3"/>
  <c r="S16" i="3"/>
  <c r="Q16" i="3"/>
  <c r="O16" i="3"/>
  <c r="M16" i="3"/>
  <c r="K16" i="3"/>
  <c r="I16" i="3"/>
  <c r="G16" i="3"/>
  <c r="E16" i="3"/>
  <c r="D16" i="3"/>
  <c r="B14" i="4" s="1"/>
  <c r="Y15" i="3"/>
  <c r="W15" i="3"/>
  <c r="U15" i="3"/>
  <c r="S15" i="3"/>
  <c r="Q15" i="3"/>
  <c r="O15" i="3"/>
  <c r="M15" i="3"/>
  <c r="K15" i="3"/>
  <c r="I15" i="3"/>
  <c r="E15" i="3"/>
  <c r="D15" i="3"/>
  <c r="B13" i="4" s="1"/>
  <c r="Y14" i="3"/>
  <c r="W14" i="3"/>
  <c r="U14" i="3"/>
  <c r="S14" i="3"/>
  <c r="Q14" i="3"/>
  <c r="O14" i="3"/>
  <c r="M14" i="3"/>
  <c r="K14" i="3"/>
  <c r="I14" i="3"/>
  <c r="G14" i="3"/>
  <c r="E14" i="3"/>
  <c r="D14" i="3"/>
  <c r="B12" i="4" s="1"/>
  <c r="Y13" i="3"/>
  <c r="W13" i="3"/>
  <c r="U13" i="3"/>
  <c r="S13" i="3"/>
  <c r="Q13" i="3"/>
  <c r="O13" i="3"/>
  <c r="M13" i="3"/>
  <c r="K13" i="3"/>
  <c r="I13" i="3"/>
  <c r="G13" i="3"/>
  <c r="E13" i="3"/>
  <c r="D13" i="3"/>
  <c r="B11" i="4" s="1"/>
  <c r="Y12" i="3"/>
  <c r="W12" i="3"/>
  <c r="U12" i="3"/>
  <c r="S12" i="3"/>
  <c r="Q12" i="3"/>
  <c r="O12" i="3"/>
  <c r="M12" i="3"/>
  <c r="K12" i="3"/>
  <c r="I12" i="3"/>
  <c r="G12" i="3"/>
  <c r="E12" i="3"/>
  <c r="D12" i="3"/>
  <c r="B10" i="4" s="1"/>
  <c r="Y11" i="3"/>
  <c r="W11" i="3"/>
  <c r="U11" i="3"/>
  <c r="S11" i="3"/>
  <c r="Q11" i="3"/>
  <c r="O11" i="3"/>
  <c r="M11" i="3"/>
  <c r="K11" i="3"/>
  <c r="I11" i="3"/>
  <c r="G11" i="3"/>
  <c r="E11" i="3"/>
  <c r="D11" i="3"/>
  <c r="B9" i="4" s="1"/>
  <c r="Y10" i="3"/>
  <c r="U10" i="3"/>
  <c r="S10" i="3"/>
  <c r="Q10" i="3"/>
  <c r="O10" i="3"/>
  <c r="M10" i="3"/>
  <c r="K10" i="3"/>
  <c r="I10" i="3"/>
  <c r="D10" i="3"/>
  <c r="B8" i="4" s="1"/>
  <c r="Y9" i="3"/>
  <c r="W9" i="3"/>
  <c r="U9" i="3"/>
  <c r="S9" i="3"/>
  <c r="Q9" i="3"/>
  <c r="O9" i="3"/>
  <c r="M9" i="3"/>
  <c r="K9" i="3"/>
  <c r="I9" i="3"/>
  <c r="G9" i="3"/>
  <c r="E9" i="3"/>
  <c r="D9" i="3"/>
  <c r="B7" i="4" s="1"/>
  <c r="Y8" i="3"/>
  <c r="W8" i="3"/>
  <c r="U8" i="3"/>
  <c r="S8" i="3"/>
  <c r="Q8" i="3"/>
  <c r="O8" i="3"/>
  <c r="M8" i="3"/>
  <c r="K8" i="3"/>
  <c r="I8" i="3"/>
  <c r="G8" i="3"/>
  <c r="E8" i="3"/>
  <c r="D8" i="3"/>
  <c r="B6" i="4" s="1"/>
  <c r="Y7" i="3"/>
  <c r="W7" i="3"/>
  <c r="U7" i="3"/>
  <c r="S7" i="3"/>
  <c r="Q7" i="3"/>
  <c r="O7" i="3"/>
  <c r="M7" i="3"/>
  <c r="K7" i="3"/>
  <c r="I7" i="3"/>
  <c r="G7" i="3"/>
  <c r="E7" i="3"/>
  <c r="D7" i="3"/>
  <c r="B5" i="4" s="1"/>
  <c r="AE6" i="3"/>
  <c r="AE19" i="3" s="1"/>
  <c r="Y6" i="3"/>
  <c r="Y19" i="3" s="1"/>
  <c r="W6" i="3"/>
  <c r="W19" i="3" s="1"/>
  <c r="U6" i="3"/>
  <c r="U19" i="3" s="1"/>
  <c r="S6" i="3"/>
  <c r="Q6" i="3"/>
  <c r="Q19" i="3" s="1"/>
  <c r="O6" i="3"/>
  <c r="M6" i="3"/>
  <c r="M19" i="3" s="1"/>
  <c r="K6" i="3"/>
  <c r="I6" i="3"/>
  <c r="I19" i="3" s="1"/>
  <c r="D6" i="3"/>
  <c r="B4" i="4" s="1"/>
  <c r="H147" i="2"/>
  <c r="D147" i="2"/>
  <c r="H146" i="2"/>
  <c r="I134" i="2"/>
  <c r="H134" i="2"/>
  <c r="G134" i="2"/>
  <c r="I133" i="2"/>
  <c r="G133" i="2"/>
  <c r="D133" i="2"/>
  <c r="C133" i="2"/>
  <c r="H133" i="2" s="1"/>
  <c r="I132" i="2"/>
  <c r="H132" i="2"/>
  <c r="G132" i="2"/>
  <c r="I131" i="2"/>
  <c r="I130" i="2" s="1"/>
  <c r="G131" i="2"/>
  <c r="H131" i="2" s="1"/>
  <c r="H128" i="2"/>
  <c r="G128" i="2"/>
  <c r="D128" i="2"/>
  <c r="I128" i="2" s="1"/>
  <c r="C128" i="2"/>
  <c r="G127" i="2"/>
  <c r="I127" i="2" s="1"/>
  <c r="D127" i="2"/>
  <c r="C127" i="2"/>
  <c r="H127" i="2" s="1"/>
  <c r="H126" i="2"/>
  <c r="G126" i="2"/>
  <c r="D126" i="2"/>
  <c r="I126" i="2" s="1"/>
  <c r="C126" i="2"/>
  <c r="I125" i="2"/>
  <c r="G125" i="2"/>
  <c r="D125" i="2"/>
  <c r="C125" i="2"/>
  <c r="H125" i="2" s="1"/>
  <c r="H124" i="2"/>
  <c r="G124" i="2"/>
  <c r="D124" i="2"/>
  <c r="I124" i="2" s="1"/>
  <c r="C124" i="2"/>
  <c r="K119" i="2"/>
  <c r="K117" i="2"/>
  <c r="I117" i="2"/>
  <c r="H117" i="2"/>
  <c r="J117" i="2" s="1"/>
  <c r="K116" i="2"/>
  <c r="I116" i="2"/>
  <c r="H116" i="2"/>
  <c r="J116" i="2" s="1"/>
  <c r="K115" i="2"/>
  <c r="I115" i="2"/>
  <c r="H115" i="2"/>
  <c r="J115" i="2" s="1"/>
  <c r="K114" i="2"/>
  <c r="I114" i="2"/>
  <c r="H114" i="2"/>
  <c r="J114" i="2" s="1"/>
  <c r="K113" i="2"/>
  <c r="I113" i="2"/>
  <c r="I119" i="2" s="1"/>
  <c r="I84" i="5" s="1"/>
  <c r="H112" i="2"/>
  <c r="K112" i="2" s="1"/>
  <c r="H111" i="2"/>
  <c r="K111" i="2" s="1"/>
  <c r="H110" i="2"/>
  <c r="K110" i="2" s="1"/>
  <c r="H109" i="2"/>
  <c r="K109" i="2" s="1"/>
  <c r="H108" i="2"/>
  <c r="K108" i="2" s="1"/>
  <c r="H107" i="2"/>
  <c r="K107" i="2" s="1"/>
  <c r="K97" i="2"/>
  <c r="J97" i="2"/>
  <c r="I97" i="2"/>
  <c r="H96" i="2"/>
  <c r="E96" i="2"/>
  <c r="K96" i="2" s="1"/>
  <c r="D96" i="2"/>
  <c r="J96" i="2" s="1"/>
  <c r="C96" i="2"/>
  <c r="I96" i="2" s="1"/>
  <c r="J95" i="2"/>
  <c r="H95" i="2"/>
  <c r="K95" i="2" s="1"/>
  <c r="D95" i="2"/>
  <c r="C95" i="2"/>
  <c r="I95" i="2" s="1"/>
  <c r="H94" i="2"/>
  <c r="K94" i="2" s="1"/>
  <c r="D94" i="2"/>
  <c r="C94" i="2"/>
  <c r="I94" i="2" s="1"/>
  <c r="H93" i="2"/>
  <c r="E93" i="2"/>
  <c r="K93" i="2" s="1"/>
  <c r="D93" i="2"/>
  <c r="J93" i="2" s="1"/>
  <c r="C93" i="2"/>
  <c r="I93" i="2" s="1"/>
  <c r="H92" i="2"/>
  <c r="E92" i="2"/>
  <c r="K92" i="2" s="1"/>
  <c r="D92" i="2"/>
  <c r="J92" i="2" s="1"/>
  <c r="C92" i="2"/>
  <c r="I92" i="2" s="1"/>
  <c r="H91" i="2"/>
  <c r="E91" i="2"/>
  <c r="K91" i="2" s="1"/>
  <c r="D91" i="2"/>
  <c r="J91" i="2" s="1"/>
  <c r="C91" i="2"/>
  <c r="I91" i="2" s="1"/>
  <c r="H90" i="2"/>
  <c r="E90" i="2"/>
  <c r="K90" i="2" s="1"/>
  <c r="D90" i="2"/>
  <c r="J90" i="2" s="1"/>
  <c r="C90" i="2"/>
  <c r="I90" i="2" s="1"/>
  <c r="H89" i="2"/>
  <c r="E89" i="2"/>
  <c r="K89" i="2" s="1"/>
  <c r="D89" i="2"/>
  <c r="J89" i="2" s="1"/>
  <c r="C89" i="2"/>
  <c r="I89" i="2" s="1"/>
  <c r="K88" i="2"/>
  <c r="I88" i="2"/>
  <c r="H88" i="2"/>
  <c r="J88" i="2" s="1"/>
  <c r="F69" i="2"/>
  <c r="C69" i="2"/>
  <c r="G69" i="2" s="1"/>
  <c r="F67" i="2"/>
  <c r="C67" i="2"/>
  <c r="G67" i="2" s="1"/>
  <c r="F66" i="2"/>
  <c r="G66" i="2" s="1"/>
  <c r="F65" i="2"/>
  <c r="C65" i="2"/>
  <c r="G65" i="2" s="1"/>
  <c r="F64" i="2"/>
  <c r="C64" i="2"/>
  <c r="G64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G59" i="2" s="1"/>
  <c r="G60" i="2" s="1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G37" i="2" s="1"/>
  <c r="F3" i="2"/>
  <c r="D95" i="1"/>
  <c r="F94" i="1"/>
  <c r="E94" i="1"/>
  <c r="F93" i="1"/>
  <c r="E93" i="1"/>
  <c r="F92" i="1"/>
  <c r="E92" i="1"/>
  <c r="F91" i="1"/>
  <c r="E91" i="1"/>
  <c r="E90" i="1"/>
  <c r="E95" i="1" s="1"/>
  <c r="K89" i="1"/>
  <c r="F89" i="1"/>
  <c r="E89" i="1"/>
  <c r="M88" i="1"/>
  <c r="L88" i="1"/>
  <c r="L87" i="1"/>
  <c r="L86" i="1"/>
  <c r="M86" i="1" s="1"/>
  <c r="L85" i="1"/>
  <c r="M85" i="1" s="1"/>
  <c r="M84" i="1"/>
  <c r="L84" i="1"/>
  <c r="D84" i="1"/>
  <c r="L83" i="1"/>
  <c r="M83" i="1" s="1"/>
  <c r="E83" i="1"/>
  <c r="F83" i="1" s="1"/>
  <c r="L82" i="1"/>
  <c r="M82" i="1" s="1"/>
  <c r="E82" i="1"/>
  <c r="F82" i="1" s="1"/>
  <c r="L81" i="1"/>
  <c r="M81" i="1" s="1"/>
  <c r="E81" i="1"/>
  <c r="F81" i="1" s="1"/>
  <c r="L80" i="1"/>
  <c r="M80" i="1" s="1"/>
  <c r="E80" i="1"/>
  <c r="F80" i="1" s="1"/>
  <c r="L79" i="1"/>
  <c r="M79" i="1" s="1"/>
  <c r="E79" i="1"/>
  <c r="F79" i="1" s="1"/>
  <c r="L78" i="1"/>
  <c r="M78" i="1" s="1"/>
  <c r="E78" i="1"/>
  <c r="F78" i="1" s="1"/>
  <c r="L77" i="1"/>
  <c r="M77" i="1" s="1"/>
  <c r="E77" i="1"/>
  <c r="F77" i="1" s="1"/>
  <c r="L76" i="1"/>
  <c r="M76" i="1" s="1"/>
  <c r="E76" i="1"/>
  <c r="F76" i="1" s="1"/>
  <c r="L75" i="1"/>
  <c r="M75" i="1" s="1"/>
  <c r="E75" i="1"/>
  <c r="F75" i="1" s="1"/>
  <c r="L74" i="1"/>
  <c r="M74" i="1" s="1"/>
  <c r="E74" i="1"/>
  <c r="F74" i="1" s="1"/>
  <c r="L73" i="1"/>
  <c r="M73" i="1" s="1"/>
  <c r="E73" i="1"/>
  <c r="F73" i="1" s="1"/>
  <c r="L72" i="1"/>
  <c r="M72" i="1" s="1"/>
  <c r="E72" i="1"/>
  <c r="F72" i="1" s="1"/>
  <c r="L71" i="1"/>
  <c r="L89" i="1" s="1"/>
  <c r="E71" i="1"/>
  <c r="E84" i="1" s="1"/>
  <c r="E54" i="1"/>
  <c r="E27" i="1"/>
  <c r="D20" i="1"/>
  <c r="C20" i="1"/>
  <c r="E20" i="1" s="1"/>
  <c r="E19" i="1"/>
  <c r="C19" i="1"/>
  <c r="F13" i="1"/>
  <c r="E13" i="1"/>
  <c r="D13" i="1"/>
  <c r="C12" i="1"/>
  <c r="F12" i="1" s="1"/>
  <c r="F11" i="1"/>
  <c r="E11" i="1"/>
  <c r="E5" i="5" s="1"/>
  <c r="D11" i="1"/>
  <c r="F85" i="11" l="1"/>
  <c r="D85" i="11"/>
  <c r="E85" i="11"/>
  <c r="C85" i="11"/>
  <c r="E85" i="8"/>
  <c r="H85" i="8"/>
  <c r="D85" i="8"/>
  <c r="G85" i="8"/>
  <c r="C85" i="8"/>
  <c r="G85" i="11"/>
  <c r="F85" i="8"/>
  <c r="E85" i="5"/>
  <c r="G85" i="5"/>
  <c r="C85" i="5"/>
  <c r="F85" i="5"/>
  <c r="D85" i="5"/>
  <c r="F13" i="5"/>
  <c r="F14" i="5"/>
  <c r="E13" i="5"/>
  <c r="E14" i="5"/>
  <c r="G39" i="11"/>
  <c r="E39" i="9"/>
  <c r="F39" i="11"/>
  <c r="E39" i="11"/>
  <c r="D39" i="9"/>
  <c r="G39" i="8"/>
  <c r="E39" i="8"/>
  <c r="F39" i="8"/>
  <c r="E39" i="6"/>
  <c r="H39" i="8"/>
  <c r="G39" i="5"/>
  <c r="F39" i="5"/>
  <c r="D39" i="6"/>
  <c r="E39" i="5"/>
  <c r="I98" i="2"/>
  <c r="I99" i="2" s="1"/>
  <c r="I100" i="2" s="1"/>
  <c r="K106" i="2"/>
  <c r="K118" i="2" s="1"/>
  <c r="I84" i="11" s="1"/>
  <c r="J113" i="2"/>
  <c r="J119" i="2" s="1"/>
  <c r="H123" i="2"/>
  <c r="H130" i="2"/>
  <c r="B193" i="5"/>
  <c r="B196" i="5"/>
  <c r="B181" i="5"/>
  <c r="B172" i="5"/>
  <c r="B160" i="5"/>
  <c r="B148" i="5"/>
  <c r="K98" i="2"/>
  <c r="K99" i="2" s="1"/>
  <c r="D87" i="11"/>
  <c r="C87" i="11"/>
  <c r="D87" i="8"/>
  <c r="C87" i="8"/>
  <c r="C87" i="5"/>
  <c r="D87" i="5"/>
  <c r="G70" i="2"/>
  <c r="I123" i="2"/>
  <c r="D84" i="5"/>
  <c r="F84" i="5"/>
  <c r="E84" i="5"/>
  <c r="C84" i="5"/>
  <c r="J19" i="4"/>
  <c r="B42" i="12"/>
  <c r="B42" i="11"/>
  <c r="B42" i="9"/>
  <c r="B42" i="8"/>
  <c r="B42" i="5"/>
  <c r="E17" i="4"/>
  <c r="D4" i="4"/>
  <c r="C5" i="12"/>
  <c r="C13" i="12" s="1"/>
  <c r="C5" i="11"/>
  <c r="C5" i="9"/>
  <c r="C13" i="9" s="1"/>
  <c r="C5" i="6"/>
  <c r="C13" i="6" s="1"/>
  <c r="C5" i="5"/>
  <c r="D12" i="1"/>
  <c r="B65" i="12"/>
  <c r="B65" i="11"/>
  <c r="B65" i="8"/>
  <c r="B65" i="9"/>
  <c r="B65" i="5"/>
  <c r="B65" i="6"/>
  <c r="M71" i="1"/>
  <c r="M89" i="1" s="1"/>
  <c r="K90" i="1" s="1"/>
  <c r="F90" i="1"/>
  <c r="F95" i="1" s="1"/>
  <c r="D96" i="1" s="1"/>
  <c r="I107" i="2"/>
  <c r="I108" i="2"/>
  <c r="I109" i="2"/>
  <c r="I110" i="2"/>
  <c r="I111" i="2"/>
  <c r="I112" i="2"/>
  <c r="E10" i="3"/>
  <c r="O38" i="3"/>
  <c r="E45" i="3"/>
  <c r="M45" i="3"/>
  <c r="U45" i="3"/>
  <c r="M17" i="4"/>
  <c r="M19" i="4" s="1"/>
  <c r="H23" i="5"/>
  <c r="H25" i="5" s="1"/>
  <c r="H31" i="5"/>
  <c r="H58" i="5"/>
  <c r="K24" i="7"/>
  <c r="C5" i="8"/>
  <c r="I57" i="8"/>
  <c r="I32" i="8"/>
  <c r="I28" i="8"/>
  <c r="I127" i="8"/>
  <c r="I59" i="8"/>
  <c r="I54" i="8"/>
  <c r="I24" i="8"/>
  <c r="E84" i="12"/>
  <c r="D84" i="12"/>
  <c r="C84" i="12"/>
  <c r="E84" i="11"/>
  <c r="G84" i="11"/>
  <c r="C84" i="11"/>
  <c r="D84" i="11"/>
  <c r="H84" i="11"/>
  <c r="F84" i="11"/>
  <c r="K19" i="4"/>
  <c r="M21" i="4"/>
  <c r="M22" i="4" s="1"/>
  <c r="N26" i="4"/>
  <c r="L21" i="4" s="1"/>
  <c r="L22" i="4" s="1"/>
  <c r="D5" i="12"/>
  <c r="D13" i="12" s="1"/>
  <c r="E5" i="11"/>
  <c r="D5" i="9"/>
  <c r="D13" i="9" s="1"/>
  <c r="E5" i="8"/>
  <c r="D5" i="6"/>
  <c r="D13" i="6" s="1"/>
  <c r="E12" i="1"/>
  <c r="J94" i="2"/>
  <c r="J98" i="2" s="1"/>
  <c r="J99" i="2" s="1"/>
  <c r="J100" i="2" s="1"/>
  <c r="J107" i="2"/>
  <c r="J108" i="2"/>
  <c r="J109" i="2"/>
  <c r="J110" i="2"/>
  <c r="J111" i="2"/>
  <c r="J112" i="2"/>
  <c r="G6" i="3"/>
  <c r="G19" i="3" s="1"/>
  <c r="K19" i="3"/>
  <c r="O19" i="3"/>
  <c r="S19" i="3"/>
  <c r="G15" i="3"/>
  <c r="Y38" i="3"/>
  <c r="G27" i="3"/>
  <c r="G45" i="3"/>
  <c r="O45" i="3"/>
  <c r="G19" i="4"/>
  <c r="H123" i="5"/>
  <c r="H59" i="5"/>
  <c r="H57" i="5"/>
  <c r="H32" i="5"/>
  <c r="H28" i="5"/>
  <c r="H33" i="5"/>
  <c r="H29" i="5"/>
  <c r="H34" i="5"/>
  <c r="H30" i="5"/>
  <c r="O15" i="7"/>
  <c r="E31" i="3"/>
  <c r="C39" i="11"/>
  <c r="I39" i="11"/>
  <c r="C39" i="9"/>
  <c r="D39" i="11"/>
  <c r="C39" i="8"/>
  <c r="H39" i="11"/>
  <c r="I39" i="8"/>
  <c r="D39" i="8"/>
  <c r="J39" i="8"/>
  <c r="C39" i="6"/>
  <c r="H39" i="5"/>
  <c r="D39" i="5"/>
  <c r="C39" i="5"/>
  <c r="I89" i="11"/>
  <c r="J89" i="8"/>
  <c r="I89" i="5"/>
  <c r="I91" i="5" s="1"/>
  <c r="I127" i="5" s="1"/>
  <c r="E38" i="3"/>
  <c r="U38" i="3"/>
  <c r="O11" i="7"/>
  <c r="O22" i="7" s="1"/>
  <c r="E27" i="3"/>
  <c r="E5" i="12"/>
  <c r="E13" i="12" s="1"/>
  <c r="G5" i="11"/>
  <c r="E5" i="9"/>
  <c r="E13" i="9" s="1"/>
  <c r="G5" i="5"/>
  <c r="F71" i="1"/>
  <c r="F84" i="1" s="1"/>
  <c r="D85" i="1" s="1"/>
  <c r="G10" i="3"/>
  <c r="K38" i="3"/>
  <c r="S38" i="3"/>
  <c r="Y45" i="3"/>
  <c r="D170" i="10"/>
  <c r="D182" i="7"/>
  <c r="D177" i="4"/>
  <c r="F19" i="4"/>
  <c r="I39" i="5"/>
  <c r="E5" i="6"/>
  <c r="E13" i="6" s="1"/>
  <c r="B42" i="6"/>
  <c r="E22" i="7"/>
  <c r="O5" i="7"/>
  <c r="G21" i="3"/>
  <c r="G38" i="3" s="1"/>
  <c r="O14" i="7"/>
  <c r="E30" i="3"/>
  <c r="B69" i="6"/>
  <c r="B77" i="6" s="1"/>
  <c r="J27" i="7"/>
  <c r="F27" i="7"/>
  <c r="D27" i="7"/>
  <c r="I27" i="7"/>
  <c r="G27" i="7"/>
  <c r="H19" i="4"/>
  <c r="B25" i="5"/>
  <c r="B46" i="5" s="1"/>
  <c r="B60" i="5"/>
  <c r="B55" i="5"/>
  <c r="D22" i="7"/>
  <c r="F24" i="7"/>
  <c r="B203" i="8"/>
  <c r="B200" i="8"/>
  <c r="H25" i="8"/>
  <c r="H46" i="8" s="1"/>
  <c r="B154" i="5"/>
  <c r="B166" i="5"/>
  <c r="B178" i="5"/>
  <c r="B184" i="5"/>
  <c r="B60" i="6"/>
  <c r="O12" i="7"/>
  <c r="O16" i="7"/>
  <c r="G24" i="7"/>
  <c r="Q24" i="7"/>
  <c r="N31" i="7"/>
  <c r="L26" i="7" s="1"/>
  <c r="L27" i="7" s="1"/>
  <c r="N26" i="7"/>
  <c r="N27" i="7" s="1"/>
  <c r="B58" i="8"/>
  <c r="B69" i="5"/>
  <c r="B77" i="5" s="1"/>
  <c r="B25" i="6"/>
  <c r="B46" i="6" s="1"/>
  <c r="H22" i="7"/>
  <c r="G23" i="8"/>
  <c r="G25" i="8" s="1"/>
  <c r="G46" i="8" s="1"/>
  <c r="I23" i="8"/>
  <c r="I25" i="8" s="1"/>
  <c r="I46" i="8" s="1"/>
  <c r="G24" i="8"/>
  <c r="H57" i="8"/>
  <c r="H24" i="8"/>
  <c r="H28" i="8"/>
  <c r="H30" i="8"/>
  <c r="H32" i="8"/>
  <c r="H34" i="8"/>
  <c r="G127" i="8"/>
  <c r="G59" i="8"/>
  <c r="G54" i="8"/>
  <c r="G57" i="8"/>
  <c r="G32" i="8"/>
  <c r="G28" i="8"/>
  <c r="H54" i="8"/>
  <c r="H59" i="8"/>
  <c r="H127" i="8"/>
  <c r="B60" i="9"/>
  <c r="B47" i="8"/>
  <c r="D10" i="10"/>
  <c r="O4" i="10"/>
  <c r="O10" i="10" s="1"/>
  <c r="I12" i="10"/>
  <c r="E12" i="10"/>
  <c r="H55" i="11"/>
  <c r="B60" i="11"/>
  <c r="B155" i="8"/>
  <c r="B161" i="8"/>
  <c r="B167" i="8"/>
  <c r="B173" i="8"/>
  <c r="B55" i="8"/>
  <c r="B60" i="8" s="1"/>
  <c r="B179" i="8"/>
  <c r="B185" i="8"/>
  <c r="B188" i="8"/>
  <c r="B191" i="8"/>
  <c r="B197" i="8"/>
  <c r="N19" i="10"/>
  <c r="L14" i="10" s="1"/>
  <c r="L15" i="10" s="1"/>
  <c r="N14" i="10"/>
  <c r="N15" i="10" s="1"/>
  <c r="M14" i="10"/>
  <c r="M15" i="10" s="1"/>
  <c r="H15" i="10"/>
  <c r="H58" i="11"/>
  <c r="B69" i="9"/>
  <c r="B77" i="9" s="1"/>
  <c r="H123" i="11"/>
  <c r="H59" i="11"/>
  <c r="H57" i="11"/>
  <c r="H54" i="11"/>
  <c r="H24" i="11"/>
  <c r="F15" i="10"/>
  <c r="J15" i="10"/>
  <c r="Q11" i="10"/>
  <c r="B148" i="11" s="1"/>
  <c r="H23" i="11"/>
  <c r="G12" i="10"/>
  <c r="K12" i="10"/>
  <c r="B69" i="12"/>
  <c r="B77" i="12" s="1"/>
  <c r="B160" i="11"/>
  <c r="B181" i="11"/>
  <c r="B60" i="12"/>
  <c r="B25" i="12"/>
  <c r="B46" i="12" s="1"/>
  <c r="B38" i="12" l="1"/>
  <c r="B38" i="11"/>
  <c r="G86" i="8"/>
  <c r="C86" i="8"/>
  <c r="F86" i="8"/>
  <c r="E86" i="8"/>
  <c r="H86" i="8"/>
  <c r="D86" i="8"/>
  <c r="D12" i="10"/>
  <c r="O12" i="10" s="1"/>
  <c r="D13" i="10" s="1"/>
  <c r="E14" i="6"/>
  <c r="E19" i="6" s="1"/>
  <c r="B38" i="9"/>
  <c r="B38" i="8"/>
  <c r="D14" i="5"/>
  <c r="C13" i="5"/>
  <c r="C19" i="5" s="1"/>
  <c r="C14" i="5"/>
  <c r="D13" i="5"/>
  <c r="D19" i="5" s="1"/>
  <c r="C14" i="12"/>
  <c r="C19" i="12" s="1"/>
  <c r="G42" i="11"/>
  <c r="C42" i="11"/>
  <c r="F42" i="11"/>
  <c r="I42" i="11"/>
  <c r="E42" i="11"/>
  <c r="H42" i="11"/>
  <c r="D42" i="11"/>
  <c r="C87" i="12"/>
  <c r="C87" i="9"/>
  <c r="C87" i="6"/>
  <c r="D87" i="12"/>
  <c r="E87" i="9"/>
  <c r="D87" i="9"/>
  <c r="E87" i="12"/>
  <c r="D87" i="6"/>
  <c r="E87" i="6"/>
  <c r="B172" i="11"/>
  <c r="H25" i="11"/>
  <c r="G29" i="8"/>
  <c r="G33" i="8"/>
  <c r="H33" i="8"/>
  <c r="H29" i="8"/>
  <c r="H24" i="7"/>
  <c r="H25" i="7"/>
  <c r="C55" i="5"/>
  <c r="I55" i="5"/>
  <c r="H55" i="5"/>
  <c r="E14" i="9"/>
  <c r="E19" i="9" s="1"/>
  <c r="D19" i="6"/>
  <c r="D14" i="6"/>
  <c r="D14" i="12"/>
  <c r="D19" i="12" s="1"/>
  <c r="I29" i="8"/>
  <c r="I33" i="8"/>
  <c r="B69" i="11"/>
  <c r="B77" i="11" s="1"/>
  <c r="C14" i="6"/>
  <c r="C19" i="6"/>
  <c r="O4" i="4"/>
  <c r="O17" i="4" s="1"/>
  <c r="D17" i="4"/>
  <c r="E6" i="3"/>
  <c r="H42" i="5"/>
  <c r="D42" i="5"/>
  <c r="G42" i="5"/>
  <c r="C42" i="5"/>
  <c r="F42" i="5"/>
  <c r="I42" i="5"/>
  <c r="E42" i="5"/>
  <c r="D42" i="12"/>
  <c r="C42" i="12"/>
  <c r="E42" i="12"/>
  <c r="K100" i="2"/>
  <c r="E84" i="9"/>
  <c r="C84" i="9"/>
  <c r="D84" i="9"/>
  <c r="I84" i="8"/>
  <c r="E84" i="8"/>
  <c r="H84" i="8"/>
  <c r="D84" i="8"/>
  <c r="G84" i="8"/>
  <c r="G91" i="8" s="1"/>
  <c r="G131" i="8" s="1"/>
  <c r="C84" i="8"/>
  <c r="F84" i="8"/>
  <c r="F19" i="5"/>
  <c r="H58" i="8"/>
  <c r="G58" i="8"/>
  <c r="J58" i="8"/>
  <c r="I58" i="8"/>
  <c r="G13" i="5"/>
  <c r="G19" i="5" s="1"/>
  <c r="G14" i="5"/>
  <c r="F13" i="11"/>
  <c r="F14" i="11"/>
  <c r="E13" i="11"/>
  <c r="E19" i="11" s="1"/>
  <c r="E14" i="11"/>
  <c r="G30" i="8"/>
  <c r="G36" i="8" s="1"/>
  <c r="G34" i="8"/>
  <c r="E25" i="7"/>
  <c r="E24" i="7"/>
  <c r="G14" i="11"/>
  <c r="G13" i="11"/>
  <c r="J106" i="2"/>
  <c r="J118" i="2" s="1"/>
  <c r="J84" i="8" s="1"/>
  <c r="J91" i="8" s="1"/>
  <c r="J131" i="8" s="1"/>
  <c r="E14" i="8"/>
  <c r="E13" i="8"/>
  <c r="F14" i="8"/>
  <c r="F13" i="8"/>
  <c r="I30" i="8"/>
  <c r="I34" i="8"/>
  <c r="I106" i="2"/>
  <c r="I118" i="2" s="1"/>
  <c r="C14" i="9"/>
  <c r="C19" i="9"/>
  <c r="E19" i="4"/>
  <c r="J42" i="8"/>
  <c r="F42" i="8"/>
  <c r="H42" i="8"/>
  <c r="D42" i="8"/>
  <c r="E42" i="8"/>
  <c r="C42" i="8"/>
  <c r="I42" i="8"/>
  <c r="G42" i="8"/>
  <c r="E85" i="12"/>
  <c r="E88" i="12" s="1"/>
  <c r="E122" i="12" s="1"/>
  <c r="D85" i="12"/>
  <c r="D88" i="12" s="1"/>
  <c r="D122" i="12" s="1"/>
  <c r="E85" i="9"/>
  <c r="C85" i="9"/>
  <c r="C85" i="12"/>
  <c r="C88" i="12" s="1"/>
  <c r="C122" i="12" s="1"/>
  <c r="C85" i="6"/>
  <c r="E85" i="6"/>
  <c r="D85" i="9"/>
  <c r="D85" i="6"/>
  <c r="I91" i="11"/>
  <c r="I127" i="11" s="1"/>
  <c r="I55" i="8"/>
  <c r="I60" i="8" s="1"/>
  <c r="I129" i="8" s="1"/>
  <c r="H55" i="8"/>
  <c r="G55" i="8"/>
  <c r="G60" i="8" s="1"/>
  <c r="G129" i="8" s="1"/>
  <c r="B193" i="11"/>
  <c r="B196" i="11"/>
  <c r="B184" i="11"/>
  <c r="B178" i="11"/>
  <c r="B166" i="11"/>
  <c r="B154" i="11"/>
  <c r="G31" i="8"/>
  <c r="G35" i="8"/>
  <c r="G56" i="8" s="1"/>
  <c r="H35" i="8"/>
  <c r="H56" i="8" s="1"/>
  <c r="H60" i="8" s="1"/>
  <c r="H129" i="8" s="1"/>
  <c r="H31" i="8"/>
  <c r="H36" i="8" s="1"/>
  <c r="D24" i="7"/>
  <c r="O24" i="7" s="1"/>
  <c r="D25" i="7" s="1"/>
  <c r="E42" i="6"/>
  <c r="C42" i="6"/>
  <c r="D42" i="6"/>
  <c r="B38" i="6"/>
  <c r="B38" i="5"/>
  <c r="E14" i="12"/>
  <c r="E19" i="12" s="1"/>
  <c r="D19" i="9"/>
  <c r="D14" i="9"/>
  <c r="B69" i="8"/>
  <c r="B77" i="8" s="1"/>
  <c r="I31" i="8"/>
  <c r="I36" i="8" s="1"/>
  <c r="I35" i="8"/>
  <c r="I56" i="8" s="1"/>
  <c r="D14" i="8"/>
  <c r="D13" i="8"/>
  <c r="D19" i="8" s="1"/>
  <c r="C14" i="8"/>
  <c r="C13" i="8"/>
  <c r="C19" i="8" s="1"/>
  <c r="C58" i="8" s="1"/>
  <c r="H46" i="5"/>
  <c r="H35" i="5"/>
  <c r="H56" i="5" s="1"/>
  <c r="I5" i="11"/>
  <c r="I13" i="11" s="1"/>
  <c r="I19" i="11" s="1"/>
  <c r="J5" i="8"/>
  <c r="J13" i="8" s="1"/>
  <c r="J19" i="8" s="1"/>
  <c r="J55" i="8" s="1"/>
  <c r="I5" i="5"/>
  <c r="I13" i="5" s="1"/>
  <c r="I19" i="5" s="1"/>
  <c r="C14" i="11"/>
  <c r="D13" i="11"/>
  <c r="D19" i="11" s="1"/>
  <c r="C13" i="11"/>
  <c r="C19" i="11" s="1"/>
  <c r="D14" i="11"/>
  <c r="E42" i="9"/>
  <c r="C42" i="9"/>
  <c r="D42" i="9"/>
  <c r="D91" i="5"/>
  <c r="D127" i="5" s="1"/>
  <c r="F87" i="11"/>
  <c r="G87" i="11"/>
  <c r="E87" i="11"/>
  <c r="E87" i="8"/>
  <c r="H87" i="8"/>
  <c r="G87" i="8"/>
  <c r="G87" i="5"/>
  <c r="F87" i="8"/>
  <c r="E87" i="5"/>
  <c r="F87" i="5"/>
  <c r="D86" i="5"/>
  <c r="F86" i="5"/>
  <c r="F91" i="5" s="1"/>
  <c r="F127" i="5" s="1"/>
  <c r="E86" i="5"/>
  <c r="E91" i="5" s="1"/>
  <c r="E127" i="5" s="1"/>
  <c r="C86" i="5"/>
  <c r="C91" i="5" s="1"/>
  <c r="C127" i="5" s="1"/>
  <c r="G86" i="5"/>
  <c r="E19" i="5"/>
  <c r="H47" i="8" l="1"/>
  <c r="D59" i="12"/>
  <c r="D57" i="12"/>
  <c r="D118" i="12"/>
  <c r="D54" i="12"/>
  <c r="D23" i="12"/>
  <c r="D24" i="12"/>
  <c r="D55" i="12"/>
  <c r="D58" i="12"/>
  <c r="I47" i="8"/>
  <c r="I49" i="8" s="1"/>
  <c r="E118" i="12"/>
  <c r="E54" i="12"/>
  <c r="E24" i="12"/>
  <c r="E57" i="12"/>
  <c r="E58" i="12"/>
  <c r="E59" i="12"/>
  <c r="E23" i="12"/>
  <c r="E55" i="12"/>
  <c r="E59" i="6"/>
  <c r="E57" i="6"/>
  <c r="E118" i="6"/>
  <c r="E54" i="6"/>
  <c r="E23" i="6"/>
  <c r="E24" i="6"/>
  <c r="E58" i="6"/>
  <c r="E55" i="6"/>
  <c r="G47" i="8"/>
  <c r="G74" i="8"/>
  <c r="E59" i="9"/>
  <c r="E57" i="9"/>
  <c r="E122" i="9"/>
  <c r="E54" i="9"/>
  <c r="E24" i="9"/>
  <c r="E55" i="9"/>
  <c r="E23" i="9"/>
  <c r="E58" i="9"/>
  <c r="C118" i="12"/>
  <c r="C54" i="12"/>
  <c r="C31" i="12"/>
  <c r="C24" i="12"/>
  <c r="C59" i="12"/>
  <c r="C57" i="12"/>
  <c r="C28" i="12"/>
  <c r="C33" i="12"/>
  <c r="C58" i="12"/>
  <c r="C23" i="12"/>
  <c r="C25" i="12" s="1"/>
  <c r="C46" i="12" s="1"/>
  <c r="C55" i="12"/>
  <c r="D55" i="8"/>
  <c r="C59" i="9"/>
  <c r="C57" i="9"/>
  <c r="C24" i="9"/>
  <c r="C23" i="9"/>
  <c r="C54" i="9"/>
  <c r="C122" i="9"/>
  <c r="C58" i="9"/>
  <c r="C55" i="9"/>
  <c r="H84" i="5"/>
  <c r="D84" i="6"/>
  <c r="D88" i="6" s="1"/>
  <c r="D122" i="6" s="1"/>
  <c r="G84" i="5"/>
  <c r="G91" i="5" s="1"/>
  <c r="G127" i="5" s="1"/>
  <c r="E84" i="6"/>
  <c r="E88" i="6" s="1"/>
  <c r="E122" i="6" s="1"/>
  <c r="C84" i="6"/>
  <c r="C88" i="6" s="1"/>
  <c r="C122" i="6" s="1"/>
  <c r="C118" i="6"/>
  <c r="C59" i="6"/>
  <c r="C57" i="6"/>
  <c r="C24" i="6"/>
  <c r="C55" i="6"/>
  <c r="C54" i="6"/>
  <c r="C23" i="6"/>
  <c r="C58" i="6"/>
  <c r="G38" i="5"/>
  <c r="G44" i="5" s="1"/>
  <c r="G48" i="5" s="1"/>
  <c r="C38" i="5"/>
  <c r="C44" i="5" s="1"/>
  <c r="C48" i="5" s="1"/>
  <c r="F38" i="5"/>
  <c r="F44" i="5" s="1"/>
  <c r="F48" i="5" s="1"/>
  <c r="I38" i="5"/>
  <c r="I44" i="5" s="1"/>
  <c r="I48" i="5" s="1"/>
  <c r="E38" i="5"/>
  <c r="E44" i="5" s="1"/>
  <c r="E48" i="5" s="1"/>
  <c r="D38" i="5"/>
  <c r="D44" i="5" s="1"/>
  <c r="D48" i="5" s="1"/>
  <c r="H38" i="5"/>
  <c r="H44" i="5" s="1"/>
  <c r="H48" i="5" s="1"/>
  <c r="E19" i="8"/>
  <c r="G19" i="11"/>
  <c r="F19" i="11"/>
  <c r="F123" i="5"/>
  <c r="F59" i="5"/>
  <c r="F54" i="5"/>
  <c r="F24" i="5"/>
  <c r="F57" i="5"/>
  <c r="F58" i="5"/>
  <c r="F23" i="5"/>
  <c r="D91" i="8"/>
  <c r="D131" i="8" s="1"/>
  <c r="D88" i="9"/>
  <c r="D126" i="9" s="1"/>
  <c r="E86" i="11"/>
  <c r="E91" i="11" s="1"/>
  <c r="E127" i="11" s="1"/>
  <c r="G86" i="11"/>
  <c r="G91" i="11" s="1"/>
  <c r="G127" i="11" s="1"/>
  <c r="C86" i="11"/>
  <c r="C91" i="11" s="1"/>
  <c r="C127" i="11" s="1"/>
  <c r="F86" i="11"/>
  <c r="F91" i="11" s="1"/>
  <c r="F127" i="11" s="1"/>
  <c r="D86" i="11"/>
  <c r="D91" i="11" s="1"/>
  <c r="D127" i="11" s="1"/>
  <c r="E19" i="3"/>
  <c r="D55" i="5"/>
  <c r="F55" i="5"/>
  <c r="D38" i="9"/>
  <c r="D44" i="9" s="1"/>
  <c r="D48" i="9" s="1"/>
  <c r="C38" i="9"/>
  <c r="C44" i="9" s="1"/>
  <c r="C48" i="9" s="1"/>
  <c r="E38" i="9"/>
  <c r="E44" i="9" s="1"/>
  <c r="E48" i="9" s="1"/>
  <c r="I33" i="5"/>
  <c r="I57" i="5"/>
  <c r="I123" i="5"/>
  <c r="I59" i="5"/>
  <c r="I54" i="5"/>
  <c r="I24" i="5"/>
  <c r="I23" i="5"/>
  <c r="I25" i="5" s="1"/>
  <c r="I46" i="5" s="1"/>
  <c r="I58" i="5"/>
  <c r="C127" i="8"/>
  <c r="C59" i="8"/>
  <c r="C54" i="8"/>
  <c r="C57" i="8"/>
  <c r="C24" i="8"/>
  <c r="C23" i="8"/>
  <c r="C25" i="8" s="1"/>
  <c r="C46" i="8" s="1"/>
  <c r="D54" i="9"/>
  <c r="D122" i="9"/>
  <c r="D59" i="9"/>
  <c r="D57" i="9"/>
  <c r="D24" i="9"/>
  <c r="D23" i="9"/>
  <c r="D55" i="9"/>
  <c r="D58" i="9"/>
  <c r="D38" i="6"/>
  <c r="D44" i="6" s="1"/>
  <c r="D48" i="6" s="1"/>
  <c r="E38" i="6"/>
  <c r="E44" i="6" s="1"/>
  <c r="E48" i="6" s="1"/>
  <c r="C38" i="6"/>
  <c r="C44" i="6" s="1"/>
  <c r="C48" i="6" s="1"/>
  <c r="C55" i="8"/>
  <c r="F91" i="8"/>
  <c r="F131" i="8" s="1"/>
  <c r="H91" i="8"/>
  <c r="H131" i="8" s="1"/>
  <c r="C88" i="9"/>
  <c r="C126" i="9" s="1"/>
  <c r="D20" i="4"/>
  <c r="D19" i="4"/>
  <c r="O19" i="4" s="1"/>
  <c r="H60" i="5"/>
  <c r="H125" i="5" s="1"/>
  <c r="C54" i="5"/>
  <c r="C31" i="5"/>
  <c r="C24" i="5"/>
  <c r="C123" i="5"/>
  <c r="C59" i="5"/>
  <c r="C57" i="5"/>
  <c r="C28" i="5"/>
  <c r="C58" i="5"/>
  <c r="C23" i="5"/>
  <c r="C25" i="5" s="1"/>
  <c r="C46" i="5" s="1"/>
  <c r="F38" i="11"/>
  <c r="F44" i="11" s="1"/>
  <c r="F48" i="11" s="1"/>
  <c r="I38" i="11"/>
  <c r="I44" i="11" s="1"/>
  <c r="I48" i="11" s="1"/>
  <c r="E38" i="11"/>
  <c r="E44" i="11" s="1"/>
  <c r="E48" i="11" s="1"/>
  <c r="H38" i="11"/>
  <c r="H44" i="11" s="1"/>
  <c r="H48" i="11" s="1"/>
  <c r="D38" i="11"/>
  <c r="D44" i="11" s="1"/>
  <c r="D48" i="11" s="1"/>
  <c r="G38" i="11"/>
  <c r="G44" i="11" s="1"/>
  <c r="G48" i="11" s="1"/>
  <c r="C38" i="11"/>
  <c r="C44" i="11" s="1"/>
  <c r="C48" i="11" s="1"/>
  <c r="E123" i="5"/>
  <c r="E59" i="5"/>
  <c r="E57" i="5"/>
  <c r="E29" i="5"/>
  <c r="E54" i="5"/>
  <c r="E35" i="5"/>
  <c r="E56" i="5" s="1"/>
  <c r="E24" i="5"/>
  <c r="E58" i="5"/>
  <c r="E23" i="5"/>
  <c r="E25" i="5" s="1"/>
  <c r="E46" i="5" s="1"/>
  <c r="D123" i="11"/>
  <c r="D59" i="11"/>
  <c r="D54" i="11"/>
  <c r="D24" i="11"/>
  <c r="D57" i="11"/>
  <c r="D58" i="11"/>
  <c r="D55" i="11"/>
  <c r="D23" i="11"/>
  <c r="D25" i="11" s="1"/>
  <c r="D46" i="11" s="1"/>
  <c r="I123" i="11"/>
  <c r="I59" i="11"/>
  <c r="I57" i="11"/>
  <c r="I54" i="11"/>
  <c r="I24" i="11"/>
  <c r="I23" i="11"/>
  <c r="I25" i="11" s="1"/>
  <c r="I46" i="11" s="1"/>
  <c r="I55" i="11"/>
  <c r="I58" i="11"/>
  <c r="D57" i="8"/>
  <c r="D24" i="8"/>
  <c r="D127" i="8"/>
  <c r="D59" i="8"/>
  <c r="D54" i="8"/>
  <c r="D23" i="8"/>
  <c r="D25" i="8" s="1"/>
  <c r="D46" i="8" s="1"/>
  <c r="D32" i="8"/>
  <c r="D28" i="8"/>
  <c r="D35" i="8"/>
  <c r="D56" i="8" s="1"/>
  <c r="D31" i="8"/>
  <c r="D34" i="8"/>
  <c r="D30" i="8"/>
  <c r="D29" i="8"/>
  <c r="D33" i="8"/>
  <c r="H36" i="5"/>
  <c r="D54" i="6"/>
  <c r="D24" i="6"/>
  <c r="D33" i="6"/>
  <c r="D118" i="6"/>
  <c r="D28" i="6"/>
  <c r="D59" i="6"/>
  <c r="D57" i="6"/>
  <c r="D30" i="6"/>
  <c r="D58" i="6"/>
  <c r="D23" i="6"/>
  <c r="D25" i="6" s="1"/>
  <c r="D46" i="6" s="1"/>
  <c r="D55" i="6"/>
  <c r="H46" i="11"/>
  <c r="H32" i="11"/>
  <c r="H29" i="11"/>
  <c r="H28" i="11"/>
  <c r="H30" i="11"/>
  <c r="H31" i="11"/>
  <c r="H33" i="11"/>
  <c r="H34" i="11"/>
  <c r="H35" i="11"/>
  <c r="H56" i="11" s="1"/>
  <c r="H60" i="11" s="1"/>
  <c r="H125" i="11" s="1"/>
  <c r="D123" i="5"/>
  <c r="D59" i="5"/>
  <c r="D57" i="5"/>
  <c r="D30" i="5"/>
  <c r="D35" i="5"/>
  <c r="D56" i="5" s="1"/>
  <c r="D24" i="5"/>
  <c r="D31" i="5"/>
  <c r="D23" i="5"/>
  <c r="D25" i="5" s="1"/>
  <c r="D46" i="5" s="1"/>
  <c r="D54" i="5"/>
  <c r="D60" i="5" s="1"/>
  <c r="D125" i="5" s="1"/>
  <c r="D58" i="5"/>
  <c r="G38" i="8"/>
  <c r="G44" i="8" s="1"/>
  <c r="G48" i="8" s="1"/>
  <c r="C38" i="8"/>
  <c r="C44" i="8" s="1"/>
  <c r="C48" i="8" s="1"/>
  <c r="I38" i="8"/>
  <c r="I44" i="8" s="1"/>
  <c r="I48" i="8" s="1"/>
  <c r="E38" i="8"/>
  <c r="E44" i="8" s="1"/>
  <c r="E48" i="8" s="1"/>
  <c r="F38" i="8"/>
  <c r="F44" i="8" s="1"/>
  <c r="F48" i="8" s="1"/>
  <c r="D38" i="8"/>
  <c r="D44" i="8" s="1"/>
  <c r="D48" i="8" s="1"/>
  <c r="J38" i="8"/>
  <c r="J44" i="8" s="1"/>
  <c r="J48" i="8" s="1"/>
  <c r="H38" i="8"/>
  <c r="H44" i="8" s="1"/>
  <c r="H48" i="8" s="1"/>
  <c r="C123" i="11"/>
  <c r="C59" i="11"/>
  <c r="C57" i="11"/>
  <c r="C54" i="11"/>
  <c r="C23" i="11"/>
  <c r="C24" i="11"/>
  <c r="C58" i="11"/>
  <c r="C55" i="11"/>
  <c r="J24" i="8"/>
  <c r="J127" i="8"/>
  <c r="J59" i="8"/>
  <c r="J54" i="8"/>
  <c r="J32" i="8"/>
  <c r="J28" i="8"/>
  <c r="J57" i="8"/>
  <c r="J23" i="8"/>
  <c r="J25" i="8" s="1"/>
  <c r="J46" i="8" s="1"/>
  <c r="N25" i="7"/>
  <c r="J25" i="7"/>
  <c r="M25" i="7"/>
  <c r="L25" i="7"/>
  <c r="F25" i="7"/>
  <c r="O25" i="7" s="1"/>
  <c r="G25" i="7"/>
  <c r="K25" i="7"/>
  <c r="I25" i="7"/>
  <c r="F19" i="8"/>
  <c r="E123" i="11"/>
  <c r="E59" i="11"/>
  <c r="E54" i="11"/>
  <c r="E24" i="11"/>
  <c r="E23" i="11"/>
  <c r="E25" i="11" s="1"/>
  <c r="E46" i="11" s="1"/>
  <c r="E57" i="11"/>
  <c r="E55" i="11"/>
  <c r="E58" i="11"/>
  <c r="G54" i="5"/>
  <c r="G35" i="5"/>
  <c r="G56" i="5" s="1"/>
  <c r="G31" i="5"/>
  <c r="G24" i="5"/>
  <c r="G32" i="5"/>
  <c r="G28" i="5"/>
  <c r="G57" i="5"/>
  <c r="G33" i="5"/>
  <c r="G59" i="5"/>
  <c r="G30" i="5"/>
  <c r="G123" i="5"/>
  <c r="G58" i="5"/>
  <c r="G23" i="5"/>
  <c r="G25" i="5" s="1"/>
  <c r="G46" i="5" s="1"/>
  <c r="D58" i="8"/>
  <c r="C91" i="8"/>
  <c r="C131" i="8" s="1"/>
  <c r="E91" i="8"/>
  <c r="E131" i="8" s="1"/>
  <c r="E88" i="9"/>
  <c r="E126" i="9" s="1"/>
  <c r="E55" i="5"/>
  <c r="G55" i="5"/>
  <c r="N13" i="10"/>
  <c r="J13" i="10"/>
  <c r="F13" i="10"/>
  <c r="M13" i="10"/>
  <c r="L13" i="10"/>
  <c r="H13" i="10"/>
  <c r="E13" i="10"/>
  <c r="I13" i="10"/>
  <c r="O13" i="10" s="1"/>
  <c r="G13" i="10"/>
  <c r="K13" i="10"/>
  <c r="C38" i="12"/>
  <c r="C44" i="12" s="1"/>
  <c r="C48" i="12" s="1"/>
  <c r="E38" i="12"/>
  <c r="E44" i="12" s="1"/>
  <c r="E48" i="12" s="1"/>
  <c r="D38" i="12"/>
  <c r="D44" i="12" s="1"/>
  <c r="D48" i="12" s="1"/>
  <c r="G60" i="5" l="1"/>
  <c r="G125" i="5" s="1"/>
  <c r="D34" i="11"/>
  <c r="C30" i="8"/>
  <c r="G123" i="11"/>
  <c r="G59" i="11"/>
  <c r="G57" i="11"/>
  <c r="G54" i="11"/>
  <c r="G23" i="11"/>
  <c r="G24" i="11"/>
  <c r="G55" i="11"/>
  <c r="G58" i="11"/>
  <c r="I128" i="8"/>
  <c r="I64" i="8"/>
  <c r="I66" i="8"/>
  <c r="I67" i="8"/>
  <c r="I65" i="8"/>
  <c r="G34" i="5"/>
  <c r="G29" i="5"/>
  <c r="J29" i="8"/>
  <c r="J36" i="8" s="1"/>
  <c r="J33" i="8"/>
  <c r="D34" i="5"/>
  <c r="D28" i="5"/>
  <c r="H36" i="11"/>
  <c r="D32" i="6"/>
  <c r="D36" i="8"/>
  <c r="I32" i="11"/>
  <c r="D32" i="11"/>
  <c r="D29" i="11"/>
  <c r="E32" i="5"/>
  <c r="E28" i="5"/>
  <c r="E60" i="5"/>
  <c r="E125" i="5" s="1"/>
  <c r="E33" i="5"/>
  <c r="C30" i="5"/>
  <c r="C32" i="5"/>
  <c r="C35" i="5"/>
  <c r="C56" i="5" s="1"/>
  <c r="C31" i="8"/>
  <c r="C35" i="8"/>
  <c r="C56" i="8" s="1"/>
  <c r="C60" i="8" s="1"/>
  <c r="C129" i="8" s="1"/>
  <c r="I30" i="5"/>
  <c r="F25" i="5"/>
  <c r="E57" i="8"/>
  <c r="E127" i="8"/>
  <c r="E59" i="8"/>
  <c r="E54" i="8"/>
  <c r="E24" i="8"/>
  <c r="E23" i="8"/>
  <c r="E58" i="8"/>
  <c r="E55" i="8"/>
  <c r="C25" i="9"/>
  <c r="C30" i="12"/>
  <c r="C32" i="12"/>
  <c r="C35" i="12"/>
  <c r="C56" i="12" s="1"/>
  <c r="C60" i="12" s="1"/>
  <c r="C120" i="12" s="1"/>
  <c r="E25" i="9"/>
  <c r="G49" i="8"/>
  <c r="H74" i="8"/>
  <c r="E29" i="11"/>
  <c r="I28" i="11"/>
  <c r="D35" i="11"/>
  <c r="D56" i="11" s="1"/>
  <c r="D60" i="11" s="1"/>
  <c r="D125" i="11" s="1"/>
  <c r="G75" i="8"/>
  <c r="G79" i="8"/>
  <c r="E33" i="11"/>
  <c r="E28" i="11"/>
  <c r="E31" i="11"/>
  <c r="E30" i="11"/>
  <c r="F24" i="8"/>
  <c r="F127" i="8"/>
  <c r="F59" i="8"/>
  <c r="F54" i="8"/>
  <c r="F23" i="8"/>
  <c r="F57" i="8"/>
  <c r="F58" i="8"/>
  <c r="F55" i="8"/>
  <c r="J30" i="8"/>
  <c r="J34" i="8"/>
  <c r="C25" i="11"/>
  <c r="D29" i="5"/>
  <c r="D32" i="5"/>
  <c r="D31" i="6"/>
  <c r="H47" i="5"/>
  <c r="H49" i="5" s="1"/>
  <c r="H74" i="5"/>
  <c r="D60" i="8"/>
  <c r="D129" i="8" s="1"/>
  <c r="I33" i="11"/>
  <c r="I31" i="11"/>
  <c r="D28" i="11"/>
  <c r="D33" i="11"/>
  <c r="E30" i="5"/>
  <c r="C29" i="5"/>
  <c r="C36" i="5" s="1"/>
  <c r="C60" i="5"/>
  <c r="C125" i="5" s="1"/>
  <c r="C28" i="8"/>
  <c r="C32" i="8"/>
  <c r="I32" i="5"/>
  <c r="I31" i="5"/>
  <c r="I34" i="5"/>
  <c r="C25" i="6"/>
  <c r="C34" i="12"/>
  <c r="E25" i="6"/>
  <c r="D25" i="12"/>
  <c r="H49" i="8"/>
  <c r="I34" i="11"/>
  <c r="C34" i="8"/>
  <c r="G36" i="5"/>
  <c r="E32" i="11"/>
  <c r="E35" i="11"/>
  <c r="E56" i="11" s="1"/>
  <c r="E60" i="11" s="1"/>
  <c r="E125" i="11" s="1"/>
  <c r="E34" i="11"/>
  <c r="J31" i="8"/>
  <c r="J35" i="8"/>
  <c r="J56" i="8" s="1"/>
  <c r="J60" i="8" s="1"/>
  <c r="J129" i="8" s="1"/>
  <c r="D33" i="5"/>
  <c r="D34" i="6"/>
  <c r="D29" i="6"/>
  <c r="D36" i="6" s="1"/>
  <c r="D35" i="6"/>
  <c r="D56" i="6" s="1"/>
  <c r="D60" i="6" s="1"/>
  <c r="D120" i="6" s="1"/>
  <c r="I29" i="11"/>
  <c r="I35" i="11"/>
  <c r="I56" i="11" s="1"/>
  <c r="I60" i="11" s="1"/>
  <c r="I125" i="11" s="1"/>
  <c r="I30" i="11"/>
  <c r="D31" i="11"/>
  <c r="D30" i="11"/>
  <c r="E31" i="5"/>
  <c r="E34" i="5"/>
  <c r="C34" i="5"/>
  <c r="C33" i="5"/>
  <c r="L20" i="4"/>
  <c r="N20" i="4"/>
  <c r="I20" i="4"/>
  <c r="M20" i="4"/>
  <c r="J20" i="4"/>
  <c r="H20" i="4"/>
  <c r="G20" i="4"/>
  <c r="K20" i="4"/>
  <c r="F20" i="4"/>
  <c r="E20" i="4"/>
  <c r="O20" i="4" s="1"/>
  <c r="D25" i="9"/>
  <c r="C29" i="8"/>
  <c r="C33" i="8"/>
  <c r="I28" i="5"/>
  <c r="I35" i="5"/>
  <c r="I56" i="5" s="1"/>
  <c r="I60" i="5" s="1"/>
  <c r="I125" i="5" s="1"/>
  <c r="I29" i="5"/>
  <c r="F54" i="11"/>
  <c r="F24" i="11"/>
  <c r="F59" i="11"/>
  <c r="F57" i="11"/>
  <c r="F123" i="11"/>
  <c r="F23" i="11"/>
  <c r="F58" i="11"/>
  <c r="F55" i="11"/>
  <c r="C29" i="12"/>
  <c r="C36" i="12" s="1"/>
  <c r="E25" i="12"/>
  <c r="I74" i="8"/>
  <c r="D47" i="6" l="1"/>
  <c r="D49" i="6" s="1"/>
  <c r="D74" i="6"/>
  <c r="D79" i="6" s="1"/>
  <c r="C47" i="12"/>
  <c r="C49" i="12" s="1"/>
  <c r="C74" i="12"/>
  <c r="C79" i="12" s="1"/>
  <c r="J47" i="8"/>
  <c r="J49" i="8" s="1"/>
  <c r="J74" i="8"/>
  <c r="C47" i="5"/>
  <c r="C49" i="5" s="1"/>
  <c r="C74" i="5"/>
  <c r="E46" i="12"/>
  <c r="E33" i="12"/>
  <c r="E28" i="12"/>
  <c r="E29" i="12"/>
  <c r="E35" i="12"/>
  <c r="E56" i="12" s="1"/>
  <c r="E60" i="12" s="1"/>
  <c r="E120" i="12" s="1"/>
  <c r="E34" i="12"/>
  <c r="E31" i="12"/>
  <c r="E30" i="12"/>
  <c r="E32" i="12"/>
  <c r="F25" i="11"/>
  <c r="I36" i="5"/>
  <c r="D46" i="9"/>
  <c r="D28" i="9"/>
  <c r="D29" i="9"/>
  <c r="D34" i="9"/>
  <c r="D30" i="9"/>
  <c r="D33" i="9"/>
  <c r="D35" i="9"/>
  <c r="D56" i="9" s="1"/>
  <c r="D60" i="9" s="1"/>
  <c r="D124" i="9" s="1"/>
  <c r="D31" i="9"/>
  <c r="D32" i="9"/>
  <c r="C36" i="8"/>
  <c r="F25" i="8"/>
  <c r="H75" i="8"/>
  <c r="H79" i="8"/>
  <c r="E25" i="8"/>
  <c r="H47" i="11"/>
  <c r="H49" i="11" s="1"/>
  <c r="H74" i="11"/>
  <c r="E46" i="6"/>
  <c r="E28" i="6"/>
  <c r="E36" i="6" s="1"/>
  <c r="E34" i="6"/>
  <c r="E33" i="6"/>
  <c r="E35" i="6"/>
  <c r="E56" i="6" s="1"/>
  <c r="E60" i="6" s="1"/>
  <c r="E120" i="6" s="1"/>
  <c r="E29" i="6"/>
  <c r="E32" i="6"/>
  <c r="E30" i="6"/>
  <c r="E31" i="6"/>
  <c r="H124" i="5"/>
  <c r="H66" i="5"/>
  <c r="H64" i="5"/>
  <c r="H67" i="5"/>
  <c r="H65" i="5"/>
  <c r="I36" i="11"/>
  <c r="I79" i="8"/>
  <c r="I75" i="8"/>
  <c r="G47" i="5"/>
  <c r="G49" i="5" s="1"/>
  <c r="G74" i="5"/>
  <c r="D46" i="12"/>
  <c r="D32" i="12"/>
  <c r="D30" i="12"/>
  <c r="D31" i="12"/>
  <c r="D28" i="12"/>
  <c r="D36" i="12" s="1"/>
  <c r="D33" i="12"/>
  <c r="D29" i="12"/>
  <c r="D35" i="12"/>
  <c r="D56" i="12" s="1"/>
  <c r="D60" i="12" s="1"/>
  <c r="D120" i="12" s="1"/>
  <c r="D34" i="12"/>
  <c r="C46" i="6"/>
  <c r="C30" i="6"/>
  <c r="C33" i="6"/>
  <c r="C29" i="6"/>
  <c r="C32" i="6"/>
  <c r="C31" i="6"/>
  <c r="C34" i="6"/>
  <c r="C28" i="6"/>
  <c r="C36" i="6" s="1"/>
  <c r="C35" i="6"/>
  <c r="C56" i="6" s="1"/>
  <c r="C60" i="6" s="1"/>
  <c r="C120" i="6" s="1"/>
  <c r="C46" i="11"/>
  <c r="C30" i="11"/>
  <c r="C31" i="11"/>
  <c r="C28" i="11"/>
  <c r="C33" i="11"/>
  <c r="C34" i="11"/>
  <c r="C32" i="11"/>
  <c r="C29" i="11"/>
  <c r="C35" i="11"/>
  <c r="C56" i="11" s="1"/>
  <c r="C60" i="11" s="1"/>
  <c r="C125" i="11" s="1"/>
  <c r="E36" i="11"/>
  <c r="G128" i="8"/>
  <c r="G67" i="8"/>
  <c r="G64" i="8"/>
  <c r="G66" i="8"/>
  <c r="G65" i="8"/>
  <c r="F46" i="5"/>
  <c r="F28" i="5"/>
  <c r="F36" i="5" s="1"/>
  <c r="F35" i="5"/>
  <c r="F56" i="5" s="1"/>
  <c r="F60" i="5" s="1"/>
  <c r="F125" i="5" s="1"/>
  <c r="F30" i="5"/>
  <c r="F32" i="5"/>
  <c r="F34" i="5"/>
  <c r="F31" i="5"/>
  <c r="F33" i="5"/>
  <c r="F29" i="5"/>
  <c r="D36" i="5"/>
  <c r="I69" i="8"/>
  <c r="I77" i="8" s="1"/>
  <c r="G25" i="11"/>
  <c r="I88" i="8"/>
  <c r="I91" i="8" s="1"/>
  <c r="I131" i="8" s="1"/>
  <c r="H128" i="8"/>
  <c r="H67" i="8"/>
  <c r="H66" i="8"/>
  <c r="H64" i="8"/>
  <c r="H69" i="8" s="1"/>
  <c r="H77" i="8" s="1"/>
  <c r="H80" i="8" s="1"/>
  <c r="H130" i="8" s="1"/>
  <c r="H65" i="8"/>
  <c r="D36" i="11"/>
  <c r="H79" i="5"/>
  <c r="H75" i="5"/>
  <c r="E46" i="9"/>
  <c r="E28" i="9"/>
  <c r="E36" i="9" s="1"/>
  <c r="E33" i="9"/>
  <c r="E34" i="9"/>
  <c r="E32" i="9"/>
  <c r="E29" i="9"/>
  <c r="E30" i="9"/>
  <c r="E35" i="9"/>
  <c r="E56" i="9" s="1"/>
  <c r="E60" i="9" s="1"/>
  <c r="E124" i="9" s="1"/>
  <c r="E31" i="9"/>
  <c r="C46" i="9"/>
  <c r="C31" i="9"/>
  <c r="C33" i="9"/>
  <c r="C28" i="9"/>
  <c r="C34" i="9"/>
  <c r="C30" i="9"/>
  <c r="C32" i="9"/>
  <c r="C35" i="9"/>
  <c r="C56" i="9" s="1"/>
  <c r="C60" i="9" s="1"/>
  <c r="C124" i="9" s="1"/>
  <c r="C29" i="9"/>
  <c r="E36" i="5"/>
  <c r="D47" i="8"/>
  <c r="D49" i="8" s="1"/>
  <c r="D74" i="8"/>
  <c r="E47" i="9" l="1"/>
  <c r="E74" i="9"/>
  <c r="E79" i="9" s="1"/>
  <c r="F47" i="5"/>
  <c r="F74" i="5"/>
  <c r="D47" i="12"/>
  <c r="D74" i="12"/>
  <c r="D79" i="12" s="1"/>
  <c r="H88" i="5"/>
  <c r="H91" i="5" s="1"/>
  <c r="H127" i="5" s="1"/>
  <c r="D75" i="8"/>
  <c r="D79" i="8"/>
  <c r="C36" i="9"/>
  <c r="E49" i="9"/>
  <c r="D47" i="11"/>
  <c r="D49" i="11" s="1"/>
  <c r="D74" i="11"/>
  <c r="F49" i="5"/>
  <c r="G79" i="5"/>
  <c r="G75" i="5"/>
  <c r="F46" i="8"/>
  <c r="F34" i="8"/>
  <c r="F30" i="8"/>
  <c r="F33" i="8"/>
  <c r="F29" i="8"/>
  <c r="F35" i="8"/>
  <c r="F56" i="8" s="1"/>
  <c r="F60" i="8" s="1"/>
  <c r="F129" i="8" s="1"/>
  <c r="F32" i="8"/>
  <c r="F28" i="8"/>
  <c r="F31" i="8"/>
  <c r="E36" i="12"/>
  <c r="C124" i="5"/>
  <c r="C65" i="5"/>
  <c r="C64" i="5"/>
  <c r="C67" i="5"/>
  <c r="C66" i="5"/>
  <c r="C119" i="12"/>
  <c r="C67" i="12"/>
  <c r="C64" i="12"/>
  <c r="C66" i="12"/>
  <c r="C65" i="12"/>
  <c r="E47" i="11"/>
  <c r="E49" i="11" s="1"/>
  <c r="E74" i="11"/>
  <c r="C47" i="6"/>
  <c r="C74" i="6"/>
  <c r="C79" i="6" s="1"/>
  <c r="E47" i="6"/>
  <c r="E49" i="6" s="1"/>
  <c r="E74" i="6"/>
  <c r="E79" i="6" s="1"/>
  <c r="H124" i="11"/>
  <c r="H66" i="11"/>
  <c r="H67" i="11"/>
  <c r="H64" i="11"/>
  <c r="H65" i="11"/>
  <c r="I47" i="5"/>
  <c r="I49" i="5" s="1"/>
  <c r="I74" i="5"/>
  <c r="C79" i="5"/>
  <c r="C75" i="5"/>
  <c r="D128" i="8"/>
  <c r="D65" i="8"/>
  <c r="D66" i="8"/>
  <c r="D67" i="8"/>
  <c r="D64" i="8"/>
  <c r="H132" i="8"/>
  <c r="G46" i="11"/>
  <c r="G32" i="11"/>
  <c r="G33" i="11"/>
  <c r="G30" i="11"/>
  <c r="G31" i="11"/>
  <c r="G34" i="11"/>
  <c r="G28" i="11"/>
  <c r="G29" i="11"/>
  <c r="G35" i="11"/>
  <c r="G56" i="11" s="1"/>
  <c r="G60" i="11" s="1"/>
  <c r="G125" i="11" s="1"/>
  <c r="G124" i="5"/>
  <c r="G65" i="5"/>
  <c r="G67" i="5"/>
  <c r="G66" i="5"/>
  <c r="G64" i="5"/>
  <c r="I47" i="11"/>
  <c r="I49" i="11" s="1"/>
  <c r="I74" i="11"/>
  <c r="H69" i="5"/>
  <c r="H77" i="5" s="1"/>
  <c r="H80" i="5" s="1"/>
  <c r="E46" i="8"/>
  <c r="E32" i="8"/>
  <c r="E28" i="8"/>
  <c r="E29" i="8"/>
  <c r="E35" i="8"/>
  <c r="E56" i="8" s="1"/>
  <c r="E60" i="8" s="1"/>
  <c r="E129" i="8" s="1"/>
  <c r="E31" i="8"/>
  <c r="E34" i="8"/>
  <c r="E30" i="8"/>
  <c r="E33" i="8"/>
  <c r="C47" i="8"/>
  <c r="C49" i="8" s="1"/>
  <c r="C74" i="8"/>
  <c r="D36" i="9"/>
  <c r="F46" i="11"/>
  <c r="F32" i="11"/>
  <c r="F35" i="11"/>
  <c r="F56" i="11" s="1"/>
  <c r="F60" i="11" s="1"/>
  <c r="F125" i="11" s="1"/>
  <c r="F28" i="11"/>
  <c r="F33" i="11"/>
  <c r="F30" i="11"/>
  <c r="F31" i="11"/>
  <c r="F29" i="11"/>
  <c r="F34" i="11"/>
  <c r="J75" i="8"/>
  <c r="J79" i="8"/>
  <c r="D47" i="5"/>
  <c r="D49" i="5" s="1"/>
  <c r="D74" i="5"/>
  <c r="D49" i="12"/>
  <c r="E47" i="5"/>
  <c r="E49" i="5" s="1"/>
  <c r="E74" i="5"/>
  <c r="H95" i="8"/>
  <c r="I80" i="8"/>
  <c r="G69" i="8"/>
  <c r="G77" i="8" s="1"/>
  <c r="G80" i="8" s="1"/>
  <c r="C36" i="11"/>
  <c r="C49" i="6"/>
  <c r="H79" i="11"/>
  <c r="H75" i="11"/>
  <c r="J128" i="8"/>
  <c r="J66" i="8"/>
  <c r="J64" i="8"/>
  <c r="J67" i="8"/>
  <c r="J65" i="8"/>
  <c r="D119" i="6"/>
  <c r="D64" i="6"/>
  <c r="D65" i="6"/>
  <c r="D67" i="6"/>
  <c r="D66" i="6"/>
  <c r="E119" i="6" l="1"/>
  <c r="E67" i="6"/>
  <c r="E65" i="6"/>
  <c r="E64" i="6"/>
  <c r="E69" i="6" s="1"/>
  <c r="E77" i="6" s="1"/>
  <c r="E80" i="6" s="1"/>
  <c r="E121" i="6" s="1"/>
  <c r="E66" i="6"/>
  <c r="G130" i="8"/>
  <c r="G132" i="8" s="1"/>
  <c r="G95" i="8"/>
  <c r="I75" i="5"/>
  <c r="I79" i="5"/>
  <c r="E79" i="11"/>
  <c r="E75" i="11"/>
  <c r="C69" i="12"/>
  <c r="C77" i="12" s="1"/>
  <c r="C80" i="12" s="1"/>
  <c r="E47" i="12"/>
  <c r="E49" i="12" s="1"/>
  <c r="E74" i="12"/>
  <c r="E79" i="12" s="1"/>
  <c r="D75" i="11"/>
  <c r="D79" i="11"/>
  <c r="C119" i="6"/>
  <c r="C67" i="6"/>
  <c r="C65" i="6"/>
  <c r="C64" i="6"/>
  <c r="C69" i="6" s="1"/>
  <c r="C77" i="6" s="1"/>
  <c r="C80" i="6" s="1"/>
  <c r="C121" i="6" s="1"/>
  <c r="C66" i="6"/>
  <c r="I130" i="8"/>
  <c r="I132" i="8" s="1"/>
  <c r="I95" i="8"/>
  <c r="D119" i="12"/>
  <c r="D66" i="12"/>
  <c r="D65" i="12"/>
  <c r="D67" i="12"/>
  <c r="D64" i="12"/>
  <c r="D69" i="12" s="1"/>
  <c r="D77" i="12" s="1"/>
  <c r="D80" i="12" s="1"/>
  <c r="D121" i="12" s="1"/>
  <c r="H110" i="8"/>
  <c r="F36" i="11"/>
  <c r="D47" i="9"/>
  <c r="D49" i="9" s="1"/>
  <c r="D74" i="9"/>
  <c r="D79" i="9" s="1"/>
  <c r="H126" i="5"/>
  <c r="H128" i="5" s="1"/>
  <c r="H95" i="5"/>
  <c r="G69" i="5"/>
  <c r="G77" i="5" s="1"/>
  <c r="G80" i="5" s="1"/>
  <c r="G36" i="11"/>
  <c r="D69" i="8"/>
  <c r="D77" i="8" s="1"/>
  <c r="D80" i="8" s="1"/>
  <c r="I124" i="5"/>
  <c r="I67" i="5"/>
  <c r="I65" i="5"/>
  <c r="I64" i="5"/>
  <c r="I66" i="5"/>
  <c r="E124" i="11"/>
  <c r="E65" i="11"/>
  <c r="E67" i="11"/>
  <c r="E64" i="11"/>
  <c r="E66" i="11"/>
  <c r="F124" i="5"/>
  <c r="F65" i="5"/>
  <c r="F67" i="5"/>
  <c r="F64" i="5"/>
  <c r="F66" i="5"/>
  <c r="H100" i="8"/>
  <c r="D124" i="11"/>
  <c r="D64" i="11"/>
  <c r="D66" i="11"/>
  <c r="D65" i="11"/>
  <c r="D67" i="11"/>
  <c r="E124" i="5"/>
  <c r="E65" i="5"/>
  <c r="E66" i="5"/>
  <c r="E64" i="5"/>
  <c r="E67" i="5"/>
  <c r="C47" i="11"/>
  <c r="C49" i="11" s="1"/>
  <c r="C74" i="11"/>
  <c r="D79" i="5"/>
  <c r="D75" i="5"/>
  <c r="C75" i="8"/>
  <c r="C79" i="8"/>
  <c r="I79" i="11"/>
  <c r="I75" i="11"/>
  <c r="F36" i="8"/>
  <c r="H114" i="8"/>
  <c r="E123" i="9"/>
  <c r="E65" i="9"/>
  <c r="E67" i="9"/>
  <c r="E66" i="9"/>
  <c r="E64" i="9"/>
  <c r="E69" i="9" s="1"/>
  <c r="E77" i="9" s="1"/>
  <c r="E80" i="9" s="1"/>
  <c r="E125" i="9" s="1"/>
  <c r="F79" i="5"/>
  <c r="F75" i="5"/>
  <c r="H116" i="8"/>
  <c r="H134" i="8" s="1"/>
  <c r="H140" i="8" s="1"/>
  <c r="E36" i="8"/>
  <c r="D69" i="6"/>
  <c r="D77" i="6" s="1"/>
  <c r="D80" i="6" s="1"/>
  <c r="J69" i="8"/>
  <c r="E79" i="5"/>
  <c r="E75" i="5"/>
  <c r="D124" i="5"/>
  <c r="D66" i="5"/>
  <c r="D65" i="5"/>
  <c r="D67" i="5"/>
  <c r="D64" i="5"/>
  <c r="C128" i="8"/>
  <c r="C65" i="8"/>
  <c r="C66" i="8"/>
  <c r="C64" i="8"/>
  <c r="C67" i="8"/>
  <c r="I124" i="11"/>
  <c r="I64" i="11"/>
  <c r="I65" i="11"/>
  <c r="I66" i="11"/>
  <c r="I67" i="11"/>
  <c r="H101" i="8"/>
  <c r="H69" i="11"/>
  <c r="H77" i="11" s="1"/>
  <c r="H80" i="11" s="1"/>
  <c r="H88" i="11"/>
  <c r="H91" i="11" s="1"/>
  <c r="H127" i="11" s="1"/>
  <c r="C69" i="5"/>
  <c r="C77" i="5" s="1"/>
  <c r="C80" i="5" s="1"/>
  <c r="H96" i="8"/>
  <c r="H111" i="8" s="1"/>
  <c r="C47" i="9"/>
  <c r="C49" i="9" s="1"/>
  <c r="C74" i="9"/>
  <c r="C79" i="9" s="1"/>
  <c r="C126" i="5" l="1"/>
  <c r="C128" i="5" s="1"/>
  <c r="C95" i="5"/>
  <c r="C109" i="5"/>
  <c r="C108" i="5"/>
  <c r="C102" i="5"/>
  <c r="C96" i="5"/>
  <c r="C103" i="5" s="1"/>
  <c r="C97" i="5"/>
  <c r="D121" i="6"/>
  <c r="D123" i="6" s="1"/>
  <c r="D92" i="6"/>
  <c r="E119" i="12"/>
  <c r="E64" i="12"/>
  <c r="E67" i="12"/>
  <c r="E66" i="12"/>
  <c r="E65" i="12"/>
  <c r="H97" i="8"/>
  <c r="H109" i="8"/>
  <c r="H107" i="8"/>
  <c r="H119" i="8"/>
  <c r="H137" i="8" s="1"/>
  <c r="H143" i="8" s="1"/>
  <c r="F47" i="8"/>
  <c r="F49" i="8" s="1"/>
  <c r="F74" i="8"/>
  <c r="C79" i="11"/>
  <c r="C75" i="11"/>
  <c r="E69" i="11"/>
  <c r="E77" i="11" s="1"/>
  <c r="E80" i="11" s="1"/>
  <c r="I69" i="5"/>
  <c r="I96" i="8"/>
  <c r="I114" i="8"/>
  <c r="I106" i="8"/>
  <c r="I112" i="8"/>
  <c r="C121" i="12"/>
  <c r="C123" i="12" s="1"/>
  <c r="C92" i="12"/>
  <c r="C100" i="12" s="1"/>
  <c r="C93" i="12"/>
  <c r="C99" i="12" s="1"/>
  <c r="G105" i="8"/>
  <c r="G96" i="8"/>
  <c r="G114" i="8"/>
  <c r="G104" i="8"/>
  <c r="E92" i="6"/>
  <c r="E94" i="6" s="1"/>
  <c r="F69" i="5"/>
  <c r="F77" i="5" s="1"/>
  <c r="F80" i="5" s="1"/>
  <c r="G47" i="11"/>
  <c r="G49" i="11" s="1"/>
  <c r="G74" i="11"/>
  <c r="H98" i="8"/>
  <c r="H103" i="8"/>
  <c r="H117" i="8" s="1"/>
  <c r="H135" i="8" s="1"/>
  <c r="H141" i="8" s="1"/>
  <c r="H102" i="8"/>
  <c r="I69" i="11"/>
  <c r="C69" i="8"/>
  <c r="C77" i="8" s="1"/>
  <c r="C80" i="8" s="1"/>
  <c r="D69" i="5"/>
  <c r="D77" i="5" s="1"/>
  <c r="D80" i="5" s="1"/>
  <c r="J130" i="8"/>
  <c r="J132" i="8" s="1"/>
  <c r="J77" i="8"/>
  <c r="J80" i="8" s="1"/>
  <c r="E47" i="8"/>
  <c r="E49" i="8" s="1"/>
  <c r="E74" i="8"/>
  <c r="E92" i="9"/>
  <c r="H104" i="8"/>
  <c r="C124" i="11"/>
  <c r="C65" i="11"/>
  <c r="C66" i="11"/>
  <c r="C67" i="11"/>
  <c r="C64" i="11"/>
  <c r="D130" i="8"/>
  <c r="D132" i="8" s="1"/>
  <c r="D95" i="8"/>
  <c r="G126" i="5"/>
  <c r="G128" i="5" s="1"/>
  <c r="G95" i="5"/>
  <c r="D123" i="9"/>
  <c r="D64" i="9"/>
  <c r="D69" i="9" s="1"/>
  <c r="D77" i="9" s="1"/>
  <c r="D80" i="9" s="1"/>
  <c r="D125" i="9" s="1"/>
  <c r="D67" i="9"/>
  <c r="D65" i="9"/>
  <c r="D66" i="9"/>
  <c r="D123" i="12"/>
  <c r="I120" i="8"/>
  <c r="I138" i="8" s="1"/>
  <c r="I118" i="8"/>
  <c r="I136" i="8" s="1"/>
  <c r="I117" i="8"/>
  <c r="I135" i="8" s="1"/>
  <c r="I107" i="8"/>
  <c r="I98" i="8"/>
  <c r="I105" i="8"/>
  <c r="I99" i="8"/>
  <c r="C92" i="6"/>
  <c r="C123" i="6"/>
  <c r="H112" i="8"/>
  <c r="H120" i="8" s="1"/>
  <c r="H138" i="8" s="1"/>
  <c r="H144" i="8" s="1"/>
  <c r="G118" i="8"/>
  <c r="G136" i="8" s="1"/>
  <c r="G142" i="8" s="1"/>
  <c r="G102" i="8"/>
  <c r="G100" i="8"/>
  <c r="G116" i="8" s="1"/>
  <c r="G134" i="8" s="1"/>
  <c r="G140" i="8" s="1"/>
  <c r="G106" i="8"/>
  <c r="G111" i="8"/>
  <c r="E93" i="6"/>
  <c r="E96" i="6" s="1"/>
  <c r="E123" i="6"/>
  <c r="C123" i="9"/>
  <c r="C66" i="9"/>
  <c r="C64" i="9"/>
  <c r="C67" i="9"/>
  <c r="C65" i="9"/>
  <c r="D92" i="12"/>
  <c r="I144" i="8"/>
  <c r="M196" i="8" s="1"/>
  <c r="N196" i="8" s="1"/>
  <c r="I142" i="8"/>
  <c r="I196" i="8" s="1"/>
  <c r="J196" i="8" s="1"/>
  <c r="I141" i="8"/>
  <c r="G196" i="8" s="1"/>
  <c r="H196" i="8" s="1"/>
  <c r="H126" i="11"/>
  <c r="H128" i="11" s="1"/>
  <c r="H103" i="11"/>
  <c r="H96" i="11"/>
  <c r="H111" i="11" s="1"/>
  <c r="H105" i="11"/>
  <c r="H107" i="11"/>
  <c r="H98" i="11"/>
  <c r="H110" i="11"/>
  <c r="H95" i="11"/>
  <c r="H97" i="11" s="1"/>
  <c r="H108" i="11"/>
  <c r="H101" i="11"/>
  <c r="H99" i="11"/>
  <c r="H108" i="8"/>
  <c r="H115" i="8"/>
  <c r="H133" i="8" s="1"/>
  <c r="H139" i="8" s="1"/>
  <c r="E127" i="9"/>
  <c r="E69" i="5"/>
  <c r="E77" i="5" s="1"/>
  <c r="E80" i="5" s="1"/>
  <c r="D69" i="11"/>
  <c r="D77" i="11" s="1"/>
  <c r="D80" i="11" s="1"/>
  <c r="H105" i="8"/>
  <c r="H96" i="5"/>
  <c r="H98" i="5" s="1"/>
  <c r="F47" i="11"/>
  <c r="F49" i="11" s="1"/>
  <c r="F74" i="11"/>
  <c r="H99" i="8"/>
  <c r="I97" i="8"/>
  <c r="I115" i="8" s="1"/>
  <c r="I133" i="8" s="1"/>
  <c r="I139" i="8" s="1"/>
  <c r="C196" i="8" s="1"/>
  <c r="D196" i="8" s="1"/>
  <c r="I113" i="8"/>
  <c r="I103" i="8"/>
  <c r="I101" i="8"/>
  <c r="I104" i="8"/>
  <c r="H113" i="8"/>
  <c r="G110" i="8"/>
  <c r="G113" i="8"/>
  <c r="G99" i="8"/>
  <c r="G101" i="8"/>
  <c r="G112" i="8"/>
  <c r="G120" i="8" s="1"/>
  <c r="G138" i="8" s="1"/>
  <c r="G144" i="8" s="1"/>
  <c r="E100" i="6"/>
  <c r="H106" i="8"/>
  <c r="H118" i="8" s="1"/>
  <c r="H136" i="8" s="1"/>
  <c r="H142" i="8" s="1"/>
  <c r="E98" i="9" l="1"/>
  <c r="D109" i="12"/>
  <c r="D124" i="12" s="1"/>
  <c r="D94" i="12"/>
  <c r="H105" i="5"/>
  <c r="G113" i="5"/>
  <c r="G130" i="5" s="1"/>
  <c r="G135" i="5" s="1"/>
  <c r="G116" i="5"/>
  <c r="G133" i="5" s="1"/>
  <c r="G138" i="5" s="1"/>
  <c r="E79" i="8"/>
  <c r="E75" i="8"/>
  <c r="E103" i="6"/>
  <c r="C108" i="12"/>
  <c r="H106" i="5"/>
  <c r="F128" i="8"/>
  <c r="F67" i="8"/>
  <c r="F66" i="8"/>
  <c r="F64" i="8"/>
  <c r="F65" i="8"/>
  <c r="E98" i="6"/>
  <c r="D108" i="6"/>
  <c r="E108" i="6"/>
  <c r="F79" i="11"/>
  <c r="F75" i="11"/>
  <c r="H111" i="5"/>
  <c r="E93" i="9"/>
  <c r="E94" i="9" s="1"/>
  <c r="H100" i="11"/>
  <c r="H113" i="11" s="1"/>
  <c r="H130" i="11" s="1"/>
  <c r="H135" i="11" s="1"/>
  <c r="E189" i="11" s="1"/>
  <c r="F189" i="11" s="1"/>
  <c r="H109" i="11"/>
  <c r="H106" i="11"/>
  <c r="H138" i="11"/>
  <c r="K189" i="11" s="1"/>
  <c r="L189" i="11" s="1"/>
  <c r="E95" i="6"/>
  <c r="D103" i="12"/>
  <c r="D127" i="9"/>
  <c r="H102" i="5"/>
  <c r="G103" i="5"/>
  <c r="G108" i="5"/>
  <c r="G96" i="5"/>
  <c r="D104" i="8"/>
  <c r="E108" i="9"/>
  <c r="E128" i="8"/>
  <c r="E67" i="8"/>
  <c r="E64" i="8"/>
  <c r="E66" i="8"/>
  <c r="E65" i="8"/>
  <c r="D126" i="5"/>
  <c r="D128" i="5" s="1"/>
  <c r="D95" i="5"/>
  <c r="D109" i="5" s="1"/>
  <c r="D96" i="5"/>
  <c r="D106" i="5" s="1"/>
  <c r="H116" i="5"/>
  <c r="H133" i="5" s="1"/>
  <c r="H138" i="5" s="1"/>
  <c r="K189" i="5" s="1"/>
  <c r="L189" i="5" s="1"/>
  <c r="F126" i="5"/>
  <c r="F128" i="5" s="1"/>
  <c r="F96" i="5"/>
  <c r="F107" i="5" s="1"/>
  <c r="F95" i="5"/>
  <c r="F108" i="5" s="1"/>
  <c r="E107" i="6"/>
  <c r="G103" i="8"/>
  <c r="G117" i="8" s="1"/>
  <c r="G135" i="8" s="1"/>
  <c r="G141" i="8" s="1"/>
  <c r="G108" i="8"/>
  <c r="G109" i="8"/>
  <c r="G119" i="8" s="1"/>
  <c r="G137" i="8" s="1"/>
  <c r="G143" i="8" s="1"/>
  <c r="G97" i="8"/>
  <c r="G115" i="8" s="1"/>
  <c r="G133" i="8" s="1"/>
  <c r="G139" i="8" s="1"/>
  <c r="G98" i="8"/>
  <c r="C105" i="12"/>
  <c r="C102" i="12"/>
  <c r="C101" i="12"/>
  <c r="C95" i="6"/>
  <c r="I111" i="8"/>
  <c r="I108" i="8"/>
  <c r="I110" i="8"/>
  <c r="I109" i="8"/>
  <c r="I119" i="8" s="1"/>
  <c r="I137" i="8" s="1"/>
  <c r="I143" i="8" s="1"/>
  <c r="K196" i="8" s="1"/>
  <c r="L196" i="8" s="1"/>
  <c r="I102" i="8"/>
  <c r="H107" i="5"/>
  <c r="E97" i="9"/>
  <c r="E104" i="9"/>
  <c r="E104" i="6"/>
  <c r="E69" i="12"/>
  <c r="E77" i="12" s="1"/>
  <c r="E80" i="12" s="1"/>
  <c r="C93" i="6"/>
  <c r="C97" i="6" s="1"/>
  <c r="C110" i="6" s="1"/>
  <c r="C125" i="6" s="1"/>
  <c r="C130" i="6" s="1"/>
  <c r="D96" i="6"/>
  <c r="C111" i="5"/>
  <c r="C100" i="5"/>
  <c r="C113" i="5" s="1"/>
  <c r="C130" i="5" s="1"/>
  <c r="C135" i="5" s="1"/>
  <c r="C101" i="5"/>
  <c r="C116" i="5"/>
  <c r="C133" i="5" s="1"/>
  <c r="C138" i="5" s="1"/>
  <c r="C112" i="5"/>
  <c r="C129" i="5" s="1"/>
  <c r="C134" i="5" s="1"/>
  <c r="C114" i="5"/>
  <c r="C131" i="5" s="1"/>
  <c r="C136" i="5" s="1"/>
  <c r="H108" i="5"/>
  <c r="C95" i="12"/>
  <c r="C107" i="12"/>
  <c r="E126" i="11"/>
  <c r="E128" i="11" s="1"/>
  <c r="E95" i="11"/>
  <c r="E101" i="9"/>
  <c r="E106" i="6"/>
  <c r="F124" i="11"/>
  <c r="F65" i="11"/>
  <c r="F64" i="11"/>
  <c r="F69" i="11" s="1"/>
  <c r="F77" i="11" s="1"/>
  <c r="F80" i="11" s="1"/>
  <c r="F126" i="11" s="1"/>
  <c r="F66" i="11"/>
  <c r="F67" i="11"/>
  <c r="H103" i="5"/>
  <c r="D126" i="11"/>
  <c r="D128" i="11" s="1"/>
  <c r="D95" i="11"/>
  <c r="D96" i="11" s="1"/>
  <c r="E95" i="9"/>
  <c r="H114" i="11"/>
  <c r="H131" i="11" s="1"/>
  <c r="H136" i="11" s="1"/>
  <c r="G189" i="11" s="1"/>
  <c r="H189" i="11" s="1"/>
  <c r="H115" i="11"/>
  <c r="H132" i="11" s="1"/>
  <c r="H137" i="11" s="1"/>
  <c r="I189" i="11" s="1"/>
  <c r="J189" i="11" s="1"/>
  <c r="H112" i="11"/>
  <c r="H129" i="11" s="1"/>
  <c r="H134" i="11" s="1"/>
  <c r="C189" i="11" s="1"/>
  <c r="D189" i="11" s="1"/>
  <c r="H116" i="11"/>
  <c r="H133" i="11" s="1"/>
  <c r="H104" i="11"/>
  <c r="H102" i="11"/>
  <c r="C69" i="9"/>
  <c r="C77" i="9" s="1"/>
  <c r="C80" i="9" s="1"/>
  <c r="E101" i="6"/>
  <c r="C107" i="6"/>
  <c r="D96" i="12"/>
  <c r="D92" i="9"/>
  <c r="D93" i="9" s="1"/>
  <c r="H104" i="5"/>
  <c r="G110" i="5"/>
  <c r="G102" i="5"/>
  <c r="G100" i="5"/>
  <c r="G97" i="5"/>
  <c r="G106" i="5"/>
  <c r="D97" i="8"/>
  <c r="D113" i="8"/>
  <c r="E110" i="9"/>
  <c r="E105" i="9"/>
  <c r="J96" i="8"/>
  <c r="J97" i="8" s="1"/>
  <c r="J101" i="8"/>
  <c r="J95" i="8"/>
  <c r="J113" i="8"/>
  <c r="C130" i="8"/>
  <c r="C132" i="8" s="1"/>
  <c r="C98" i="8"/>
  <c r="C99" i="8"/>
  <c r="C101" i="8"/>
  <c r="C111" i="8"/>
  <c r="C95" i="8"/>
  <c r="C113" i="8" s="1"/>
  <c r="C112" i="8"/>
  <c r="C96" i="8"/>
  <c r="H115" i="5"/>
  <c r="H132" i="5" s="1"/>
  <c r="H137" i="5" s="1"/>
  <c r="I189" i="5" s="1"/>
  <c r="J189" i="5" s="1"/>
  <c r="H114" i="5"/>
  <c r="H131" i="5" s="1"/>
  <c r="H136" i="5" s="1"/>
  <c r="G189" i="5" s="1"/>
  <c r="H189" i="5" s="1"/>
  <c r="E99" i="6"/>
  <c r="E97" i="6"/>
  <c r="C98" i="12"/>
  <c r="C103" i="12"/>
  <c r="C112" i="12" s="1"/>
  <c r="C127" i="12" s="1"/>
  <c r="C132" i="12" s="1"/>
  <c r="C137" i="12" s="1"/>
  <c r="C111" i="12"/>
  <c r="C126" i="12" s="1"/>
  <c r="C131" i="12" s="1"/>
  <c r="C113" i="12"/>
  <c r="C128" i="12" s="1"/>
  <c r="C110" i="12"/>
  <c r="C125" i="12" s="1"/>
  <c r="C97" i="12"/>
  <c r="D98" i="12"/>
  <c r="H99" i="5"/>
  <c r="H101" i="5"/>
  <c r="D93" i="6"/>
  <c r="D98" i="6" s="1"/>
  <c r="D101" i="6"/>
  <c r="C98" i="5"/>
  <c r="C106" i="5"/>
  <c r="C115" i="5" s="1"/>
  <c r="C132" i="5" s="1"/>
  <c r="C137" i="5" s="1"/>
  <c r="C107" i="5"/>
  <c r="G107" i="8"/>
  <c r="E135" i="9"/>
  <c r="E132" i="6"/>
  <c r="D129" i="12"/>
  <c r="G98" i="5"/>
  <c r="D99" i="8"/>
  <c r="E115" i="9"/>
  <c r="E131" i="9" s="1"/>
  <c r="E137" i="9" s="1"/>
  <c r="E112" i="9"/>
  <c r="E128" i="9" s="1"/>
  <c r="E134" i="9" s="1"/>
  <c r="E113" i="9"/>
  <c r="E129" i="9" s="1"/>
  <c r="E103" i="9"/>
  <c r="E99" i="9"/>
  <c r="E100" i="9"/>
  <c r="E114" i="9" s="1"/>
  <c r="E130" i="9" s="1"/>
  <c r="E136" i="9" s="1"/>
  <c r="E102" i="9"/>
  <c r="E96" i="9"/>
  <c r="E107" i="9"/>
  <c r="G124" i="11"/>
  <c r="G67" i="11"/>
  <c r="G95" i="11"/>
  <c r="G64" i="11"/>
  <c r="G69" i="11" s="1"/>
  <c r="G77" i="11" s="1"/>
  <c r="G80" i="11" s="1"/>
  <c r="G126" i="11" s="1"/>
  <c r="G65" i="11"/>
  <c r="G66" i="11"/>
  <c r="C130" i="12"/>
  <c r="C133" i="12"/>
  <c r="C138" i="12" s="1"/>
  <c r="E102" i="6"/>
  <c r="H110" i="5"/>
  <c r="H100" i="5"/>
  <c r="E126" i="5"/>
  <c r="E128" i="5" s="1"/>
  <c r="E95" i="5"/>
  <c r="E111" i="9"/>
  <c r="D108" i="12"/>
  <c r="H97" i="5"/>
  <c r="H112" i="5" s="1"/>
  <c r="H129" i="5" s="1"/>
  <c r="H134" i="5" s="1"/>
  <c r="C189" i="5" s="1"/>
  <c r="D189" i="5" s="1"/>
  <c r="G107" i="5"/>
  <c r="G105" i="5"/>
  <c r="G101" i="5"/>
  <c r="G109" i="5"/>
  <c r="D109" i="8"/>
  <c r="D119" i="8" s="1"/>
  <c r="D137" i="8" s="1"/>
  <c r="D143" i="8" s="1"/>
  <c r="D107" i="8"/>
  <c r="D96" i="8"/>
  <c r="D103" i="8" s="1"/>
  <c r="D106" i="8"/>
  <c r="D118" i="8" s="1"/>
  <c r="D136" i="8" s="1"/>
  <c r="D142" i="8" s="1"/>
  <c r="C69" i="11"/>
  <c r="C77" i="11" s="1"/>
  <c r="C80" i="11" s="1"/>
  <c r="E106" i="9"/>
  <c r="E116" i="9" s="1"/>
  <c r="E132" i="9" s="1"/>
  <c r="E138" i="9" s="1"/>
  <c r="I77" i="11"/>
  <c r="I80" i="11" s="1"/>
  <c r="I126" i="11"/>
  <c r="I128" i="11" s="1"/>
  <c r="D93" i="12"/>
  <c r="D105" i="12" s="1"/>
  <c r="H113" i="5"/>
  <c r="H130" i="5" s="1"/>
  <c r="H135" i="5" s="1"/>
  <c r="E189" i="5" s="1"/>
  <c r="F189" i="5" s="1"/>
  <c r="G79" i="11"/>
  <c r="G75" i="11"/>
  <c r="E113" i="6"/>
  <c r="E128" i="6" s="1"/>
  <c r="E133" i="6" s="1"/>
  <c r="E109" i="6"/>
  <c r="E124" i="6" s="1"/>
  <c r="E129" i="6" s="1"/>
  <c r="E111" i="6"/>
  <c r="E126" i="6" s="1"/>
  <c r="E131" i="6" s="1"/>
  <c r="E110" i="6"/>
  <c r="E125" i="6" s="1"/>
  <c r="E130" i="6" s="1"/>
  <c r="E112" i="6"/>
  <c r="E127" i="6" s="1"/>
  <c r="C104" i="12"/>
  <c r="C106" i="12"/>
  <c r="C94" i="12"/>
  <c r="C109" i="12" s="1"/>
  <c r="C124" i="12" s="1"/>
  <c r="C129" i="12" s="1"/>
  <c r="C134" i="12" s="1"/>
  <c r="C96" i="12"/>
  <c r="C94" i="6"/>
  <c r="C109" i="6" s="1"/>
  <c r="C124" i="6" s="1"/>
  <c r="C129" i="6" s="1"/>
  <c r="D106" i="12"/>
  <c r="D95" i="12"/>
  <c r="I126" i="5"/>
  <c r="I128" i="5" s="1"/>
  <c r="I77" i="5"/>
  <c r="I80" i="5" s="1"/>
  <c r="F75" i="8"/>
  <c r="F79" i="8"/>
  <c r="E109" i="9"/>
  <c r="E117" i="9" s="1"/>
  <c r="E133" i="9" s="1"/>
  <c r="E139" i="9" s="1"/>
  <c r="E105" i="6"/>
  <c r="C108" i="6"/>
  <c r="H109" i="5"/>
  <c r="D100" i="6"/>
  <c r="D103" i="6"/>
  <c r="D107" i="6"/>
  <c r="D104" i="6"/>
  <c r="C110" i="5"/>
  <c r="C99" i="5"/>
  <c r="C105" i="5"/>
  <c r="C104" i="5"/>
  <c r="I100" i="8"/>
  <c r="I116" i="8" s="1"/>
  <c r="I134" i="8" s="1"/>
  <c r="I140" i="8" s="1"/>
  <c r="E196" i="8" s="1"/>
  <c r="F196" i="8" s="1"/>
  <c r="C134" i="6" l="1"/>
  <c r="C136" i="12"/>
  <c r="AD43" i="3" s="1"/>
  <c r="G153" i="5"/>
  <c r="H153" i="5" s="1"/>
  <c r="C141" i="5"/>
  <c r="G171" i="5"/>
  <c r="H171" i="5" s="1"/>
  <c r="C140" i="5"/>
  <c r="AC9" i="3" s="1"/>
  <c r="E153" i="5"/>
  <c r="F153" i="5" s="1"/>
  <c r="E171" i="5"/>
  <c r="F171" i="5" s="1"/>
  <c r="K202" i="8"/>
  <c r="L202" i="8" s="1"/>
  <c r="K199" i="8"/>
  <c r="L199" i="8" s="1"/>
  <c r="K190" i="8"/>
  <c r="L190" i="8" s="1"/>
  <c r="K187" i="8"/>
  <c r="L187" i="8" s="1"/>
  <c r="K184" i="8"/>
  <c r="L184" i="8" s="1"/>
  <c r="K172" i="8"/>
  <c r="L172" i="8" s="1"/>
  <c r="K166" i="8"/>
  <c r="L166" i="8" s="1"/>
  <c r="K154" i="8"/>
  <c r="L154" i="8" s="1"/>
  <c r="D110" i="9"/>
  <c r="D109" i="9"/>
  <c r="D97" i="9"/>
  <c r="D113" i="9" s="1"/>
  <c r="D129" i="9" s="1"/>
  <c r="D135" i="9" s="1"/>
  <c r="D103" i="9"/>
  <c r="D105" i="9"/>
  <c r="D106" i="9"/>
  <c r="D96" i="9"/>
  <c r="D101" i="9"/>
  <c r="D107" i="9"/>
  <c r="D98" i="9"/>
  <c r="D100" i="11"/>
  <c r="D107" i="11"/>
  <c r="D104" i="11"/>
  <c r="D108" i="11"/>
  <c r="D105" i="11"/>
  <c r="D103" i="11"/>
  <c r="D114" i="11" s="1"/>
  <c r="D131" i="11" s="1"/>
  <c r="D136" i="11" s="1"/>
  <c r="D102" i="11"/>
  <c r="D111" i="11"/>
  <c r="D97" i="11"/>
  <c r="D109" i="11"/>
  <c r="D101" i="11"/>
  <c r="D98" i="11"/>
  <c r="D99" i="11"/>
  <c r="C153" i="5"/>
  <c r="D153" i="5" s="1"/>
  <c r="C171" i="5"/>
  <c r="D171" i="5" s="1"/>
  <c r="C139" i="5"/>
  <c r="I202" i="8"/>
  <c r="J202" i="8" s="1"/>
  <c r="I199" i="8"/>
  <c r="J199" i="8" s="1"/>
  <c r="I190" i="8"/>
  <c r="J190" i="8" s="1"/>
  <c r="I187" i="8"/>
  <c r="J187" i="8" s="1"/>
  <c r="I184" i="8"/>
  <c r="J184" i="8" s="1"/>
  <c r="I172" i="8"/>
  <c r="J172" i="8" s="1"/>
  <c r="I166" i="8"/>
  <c r="J166" i="8" s="1"/>
  <c r="I154" i="8"/>
  <c r="J154" i="8" s="1"/>
  <c r="I153" i="5"/>
  <c r="J153" i="5" s="1"/>
  <c r="C142" i="5"/>
  <c r="I171" i="5"/>
  <c r="J171" i="5" s="1"/>
  <c r="K153" i="5"/>
  <c r="L153" i="5" s="1"/>
  <c r="K171" i="5"/>
  <c r="L171" i="5" s="1"/>
  <c r="C143" i="5"/>
  <c r="C135" i="6"/>
  <c r="AD9" i="3" s="1"/>
  <c r="J102" i="8"/>
  <c r="F109" i="5"/>
  <c r="F111" i="5"/>
  <c r="D102" i="5"/>
  <c r="E108" i="5"/>
  <c r="E98" i="5"/>
  <c r="D107" i="12"/>
  <c r="G104" i="11"/>
  <c r="D97" i="6"/>
  <c r="C104" i="8"/>
  <c r="C106" i="8"/>
  <c r="C105" i="8"/>
  <c r="C102" i="8"/>
  <c r="C142" i="8"/>
  <c r="J115" i="8"/>
  <c r="J133" i="8" s="1"/>
  <c r="J139" i="8" s="1"/>
  <c r="J106" i="8"/>
  <c r="J118" i="8" s="1"/>
  <c r="J136" i="8" s="1"/>
  <c r="J142" i="8" s="1"/>
  <c r="J103" i="8"/>
  <c r="J117" i="8" s="1"/>
  <c r="J135" i="8" s="1"/>
  <c r="J141" i="8" s="1"/>
  <c r="J114" i="8"/>
  <c r="J108" i="8"/>
  <c r="D105" i="8"/>
  <c r="D94" i="9"/>
  <c r="D134" i="11"/>
  <c r="D102" i="12"/>
  <c r="D113" i="6"/>
  <c r="D128" i="6" s="1"/>
  <c r="D133" i="6" s="1"/>
  <c r="E96" i="11"/>
  <c r="D102" i="6"/>
  <c r="D101" i="12"/>
  <c r="F100" i="5"/>
  <c r="F113" i="5" s="1"/>
  <c r="F130" i="5" s="1"/>
  <c r="F135" i="5" s="1"/>
  <c r="F106" i="5"/>
  <c r="F97" i="5"/>
  <c r="F112" i="5" s="1"/>
  <c r="F129" i="5" s="1"/>
  <c r="F134" i="5" s="1"/>
  <c r="D103" i="5"/>
  <c r="D98" i="5"/>
  <c r="D97" i="5"/>
  <c r="D99" i="5"/>
  <c r="D105" i="5"/>
  <c r="D111" i="8"/>
  <c r="G104" i="5"/>
  <c r="G99" i="5"/>
  <c r="C104" i="6"/>
  <c r="D99" i="12"/>
  <c r="D105" i="6"/>
  <c r="G114" i="5"/>
  <c r="G131" i="5" s="1"/>
  <c r="G136" i="5" s="1"/>
  <c r="D113" i="12"/>
  <c r="D128" i="12" s="1"/>
  <c r="D133" i="12" s="1"/>
  <c r="D100" i="8"/>
  <c r="D116" i="8" s="1"/>
  <c r="D134" i="8" s="1"/>
  <c r="D140" i="8" s="1"/>
  <c r="J105" i="8"/>
  <c r="F128" i="11"/>
  <c r="E121" i="12"/>
  <c r="E123" i="12" s="1"/>
  <c r="E92" i="12"/>
  <c r="F105" i="5"/>
  <c r="E104" i="5"/>
  <c r="G99" i="11"/>
  <c r="G96" i="11"/>
  <c r="G107" i="11" s="1"/>
  <c r="G128" i="11"/>
  <c r="C120" i="8"/>
  <c r="C138" i="8" s="1"/>
  <c r="C144" i="8" s="1"/>
  <c r="C118" i="8"/>
  <c r="C136" i="8" s="1"/>
  <c r="C116" i="8"/>
  <c r="C134" i="8" s="1"/>
  <c r="C140" i="8" s="1"/>
  <c r="C110" i="8"/>
  <c r="C103" i="8"/>
  <c r="C117" i="8" s="1"/>
  <c r="C135" i="8" s="1"/>
  <c r="C141" i="8" s="1"/>
  <c r="C109" i="8"/>
  <c r="C119" i="8" s="1"/>
  <c r="C137" i="8" s="1"/>
  <c r="C143" i="8" s="1"/>
  <c r="J99" i="8"/>
  <c r="J110" i="8"/>
  <c r="J98" i="8"/>
  <c r="J112" i="8"/>
  <c r="J120" i="8" s="1"/>
  <c r="J138" i="8" s="1"/>
  <c r="J144" i="8" s="1"/>
  <c r="D114" i="8"/>
  <c r="D117" i="9"/>
  <c r="D133" i="9" s="1"/>
  <c r="D139" i="9" s="1"/>
  <c r="D114" i="9"/>
  <c r="D130" i="9" s="1"/>
  <c r="D136" i="9" s="1"/>
  <c r="D115" i="9"/>
  <c r="D131" i="9" s="1"/>
  <c r="D137" i="9" s="1"/>
  <c r="D116" i="9"/>
  <c r="D132" i="9" s="1"/>
  <c r="D112" i="9"/>
  <c r="D128" i="9" s="1"/>
  <c r="F95" i="11"/>
  <c r="D110" i="6"/>
  <c r="D125" i="6" s="1"/>
  <c r="D130" i="6" s="1"/>
  <c r="AB9" i="3" s="1"/>
  <c r="D110" i="8"/>
  <c r="D115" i="8"/>
  <c r="D133" i="8" s="1"/>
  <c r="D139" i="8" s="1"/>
  <c r="D94" i="6"/>
  <c r="D109" i="6" s="1"/>
  <c r="D124" i="6" s="1"/>
  <c r="D129" i="6" s="1"/>
  <c r="AB15" i="3" s="1"/>
  <c r="F98" i="5"/>
  <c r="F110" i="5"/>
  <c r="F104" i="5"/>
  <c r="F99" i="5"/>
  <c r="D104" i="5"/>
  <c r="D107" i="5"/>
  <c r="D111" i="5"/>
  <c r="D136" i="5"/>
  <c r="D101" i="8"/>
  <c r="D138" i="9"/>
  <c r="D134" i="9"/>
  <c r="D111" i="9"/>
  <c r="C103" i="6"/>
  <c r="C112" i="6" s="1"/>
  <c r="C127" i="6" s="1"/>
  <c r="C132" i="6" s="1"/>
  <c r="C137" i="6" s="1"/>
  <c r="F69" i="8"/>
  <c r="F77" i="8" s="1"/>
  <c r="F80" i="8" s="1"/>
  <c r="D108" i="8"/>
  <c r="G112" i="5"/>
  <c r="G129" i="5" s="1"/>
  <c r="G134" i="5" s="1"/>
  <c r="D99" i="9"/>
  <c r="D112" i="12"/>
  <c r="D127" i="12" s="1"/>
  <c r="D132" i="12" s="1"/>
  <c r="I101" i="5"/>
  <c r="I96" i="5"/>
  <c r="I108" i="5" s="1"/>
  <c r="I109" i="5"/>
  <c r="I95" i="5"/>
  <c r="I105" i="5" s="1"/>
  <c r="I104" i="5"/>
  <c r="I106" i="5"/>
  <c r="I110" i="5"/>
  <c r="I103" i="5"/>
  <c r="I98" i="5"/>
  <c r="I102" i="5"/>
  <c r="E96" i="5"/>
  <c r="E114" i="5" s="1"/>
  <c r="E131" i="5" s="1"/>
  <c r="E136" i="5" s="1"/>
  <c r="C135" i="12"/>
  <c r="G114" i="11"/>
  <c r="G131" i="11" s="1"/>
  <c r="G106" i="11"/>
  <c r="D114" i="5"/>
  <c r="D131" i="5" s="1"/>
  <c r="D116" i="5"/>
  <c r="D133" i="5" s="1"/>
  <c r="D138" i="5" s="1"/>
  <c r="D112" i="5"/>
  <c r="D129" i="5" s="1"/>
  <c r="D134" i="5" s="1"/>
  <c r="D113" i="5"/>
  <c r="D130" i="5" s="1"/>
  <c r="D135" i="5" s="1"/>
  <c r="D115" i="5"/>
  <c r="D132" i="5" s="1"/>
  <c r="D137" i="5" s="1"/>
  <c r="I95" i="11"/>
  <c r="I99" i="11"/>
  <c r="I110" i="11"/>
  <c r="I100" i="11"/>
  <c r="I96" i="11"/>
  <c r="I103" i="11" s="1"/>
  <c r="I101" i="11"/>
  <c r="I98" i="11"/>
  <c r="C126" i="11"/>
  <c r="C128" i="11" s="1"/>
  <c r="C95" i="11"/>
  <c r="D98" i="8"/>
  <c r="E109" i="5"/>
  <c r="E103" i="5"/>
  <c r="D97" i="12"/>
  <c r="G97" i="11"/>
  <c r="G112" i="11" s="1"/>
  <c r="G129" i="11" s="1"/>
  <c r="G103" i="11"/>
  <c r="D104" i="12"/>
  <c r="D106" i="6"/>
  <c r="D100" i="12"/>
  <c r="D111" i="12" s="1"/>
  <c r="D126" i="12" s="1"/>
  <c r="D131" i="12" s="1"/>
  <c r="AB43" i="3" s="1"/>
  <c r="C108" i="8"/>
  <c r="C100" i="8"/>
  <c r="C97" i="8"/>
  <c r="C115" i="8" s="1"/>
  <c r="C133" i="8" s="1"/>
  <c r="C139" i="8" s="1"/>
  <c r="C107" i="8"/>
  <c r="C114" i="8"/>
  <c r="J109" i="8"/>
  <c r="J119" i="8" s="1"/>
  <c r="J137" i="8" s="1"/>
  <c r="J143" i="8" s="1"/>
  <c r="J104" i="8"/>
  <c r="J111" i="8"/>
  <c r="J100" i="8"/>
  <c r="J116" i="8" s="1"/>
  <c r="J134" i="8" s="1"/>
  <c r="J140" i="8" s="1"/>
  <c r="J107" i="8"/>
  <c r="D112" i="8"/>
  <c r="D120" i="8" s="1"/>
  <c r="D138" i="8" s="1"/>
  <c r="D144" i="8" s="1"/>
  <c r="D100" i="9"/>
  <c r="D102" i="9"/>
  <c r="C125" i="9"/>
  <c r="C127" i="9" s="1"/>
  <c r="C92" i="9"/>
  <c r="D113" i="11"/>
  <c r="D130" i="11" s="1"/>
  <c r="D135" i="11" s="1"/>
  <c r="D112" i="11"/>
  <c r="D129" i="11" s="1"/>
  <c r="D116" i="11"/>
  <c r="D133" i="11" s="1"/>
  <c r="D138" i="11" s="1"/>
  <c r="D110" i="11"/>
  <c r="D106" i="11"/>
  <c r="D115" i="11" s="1"/>
  <c r="D132" i="11" s="1"/>
  <c r="D137" i="11" s="1"/>
  <c r="D111" i="6"/>
  <c r="D126" i="6" s="1"/>
  <c r="D131" i="6" s="1"/>
  <c r="D112" i="6"/>
  <c r="D127" i="6" s="1"/>
  <c r="D132" i="6" s="1"/>
  <c r="E110" i="11"/>
  <c r="D117" i="8"/>
  <c r="D135" i="8" s="1"/>
  <c r="D141" i="8" s="1"/>
  <c r="D95" i="6"/>
  <c r="C102" i="6"/>
  <c r="C99" i="6"/>
  <c r="C100" i="6"/>
  <c r="C111" i="6" s="1"/>
  <c r="C126" i="6" s="1"/>
  <c r="C131" i="6" s="1"/>
  <c r="C101" i="6"/>
  <c r="C96" i="6"/>
  <c r="C105" i="6"/>
  <c r="C98" i="6"/>
  <c r="C106" i="6"/>
  <c r="C113" i="6" s="1"/>
  <c r="C128" i="6" s="1"/>
  <c r="C133" i="6" s="1"/>
  <c r="C138" i="6" s="1"/>
  <c r="F116" i="5"/>
  <c r="F133" i="5" s="1"/>
  <c r="F114" i="5"/>
  <c r="F131" i="5" s="1"/>
  <c r="F136" i="5" s="1"/>
  <c r="F115" i="5"/>
  <c r="F132" i="5" s="1"/>
  <c r="F137" i="5" s="1"/>
  <c r="F102" i="5"/>
  <c r="F101" i="5"/>
  <c r="F103" i="5"/>
  <c r="F138" i="5"/>
  <c r="D101" i="5"/>
  <c r="D108" i="5"/>
  <c r="D100" i="5"/>
  <c r="D110" i="5"/>
  <c r="E69" i="8"/>
  <c r="E77" i="8" s="1"/>
  <c r="E80" i="8" s="1"/>
  <c r="D102" i="8"/>
  <c r="G111" i="5"/>
  <c r="D95" i="9"/>
  <c r="D108" i="9"/>
  <c r="G115" i="5"/>
  <c r="G132" i="5" s="1"/>
  <c r="G137" i="5" s="1"/>
  <c r="D104" i="9"/>
  <c r="D110" i="12"/>
  <c r="D125" i="12" s="1"/>
  <c r="D130" i="12" s="1"/>
  <c r="AB40" i="3" s="1"/>
  <c r="D99" i="6"/>
  <c r="K195" i="11" l="1"/>
  <c r="L195" i="11" s="1"/>
  <c r="K192" i="11"/>
  <c r="L192" i="11" s="1"/>
  <c r="K180" i="11"/>
  <c r="L180" i="11" s="1"/>
  <c r="K159" i="11"/>
  <c r="L159" i="11" s="1"/>
  <c r="K147" i="11"/>
  <c r="L147" i="11" s="1"/>
  <c r="K183" i="11"/>
  <c r="L183" i="11" s="1"/>
  <c r="K177" i="11"/>
  <c r="L177" i="11" s="1"/>
  <c r="K165" i="11"/>
  <c r="L165" i="11" s="1"/>
  <c r="I183" i="5"/>
  <c r="J183" i="5" s="1"/>
  <c r="I165" i="5"/>
  <c r="J165" i="5" s="1"/>
  <c r="I192" i="5"/>
  <c r="J192" i="5" s="1"/>
  <c r="I177" i="5"/>
  <c r="J177" i="5" s="1"/>
  <c r="I195" i="5"/>
  <c r="J195" i="5" s="1"/>
  <c r="I180" i="5"/>
  <c r="J180" i="5" s="1"/>
  <c r="I159" i="5"/>
  <c r="J159" i="5" s="1"/>
  <c r="I147" i="5"/>
  <c r="J147" i="5" s="1"/>
  <c r="K178" i="8"/>
  <c r="L178" i="8" s="1"/>
  <c r="K160" i="8"/>
  <c r="L160" i="8" s="1"/>
  <c r="C149" i="8"/>
  <c r="G195" i="11"/>
  <c r="H195" i="11" s="1"/>
  <c r="G180" i="11"/>
  <c r="H180" i="11" s="1"/>
  <c r="G159" i="11"/>
  <c r="H159" i="11" s="1"/>
  <c r="G147" i="11"/>
  <c r="H147" i="11" s="1"/>
  <c r="G192" i="11"/>
  <c r="H192" i="11" s="1"/>
  <c r="G177" i="11"/>
  <c r="H177" i="11" s="1"/>
  <c r="G165" i="11"/>
  <c r="H165" i="11" s="1"/>
  <c r="G183" i="11"/>
  <c r="H183" i="11" s="1"/>
  <c r="E183" i="5"/>
  <c r="F183" i="5" s="1"/>
  <c r="E165" i="5"/>
  <c r="F165" i="5" s="1"/>
  <c r="E192" i="5"/>
  <c r="F192" i="5" s="1"/>
  <c r="E177" i="5"/>
  <c r="F177" i="5" s="1"/>
  <c r="E195" i="5"/>
  <c r="F195" i="5" s="1"/>
  <c r="E180" i="5"/>
  <c r="F180" i="5" s="1"/>
  <c r="E159" i="5"/>
  <c r="F159" i="5" s="1"/>
  <c r="E147" i="5"/>
  <c r="F147" i="5" s="1"/>
  <c r="G178" i="8"/>
  <c r="H178" i="8" s="1"/>
  <c r="H180" i="8" s="1"/>
  <c r="G160" i="8"/>
  <c r="H160" i="8" s="1"/>
  <c r="C147" i="8"/>
  <c r="M178" i="8"/>
  <c r="N178" i="8" s="1"/>
  <c r="M160" i="8"/>
  <c r="N160" i="8" s="1"/>
  <c r="N162" i="8" s="1"/>
  <c r="C150" i="8"/>
  <c r="I192" i="11"/>
  <c r="J192" i="11" s="1"/>
  <c r="I195" i="11"/>
  <c r="J195" i="11" s="1"/>
  <c r="I147" i="11"/>
  <c r="J147" i="11" s="1"/>
  <c r="I180" i="11"/>
  <c r="J180" i="11" s="1"/>
  <c r="I159" i="11"/>
  <c r="J159" i="11" s="1"/>
  <c r="I183" i="11"/>
  <c r="J183" i="11" s="1"/>
  <c r="I177" i="11"/>
  <c r="J177" i="11" s="1"/>
  <c r="I165" i="11"/>
  <c r="J165" i="11" s="1"/>
  <c r="E192" i="11"/>
  <c r="F192" i="11" s="1"/>
  <c r="E195" i="11"/>
  <c r="F195" i="11" s="1"/>
  <c r="E147" i="11"/>
  <c r="F147" i="11" s="1"/>
  <c r="E180" i="11"/>
  <c r="F180" i="11" s="1"/>
  <c r="E159" i="11"/>
  <c r="F159" i="11" s="1"/>
  <c r="E183" i="11"/>
  <c r="F183" i="11" s="1"/>
  <c r="E177" i="11"/>
  <c r="F177" i="11" s="1"/>
  <c r="E165" i="11"/>
  <c r="F165" i="11" s="1"/>
  <c r="C192" i="5"/>
  <c r="D192" i="5" s="1"/>
  <c r="C177" i="5"/>
  <c r="D177" i="5" s="1"/>
  <c r="C183" i="5"/>
  <c r="D183" i="5" s="1"/>
  <c r="C165" i="5"/>
  <c r="D165" i="5" s="1"/>
  <c r="C195" i="5"/>
  <c r="D195" i="5" s="1"/>
  <c r="C180" i="5"/>
  <c r="D180" i="5" s="1"/>
  <c r="C159" i="5"/>
  <c r="D159" i="5" s="1"/>
  <c r="C147" i="5"/>
  <c r="D147" i="5" s="1"/>
  <c r="M202" i="8"/>
  <c r="N202" i="8" s="1"/>
  <c r="M199" i="8"/>
  <c r="N199" i="8" s="1"/>
  <c r="M190" i="8"/>
  <c r="N190" i="8" s="1"/>
  <c r="N192" i="8" s="1"/>
  <c r="M187" i="8"/>
  <c r="N187" i="8" s="1"/>
  <c r="M184" i="8"/>
  <c r="N184" i="8" s="1"/>
  <c r="M172" i="8"/>
  <c r="N172" i="8" s="1"/>
  <c r="M166" i="8"/>
  <c r="N166" i="8" s="1"/>
  <c r="N168" i="8" s="1"/>
  <c r="M154" i="8"/>
  <c r="N154" i="8" s="1"/>
  <c r="C178" i="8"/>
  <c r="D178" i="8" s="1"/>
  <c r="C160" i="8"/>
  <c r="D160" i="8" s="1"/>
  <c r="C145" i="8"/>
  <c r="K192" i="5"/>
  <c r="L192" i="5" s="1"/>
  <c r="K177" i="5"/>
  <c r="L177" i="5" s="1"/>
  <c r="K183" i="5"/>
  <c r="L183" i="5" s="1"/>
  <c r="K165" i="5"/>
  <c r="L165" i="5" s="1"/>
  <c r="K195" i="5"/>
  <c r="L195" i="5" s="1"/>
  <c r="K180" i="5"/>
  <c r="L180" i="5" s="1"/>
  <c r="K159" i="5"/>
  <c r="L159" i="5" s="1"/>
  <c r="K147" i="5"/>
  <c r="L147" i="5" s="1"/>
  <c r="E178" i="8"/>
  <c r="F178" i="8" s="1"/>
  <c r="E160" i="8"/>
  <c r="F160" i="8" s="1"/>
  <c r="C146" i="8"/>
  <c r="E202" i="8"/>
  <c r="F202" i="8" s="1"/>
  <c r="E199" i="8"/>
  <c r="F199" i="8" s="1"/>
  <c r="E190" i="8"/>
  <c r="F190" i="8" s="1"/>
  <c r="E187" i="8"/>
  <c r="F187" i="8" s="1"/>
  <c r="F189" i="8" s="1"/>
  <c r="E184" i="8"/>
  <c r="F184" i="8" s="1"/>
  <c r="E172" i="8"/>
  <c r="F172" i="8" s="1"/>
  <c r="E166" i="8"/>
  <c r="F166" i="8" s="1"/>
  <c r="E154" i="8"/>
  <c r="F154" i="8" s="1"/>
  <c r="F156" i="8" s="1"/>
  <c r="C99" i="11"/>
  <c r="AB42" i="3"/>
  <c r="F96" i="11"/>
  <c r="F98" i="11" s="1"/>
  <c r="E100" i="11"/>
  <c r="E105" i="11"/>
  <c r="E97" i="11"/>
  <c r="E112" i="11" s="1"/>
  <c r="E129" i="11" s="1"/>
  <c r="E134" i="11" s="1"/>
  <c r="E101" i="11"/>
  <c r="E107" i="11"/>
  <c r="E109" i="11"/>
  <c r="E104" i="11"/>
  <c r="E108" i="11"/>
  <c r="E102" i="11"/>
  <c r="E106" i="11"/>
  <c r="E111" i="11"/>
  <c r="E103" i="11"/>
  <c r="E99" i="11"/>
  <c r="E115" i="11"/>
  <c r="E132" i="11" s="1"/>
  <c r="E137" i="11" s="1"/>
  <c r="F110" i="11"/>
  <c r="I178" i="8"/>
  <c r="J178" i="8" s="1"/>
  <c r="I160" i="8"/>
  <c r="J160" i="8" s="1"/>
  <c r="C148" i="8"/>
  <c r="AC27" i="3" s="1"/>
  <c r="AC13" i="3"/>
  <c r="AC14" i="3"/>
  <c r="AC15" i="3"/>
  <c r="AC16" i="3"/>
  <c r="AC12" i="3"/>
  <c r="AC8" i="3"/>
  <c r="AC11" i="3"/>
  <c r="AC6" i="3"/>
  <c r="AC17" i="3"/>
  <c r="AC18" i="3"/>
  <c r="AC10" i="3"/>
  <c r="AC7" i="3"/>
  <c r="AB14" i="3"/>
  <c r="E130" i="8"/>
  <c r="E132" i="8" s="1"/>
  <c r="E96" i="8"/>
  <c r="E108" i="8" s="1"/>
  <c r="E95" i="8"/>
  <c r="E106" i="8" s="1"/>
  <c r="E105" i="8"/>
  <c r="E111" i="8"/>
  <c r="E114" i="8"/>
  <c r="C136" i="6"/>
  <c r="AB18" i="3"/>
  <c r="AB11" i="3"/>
  <c r="AB7" i="3"/>
  <c r="AB6" i="3"/>
  <c r="AB10" i="3"/>
  <c r="AB16" i="3"/>
  <c r="AB12" i="3"/>
  <c r="AB8" i="3"/>
  <c r="AB17" i="3"/>
  <c r="G202" i="8"/>
  <c r="H202" i="8" s="1"/>
  <c r="G199" i="8"/>
  <c r="H199" i="8" s="1"/>
  <c r="G190" i="8"/>
  <c r="H190" i="8" s="1"/>
  <c r="G187" i="8"/>
  <c r="H187" i="8" s="1"/>
  <c r="G184" i="8"/>
  <c r="H184" i="8" s="1"/>
  <c r="G172" i="8"/>
  <c r="H172" i="8" s="1"/>
  <c r="G166" i="8"/>
  <c r="H166" i="8" s="1"/>
  <c r="H168" i="8" s="1"/>
  <c r="G154" i="8"/>
  <c r="H154" i="8" s="1"/>
  <c r="F100" i="11"/>
  <c r="F113" i="11" s="1"/>
  <c r="F130" i="11" s="1"/>
  <c r="F135" i="11" s="1"/>
  <c r="C108" i="9"/>
  <c r="G109" i="11"/>
  <c r="G116" i="11" s="1"/>
  <c r="G133" i="11" s="1"/>
  <c r="G138" i="11" s="1"/>
  <c r="G100" i="11"/>
  <c r="E100" i="5"/>
  <c r="E113" i="5" s="1"/>
  <c r="E130" i="5" s="1"/>
  <c r="E135" i="5" s="1"/>
  <c r="C106" i="11"/>
  <c r="I97" i="11"/>
  <c r="I112" i="11" s="1"/>
  <c r="I129" i="11" s="1"/>
  <c r="I134" i="11" s="1"/>
  <c r="I104" i="11"/>
  <c r="I111" i="11"/>
  <c r="I114" i="11"/>
  <c r="I131" i="11" s="1"/>
  <c r="I136" i="11" s="1"/>
  <c r="I115" i="11"/>
  <c r="I132" i="11" s="1"/>
  <c r="I137" i="11" s="1"/>
  <c r="I113" i="11"/>
  <c r="I130" i="11" s="1"/>
  <c r="I135" i="11" s="1"/>
  <c r="F106" i="11"/>
  <c r="G113" i="11"/>
  <c r="G130" i="11" s="1"/>
  <c r="AB41" i="3"/>
  <c r="AD42" i="3"/>
  <c r="AD44" i="3"/>
  <c r="AD40" i="3"/>
  <c r="AD39" i="3"/>
  <c r="AD41" i="3"/>
  <c r="I97" i="5"/>
  <c r="I112" i="5" s="1"/>
  <c r="I129" i="5" s="1"/>
  <c r="I134" i="5" s="1"/>
  <c r="I99" i="5"/>
  <c r="I107" i="5"/>
  <c r="C202" i="8"/>
  <c r="D202" i="8" s="1"/>
  <c r="C199" i="8"/>
  <c r="D199" i="8" s="1"/>
  <c r="D201" i="8" s="1"/>
  <c r="C190" i="8"/>
  <c r="D190" i="8" s="1"/>
  <c r="C187" i="8"/>
  <c r="D187" i="8" s="1"/>
  <c r="C184" i="8"/>
  <c r="D184" i="8" s="1"/>
  <c r="C172" i="8"/>
  <c r="D172" i="8" s="1"/>
  <c r="D174" i="8" s="1"/>
  <c r="C166" i="8"/>
  <c r="D166" i="8" s="1"/>
  <c r="C154" i="8"/>
  <c r="D154" i="8" s="1"/>
  <c r="F104" i="11"/>
  <c r="G135" i="11"/>
  <c r="G134" i="11"/>
  <c r="G136" i="11"/>
  <c r="E106" i="5"/>
  <c r="E93" i="12"/>
  <c r="F105" i="11"/>
  <c r="E113" i="11"/>
  <c r="E130" i="11" s="1"/>
  <c r="E135" i="11" s="1"/>
  <c r="E114" i="11"/>
  <c r="E131" i="11" s="1"/>
  <c r="E136" i="11" s="1"/>
  <c r="F108" i="11"/>
  <c r="G108" i="11"/>
  <c r="E97" i="5"/>
  <c r="E112" i="5" s="1"/>
  <c r="E129" i="5" s="1"/>
  <c r="E134" i="5" s="1"/>
  <c r="J192" i="8"/>
  <c r="T27" i="3" s="1"/>
  <c r="AB13" i="3"/>
  <c r="AB44" i="3"/>
  <c r="C101" i="9"/>
  <c r="C98" i="11"/>
  <c r="I107" i="11"/>
  <c r="I102" i="11"/>
  <c r="I105" i="11"/>
  <c r="AB39" i="3"/>
  <c r="AB45" i="3" s="1"/>
  <c r="F130" i="8"/>
  <c r="F132" i="8" s="1"/>
  <c r="F95" i="8"/>
  <c r="F97" i="11"/>
  <c r="G110" i="11"/>
  <c r="G101" i="11"/>
  <c r="E99" i="5"/>
  <c r="E103" i="12"/>
  <c r="F99" i="11"/>
  <c r="C195" i="11"/>
  <c r="D195" i="11" s="1"/>
  <c r="C180" i="11"/>
  <c r="D180" i="11" s="1"/>
  <c r="C159" i="11"/>
  <c r="D159" i="11" s="1"/>
  <c r="C192" i="11"/>
  <c r="D192" i="11" s="1"/>
  <c r="C147" i="11"/>
  <c r="D147" i="11" s="1"/>
  <c r="C183" i="11"/>
  <c r="D183" i="11" s="1"/>
  <c r="C177" i="11"/>
  <c r="D177" i="11" s="1"/>
  <c r="C165" i="11"/>
  <c r="D165" i="11" s="1"/>
  <c r="G98" i="11"/>
  <c r="E101" i="5"/>
  <c r="F102" i="11"/>
  <c r="E116" i="5"/>
  <c r="E133" i="5" s="1"/>
  <c r="E138" i="5" s="1"/>
  <c r="E115" i="5"/>
  <c r="E132" i="5" s="1"/>
  <c r="E137" i="5" s="1"/>
  <c r="J174" i="8"/>
  <c r="L27" i="3" s="1"/>
  <c r="L204" i="8"/>
  <c r="C110" i="9"/>
  <c r="C114" i="11"/>
  <c r="C131" i="11" s="1"/>
  <c r="C136" i="11" s="1"/>
  <c r="C105" i="11"/>
  <c r="C96" i="11"/>
  <c r="C104" i="11" s="1"/>
  <c r="G192" i="5"/>
  <c r="H192" i="5" s="1"/>
  <c r="G177" i="5"/>
  <c r="H177" i="5" s="1"/>
  <c r="G183" i="5"/>
  <c r="H183" i="5" s="1"/>
  <c r="G165" i="5"/>
  <c r="H165" i="5" s="1"/>
  <c r="G159" i="5"/>
  <c r="H159" i="5" s="1"/>
  <c r="G147" i="5"/>
  <c r="H147" i="5" s="1"/>
  <c r="G195" i="5"/>
  <c r="H195" i="5" s="1"/>
  <c r="G180" i="5"/>
  <c r="H180" i="5" s="1"/>
  <c r="F103" i="11"/>
  <c r="C102" i="9"/>
  <c r="C101" i="11"/>
  <c r="E98" i="11"/>
  <c r="F101" i="11"/>
  <c r="F109" i="11"/>
  <c r="F116" i="11" s="1"/>
  <c r="F133" i="11" s="1"/>
  <c r="F138" i="11" s="1"/>
  <c r="C93" i="9"/>
  <c r="C95" i="9" s="1"/>
  <c r="C98" i="9"/>
  <c r="C103" i="9"/>
  <c r="C106" i="9"/>
  <c r="G111" i="11"/>
  <c r="E107" i="5"/>
  <c r="C108" i="11"/>
  <c r="C110" i="11"/>
  <c r="C103" i="11"/>
  <c r="I108" i="11"/>
  <c r="I106" i="11"/>
  <c r="I109" i="11"/>
  <c r="I116" i="11" s="1"/>
  <c r="I133" i="11" s="1"/>
  <c r="I138" i="11" s="1"/>
  <c r="G115" i="11"/>
  <c r="G132" i="11" s="1"/>
  <c r="G137" i="11" s="1"/>
  <c r="E105" i="5"/>
  <c r="I111" i="5"/>
  <c r="I115" i="5"/>
  <c r="I132" i="5" s="1"/>
  <c r="I137" i="5" s="1"/>
  <c r="I114" i="5"/>
  <c r="I131" i="5" s="1"/>
  <c r="I136" i="5" s="1"/>
  <c r="I116" i="5"/>
  <c r="I133" i="5" s="1"/>
  <c r="I138" i="5" s="1"/>
  <c r="I100" i="5"/>
  <c r="I113" i="5" s="1"/>
  <c r="I130" i="5" s="1"/>
  <c r="I135" i="5" s="1"/>
  <c r="F107" i="11"/>
  <c r="G105" i="11"/>
  <c r="E110" i="5"/>
  <c r="E107" i="12"/>
  <c r="E111" i="5"/>
  <c r="E116" i="11"/>
  <c r="E133" i="11" s="1"/>
  <c r="E138" i="11" s="1"/>
  <c r="F111" i="11"/>
  <c r="K203" i="8"/>
  <c r="L203" i="8" s="1"/>
  <c r="G203" i="8"/>
  <c r="H203" i="8" s="1"/>
  <c r="C203" i="8"/>
  <c r="D203" i="8" s="1"/>
  <c r="K200" i="8"/>
  <c r="L200" i="8" s="1"/>
  <c r="L201" i="8" s="1"/>
  <c r="G200" i="8"/>
  <c r="H200" i="8" s="1"/>
  <c r="C200" i="8"/>
  <c r="D200" i="8" s="1"/>
  <c r="K197" i="8"/>
  <c r="L197" i="8" s="1"/>
  <c r="L198" i="8" s="1"/>
  <c r="G197" i="8"/>
  <c r="H197" i="8" s="1"/>
  <c r="H198" i="8" s="1"/>
  <c r="C197" i="8"/>
  <c r="D197" i="8" s="1"/>
  <c r="D198" i="8" s="1"/>
  <c r="K191" i="8"/>
  <c r="L191" i="8" s="1"/>
  <c r="L192" i="8" s="1"/>
  <c r="G191" i="8"/>
  <c r="H191" i="8" s="1"/>
  <c r="C191" i="8"/>
  <c r="D191" i="8" s="1"/>
  <c r="K188" i="8"/>
  <c r="L188" i="8" s="1"/>
  <c r="L189" i="8" s="1"/>
  <c r="G188" i="8"/>
  <c r="H188" i="8" s="1"/>
  <c r="C188" i="8"/>
  <c r="D188" i="8" s="1"/>
  <c r="K185" i="8"/>
  <c r="L185" i="8" s="1"/>
  <c r="L186" i="8" s="1"/>
  <c r="G185" i="8"/>
  <c r="H185" i="8" s="1"/>
  <c r="C185" i="8"/>
  <c r="D185" i="8" s="1"/>
  <c r="K179" i="8"/>
  <c r="L179" i="8" s="1"/>
  <c r="G179" i="8"/>
  <c r="H179" i="8" s="1"/>
  <c r="C179" i="8"/>
  <c r="D179" i="8" s="1"/>
  <c r="K173" i="8"/>
  <c r="L173" i="8" s="1"/>
  <c r="L174" i="8" s="1"/>
  <c r="G173" i="8"/>
  <c r="H173" i="8" s="1"/>
  <c r="C173" i="8"/>
  <c r="D173" i="8" s="1"/>
  <c r="E203" i="8"/>
  <c r="F203" i="8" s="1"/>
  <c r="E200" i="8"/>
  <c r="F200" i="8" s="1"/>
  <c r="E197" i="8"/>
  <c r="F197" i="8" s="1"/>
  <c r="F198" i="8" s="1"/>
  <c r="E191" i="8"/>
  <c r="F191" i="8" s="1"/>
  <c r="E188" i="8"/>
  <c r="F188" i="8" s="1"/>
  <c r="E185" i="8"/>
  <c r="F185" i="8" s="1"/>
  <c r="E179" i="8"/>
  <c r="F179" i="8" s="1"/>
  <c r="E173" i="8"/>
  <c r="F173" i="8" s="1"/>
  <c r="G167" i="8"/>
  <c r="H167" i="8" s="1"/>
  <c r="G161" i="8"/>
  <c r="H161" i="8" s="1"/>
  <c r="G155" i="8"/>
  <c r="H155" i="8" s="1"/>
  <c r="M167" i="8"/>
  <c r="N167" i="8" s="1"/>
  <c r="E167" i="8"/>
  <c r="F167" i="8" s="1"/>
  <c r="M161" i="8"/>
  <c r="N161" i="8" s="1"/>
  <c r="E161" i="8"/>
  <c r="F161" i="8" s="1"/>
  <c r="M155" i="8"/>
  <c r="N155" i="8" s="1"/>
  <c r="E155" i="8"/>
  <c r="F155" i="8" s="1"/>
  <c r="M203" i="8"/>
  <c r="N203" i="8" s="1"/>
  <c r="M200" i="8"/>
  <c r="N200" i="8" s="1"/>
  <c r="M197" i="8"/>
  <c r="N197" i="8" s="1"/>
  <c r="N198" i="8" s="1"/>
  <c r="M191" i="8"/>
  <c r="N191" i="8" s="1"/>
  <c r="M188" i="8"/>
  <c r="N188" i="8" s="1"/>
  <c r="M185" i="8"/>
  <c r="N185" i="8" s="1"/>
  <c r="M179" i="8"/>
  <c r="N179" i="8" s="1"/>
  <c r="M173" i="8"/>
  <c r="N173" i="8" s="1"/>
  <c r="K167" i="8"/>
  <c r="L167" i="8" s="1"/>
  <c r="L168" i="8" s="1"/>
  <c r="C167" i="8"/>
  <c r="D167" i="8" s="1"/>
  <c r="K161" i="8"/>
  <c r="L161" i="8" s="1"/>
  <c r="C161" i="8"/>
  <c r="D161" i="8" s="1"/>
  <c r="K155" i="8"/>
  <c r="L155" i="8" s="1"/>
  <c r="C155" i="8"/>
  <c r="D155" i="8" s="1"/>
  <c r="I200" i="8"/>
  <c r="J200" i="8" s="1"/>
  <c r="J201" i="8" s="1"/>
  <c r="X27" i="3" s="1"/>
  <c r="I185" i="8"/>
  <c r="J185" i="8" s="1"/>
  <c r="I155" i="8"/>
  <c r="J155" i="8" s="1"/>
  <c r="J156" i="8" s="1"/>
  <c r="F27" i="3" s="1"/>
  <c r="I203" i="8"/>
  <c r="J203" i="8" s="1"/>
  <c r="J204" i="8" s="1"/>
  <c r="Z27" i="3" s="1"/>
  <c r="I188" i="8"/>
  <c r="J188" i="8" s="1"/>
  <c r="J189" i="8" s="1"/>
  <c r="R27" i="3" s="1"/>
  <c r="I191" i="8"/>
  <c r="J191" i="8" s="1"/>
  <c r="I173" i="8"/>
  <c r="J173" i="8" s="1"/>
  <c r="I167" i="8"/>
  <c r="J167" i="8" s="1"/>
  <c r="J168" i="8" s="1"/>
  <c r="J27" i="3" s="1"/>
  <c r="I179" i="8"/>
  <c r="J179" i="8" s="1"/>
  <c r="I197" i="8"/>
  <c r="J197" i="8" s="1"/>
  <c r="J198" i="8" s="1"/>
  <c r="V27" i="3" s="1"/>
  <c r="I161" i="8"/>
  <c r="J161" i="8" s="1"/>
  <c r="E102" i="5"/>
  <c r="G102" i="11"/>
  <c r="J186" i="8"/>
  <c r="P27" i="3" s="1"/>
  <c r="L156" i="8"/>
  <c r="AD13" i="3"/>
  <c r="AD14" i="3"/>
  <c r="AD15" i="3"/>
  <c r="G171" i="11" l="1"/>
  <c r="H171" i="11" s="1"/>
  <c r="C141" i="11"/>
  <c r="AC43" i="3" s="1"/>
  <c r="G153" i="11"/>
  <c r="H153" i="11" s="1"/>
  <c r="F117" i="8"/>
  <c r="F135" i="8" s="1"/>
  <c r="F141" i="8" s="1"/>
  <c r="E97" i="12"/>
  <c r="E110" i="12" s="1"/>
  <c r="E125" i="12" s="1"/>
  <c r="E130" i="12" s="1"/>
  <c r="E104" i="12"/>
  <c r="E100" i="12"/>
  <c r="L37" i="3"/>
  <c r="L33" i="3"/>
  <c r="L21" i="3"/>
  <c r="L20" i="3"/>
  <c r="L22" i="3"/>
  <c r="L31" i="3"/>
  <c r="L23" i="3"/>
  <c r="L28" i="3"/>
  <c r="H192" i="8"/>
  <c r="E113" i="8"/>
  <c r="E112" i="12"/>
  <c r="E127" i="12" s="1"/>
  <c r="E132" i="12" s="1"/>
  <c r="R35" i="3"/>
  <c r="R24" i="3"/>
  <c r="R25" i="3"/>
  <c r="R26" i="3"/>
  <c r="AC26" i="3"/>
  <c r="AC35" i="3"/>
  <c r="AC24" i="3"/>
  <c r="AC25" i="3"/>
  <c r="AC22" i="3"/>
  <c r="AC31" i="3"/>
  <c r="AC23" i="3"/>
  <c r="AC28" i="3"/>
  <c r="AC37" i="3"/>
  <c r="AC33" i="3"/>
  <c r="AC20" i="3"/>
  <c r="AC21" i="3"/>
  <c r="D161" i="5"/>
  <c r="F149" i="11"/>
  <c r="N36" i="3"/>
  <c r="N32" i="3"/>
  <c r="N29" i="3"/>
  <c r="N30" i="3"/>
  <c r="N34" i="3"/>
  <c r="J149" i="5"/>
  <c r="L161" i="11"/>
  <c r="E102" i="12"/>
  <c r="I196" i="5"/>
  <c r="J196" i="5" s="1"/>
  <c r="E196" i="5"/>
  <c r="F196" i="5" s="1"/>
  <c r="K190" i="5"/>
  <c r="L190" i="5" s="1"/>
  <c r="L191" i="5" s="1"/>
  <c r="G190" i="5"/>
  <c r="H190" i="5" s="1"/>
  <c r="H191" i="5" s="1"/>
  <c r="C190" i="5"/>
  <c r="D190" i="5" s="1"/>
  <c r="D191" i="5" s="1"/>
  <c r="I181" i="5"/>
  <c r="J181" i="5" s="1"/>
  <c r="E181" i="5"/>
  <c r="F181" i="5" s="1"/>
  <c r="F182" i="5" s="1"/>
  <c r="R9" i="3" s="1"/>
  <c r="K172" i="5"/>
  <c r="L172" i="5" s="1"/>
  <c r="L173" i="5" s="1"/>
  <c r="G172" i="5"/>
  <c r="H172" i="5" s="1"/>
  <c r="H173" i="5" s="1"/>
  <c r="C172" i="5"/>
  <c r="D172" i="5" s="1"/>
  <c r="D173" i="5" s="1"/>
  <c r="I160" i="5"/>
  <c r="J160" i="5" s="1"/>
  <c r="J161" i="5" s="1"/>
  <c r="E160" i="5"/>
  <c r="F160" i="5" s="1"/>
  <c r="K148" i="5"/>
  <c r="L148" i="5" s="1"/>
  <c r="G148" i="5"/>
  <c r="H148" i="5" s="1"/>
  <c r="C148" i="5"/>
  <c r="D148" i="5" s="1"/>
  <c r="D149" i="5" s="1"/>
  <c r="K196" i="5"/>
  <c r="L196" i="5" s="1"/>
  <c r="G196" i="5"/>
  <c r="H196" i="5" s="1"/>
  <c r="C196" i="5"/>
  <c r="D196" i="5" s="1"/>
  <c r="I190" i="5"/>
  <c r="J190" i="5" s="1"/>
  <c r="J191" i="5" s="1"/>
  <c r="E190" i="5"/>
  <c r="F190" i="5" s="1"/>
  <c r="F191" i="5" s="1"/>
  <c r="V9" i="3" s="1"/>
  <c r="K181" i="5"/>
  <c r="L181" i="5" s="1"/>
  <c r="G181" i="5"/>
  <c r="H181" i="5" s="1"/>
  <c r="C181" i="5"/>
  <c r="D181" i="5" s="1"/>
  <c r="D182" i="5" s="1"/>
  <c r="I172" i="5"/>
  <c r="J172" i="5" s="1"/>
  <c r="J173" i="5" s="1"/>
  <c r="E172" i="5"/>
  <c r="F172" i="5" s="1"/>
  <c r="F173" i="5" s="1"/>
  <c r="N9" i="3" s="1"/>
  <c r="K160" i="5"/>
  <c r="L160" i="5" s="1"/>
  <c r="L161" i="5" s="1"/>
  <c r="G160" i="5"/>
  <c r="H160" i="5" s="1"/>
  <c r="H161" i="5" s="1"/>
  <c r="C160" i="5"/>
  <c r="D160" i="5" s="1"/>
  <c r="I148" i="5"/>
  <c r="J148" i="5" s="1"/>
  <c r="E148" i="5"/>
  <c r="F148" i="5" s="1"/>
  <c r="F149" i="5" s="1"/>
  <c r="F9" i="3" s="1"/>
  <c r="AA9" i="3" s="1"/>
  <c r="G193" i="5"/>
  <c r="H193" i="5" s="1"/>
  <c r="H194" i="5" s="1"/>
  <c r="G184" i="5"/>
  <c r="H184" i="5" s="1"/>
  <c r="G178" i="5"/>
  <c r="H178" i="5" s="1"/>
  <c r="G166" i="5"/>
  <c r="H166" i="5" s="1"/>
  <c r="G154" i="5"/>
  <c r="H154" i="5" s="1"/>
  <c r="H155" i="5" s="1"/>
  <c r="E193" i="5"/>
  <c r="F193" i="5" s="1"/>
  <c r="E184" i="5"/>
  <c r="F184" i="5" s="1"/>
  <c r="F185" i="5" s="1"/>
  <c r="T9" i="3" s="1"/>
  <c r="E178" i="5"/>
  <c r="F178" i="5" s="1"/>
  <c r="E166" i="5"/>
  <c r="F166" i="5" s="1"/>
  <c r="F167" i="5" s="1"/>
  <c r="L9" i="3" s="1"/>
  <c r="E154" i="5"/>
  <c r="F154" i="5" s="1"/>
  <c r="F155" i="5" s="1"/>
  <c r="H9" i="3" s="1"/>
  <c r="K193" i="5"/>
  <c r="L193" i="5" s="1"/>
  <c r="C193" i="5"/>
  <c r="D193" i="5" s="1"/>
  <c r="K184" i="5"/>
  <c r="L184" i="5" s="1"/>
  <c r="L185" i="5" s="1"/>
  <c r="C184" i="5"/>
  <c r="D184" i="5" s="1"/>
  <c r="D185" i="5" s="1"/>
  <c r="K178" i="5"/>
  <c r="L178" i="5" s="1"/>
  <c r="C178" i="5"/>
  <c r="D178" i="5" s="1"/>
  <c r="K166" i="5"/>
  <c r="L166" i="5" s="1"/>
  <c r="C166" i="5"/>
  <c r="D166" i="5" s="1"/>
  <c r="K154" i="5"/>
  <c r="L154" i="5" s="1"/>
  <c r="L155" i="5" s="1"/>
  <c r="C154" i="5"/>
  <c r="D154" i="5" s="1"/>
  <c r="D155" i="5" s="1"/>
  <c r="I184" i="5"/>
  <c r="J184" i="5" s="1"/>
  <c r="I178" i="5"/>
  <c r="J178" i="5" s="1"/>
  <c r="J179" i="5" s="1"/>
  <c r="I193" i="5"/>
  <c r="J193" i="5" s="1"/>
  <c r="I166" i="5"/>
  <c r="J166" i="5" s="1"/>
  <c r="I154" i="5"/>
  <c r="J154" i="5" s="1"/>
  <c r="J155" i="5" s="1"/>
  <c r="C111" i="11"/>
  <c r="C111" i="9"/>
  <c r="C96" i="9"/>
  <c r="H149" i="5"/>
  <c r="H179" i="5"/>
  <c r="C115" i="11"/>
  <c r="C132" i="11" s="1"/>
  <c r="C137" i="11" s="1"/>
  <c r="E99" i="12"/>
  <c r="F107" i="8"/>
  <c r="F96" i="8"/>
  <c r="F120" i="8" s="1"/>
  <c r="F138" i="8" s="1"/>
  <c r="F144" i="8" s="1"/>
  <c r="C107" i="11"/>
  <c r="E94" i="12"/>
  <c r="D186" i="8"/>
  <c r="D204" i="8"/>
  <c r="K193" i="11"/>
  <c r="L193" i="11" s="1"/>
  <c r="L194" i="11" s="1"/>
  <c r="G193" i="11"/>
  <c r="H193" i="11" s="1"/>
  <c r="H194" i="11" s="1"/>
  <c r="X43" i="3" s="1"/>
  <c r="C193" i="11"/>
  <c r="D193" i="11" s="1"/>
  <c r="K196" i="11"/>
  <c r="L196" i="11" s="1"/>
  <c r="G196" i="11"/>
  <c r="H196" i="11" s="1"/>
  <c r="H197" i="11" s="1"/>
  <c r="Z43" i="3" s="1"/>
  <c r="C196" i="11"/>
  <c r="D196" i="11" s="1"/>
  <c r="I190" i="11"/>
  <c r="J190" i="11" s="1"/>
  <c r="J191" i="11" s="1"/>
  <c r="E190" i="11"/>
  <c r="F190" i="11" s="1"/>
  <c r="F191" i="11" s="1"/>
  <c r="I193" i="11"/>
  <c r="J193" i="11" s="1"/>
  <c r="J194" i="11" s="1"/>
  <c r="E193" i="11"/>
  <c r="F193" i="11" s="1"/>
  <c r="K184" i="11"/>
  <c r="L184" i="11" s="1"/>
  <c r="C190" i="11"/>
  <c r="D190" i="11" s="1"/>
  <c r="D191" i="11" s="1"/>
  <c r="I184" i="11"/>
  <c r="J184" i="11" s="1"/>
  <c r="J185" i="11" s="1"/>
  <c r="E184" i="11"/>
  <c r="F184" i="11" s="1"/>
  <c r="K178" i="11"/>
  <c r="L178" i="11" s="1"/>
  <c r="G178" i="11"/>
  <c r="H178" i="11" s="1"/>
  <c r="C178" i="11"/>
  <c r="D178" i="11" s="1"/>
  <c r="D179" i="11" s="1"/>
  <c r="I166" i="11"/>
  <c r="J166" i="11" s="1"/>
  <c r="E166" i="11"/>
  <c r="F166" i="11" s="1"/>
  <c r="K154" i="11"/>
  <c r="L154" i="11" s="1"/>
  <c r="G154" i="11"/>
  <c r="H154" i="11" s="1"/>
  <c r="C154" i="11"/>
  <c r="D154" i="11" s="1"/>
  <c r="I196" i="11"/>
  <c r="J196" i="11" s="1"/>
  <c r="G190" i="11"/>
  <c r="H190" i="11" s="1"/>
  <c r="H191" i="11" s="1"/>
  <c r="V43" i="3" s="1"/>
  <c r="G184" i="11"/>
  <c r="H184" i="11" s="1"/>
  <c r="C184" i="11"/>
  <c r="D184" i="11" s="1"/>
  <c r="I178" i="11"/>
  <c r="J178" i="11" s="1"/>
  <c r="E178" i="11"/>
  <c r="F178" i="11" s="1"/>
  <c r="F179" i="11" s="1"/>
  <c r="K166" i="11"/>
  <c r="L166" i="11" s="1"/>
  <c r="L167" i="11" s="1"/>
  <c r="G166" i="11"/>
  <c r="H166" i="11" s="1"/>
  <c r="C166" i="11"/>
  <c r="D166" i="11" s="1"/>
  <c r="I154" i="11"/>
  <c r="J154" i="11" s="1"/>
  <c r="E154" i="11"/>
  <c r="F154" i="11" s="1"/>
  <c r="K190" i="11"/>
  <c r="L190" i="11" s="1"/>
  <c r="L191" i="11" s="1"/>
  <c r="G181" i="11"/>
  <c r="H181" i="11" s="1"/>
  <c r="G172" i="11"/>
  <c r="H172" i="11" s="1"/>
  <c r="G160" i="11"/>
  <c r="H160" i="11" s="1"/>
  <c r="G148" i="11"/>
  <c r="H148" i="11" s="1"/>
  <c r="E196" i="11"/>
  <c r="F196" i="11" s="1"/>
  <c r="E181" i="11"/>
  <c r="F181" i="11" s="1"/>
  <c r="E172" i="11"/>
  <c r="F172" i="11" s="1"/>
  <c r="E160" i="11"/>
  <c r="F160" i="11" s="1"/>
  <c r="E148" i="11"/>
  <c r="F148" i="11" s="1"/>
  <c r="K181" i="11"/>
  <c r="L181" i="11" s="1"/>
  <c r="C181" i="11"/>
  <c r="D181" i="11" s="1"/>
  <c r="K172" i="11"/>
  <c r="L172" i="11" s="1"/>
  <c r="C172" i="11"/>
  <c r="D172" i="11" s="1"/>
  <c r="K160" i="11"/>
  <c r="L160" i="11" s="1"/>
  <c r="C160" i="11"/>
  <c r="D160" i="11" s="1"/>
  <c r="D161" i="11" s="1"/>
  <c r="K148" i="11"/>
  <c r="L148" i="11" s="1"/>
  <c r="C148" i="11"/>
  <c r="D148" i="11" s="1"/>
  <c r="I160" i="11"/>
  <c r="J160" i="11" s="1"/>
  <c r="J161" i="11" s="1"/>
  <c r="I148" i="11"/>
  <c r="J148" i="11" s="1"/>
  <c r="J149" i="11" s="1"/>
  <c r="I181" i="11"/>
  <c r="J181" i="11" s="1"/>
  <c r="I172" i="11"/>
  <c r="J172" i="11" s="1"/>
  <c r="C102" i="11"/>
  <c r="C107" i="9"/>
  <c r="C104" i="9"/>
  <c r="H174" i="8"/>
  <c r="H201" i="8"/>
  <c r="E102" i="8"/>
  <c r="E112" i="8"/>
  <c r="E103" i="8"/>
  <c r="E97" i="8"/>
  <c r="E141" i="8"/>
  <c r="E139" i="8"/>
  <c r="E111" i="12"/>
  <c r="E126" i="12" s="1"/>
  <c r="E131" i="12" s="1"/>
  <c r="F114" i="11"/>
  <c r="F131" i="11" s="1"/>
  <c r="F136" i="11" s="1"/>
  <c r="F115" i="11"/>
  <c r="F132" i="11" s="1"/>
  <c r="F137" i="11" s="1"/>
  <c r="C97" i="9"/>
  <c r="C113" i="9" s="1"/>
  <c r="C129" i="9" s="1"/>
  <c r="C135" i="9" s="1"/>
  <c r="F168" i="8"/>
  <c r="F192" i="8"/>
  <c r="F162" i="8"/>
  <c r="L182" i="5"/>
  <c r="L179" i="5"/>
  <c r="D162" i="8"/>
  <c r="N174" i="8"/>
  <c r="N201" i="8"/>
  <c r="D179" i="5"/>
  <c r="F185" i="11"/>
  <c r="F197" i="11"/>
  <c r="J197" i="11"/>
  <c r="N180" i="8"/>
  <c r="F179" i="5"/>
  <c r="P9" i="3" s="1"/>
  <c r="H185" i="11"/>
  <c r="T43" i="3" s="1"/>
  <c r="H149" i="11"/>
  <c r="F43" i="3" s="1"/>
  <c r="J194" i="5"/>
  <c r="L179" i="11"/>
  <c r="L182" i="11"/>
  <c r="V35" i="3"/>
  <c r="V24" i="3"/>
  <c r="V25" i="3"/>
  <c r="V26" i="3"/>
  <c r="H185" i="5"/>
  <c r="D167" i="11"/>
  <c r="F108" i="8"/>
  <c r="F111" i="8"/>
  <c r="J179" i="11"/>
  <c r="V31" i="3"/>
  <c r="V23" i="3"/>
  <c r="V28" i="3"/>
  <c r="V37" i="3"/>
  <c r="V33" i="3"/>
  <c r="V21" i="3"/>
  <c r="V20" i="3"/>
  <c r="V22" i="3"/>
  <c r="E105" i="12"/>
  <c r="D185" i="11"/>
  <c r="D182" i="11"/>
  <c r="E95" i="12"/>
  <c r="F113" i="8"/>
  <c r="F109" i="8"/>
  <c r="F97" i="8"/>
  <c r="C100" i="9"/>
  <c r="E98" i="12"/>
  <c r="E96" i="12"/>
  <c r="D156" i="8"/>
  <c r="D189" i="8"/>
  <c r="AD45" i="3"/>
  <c r="C97" i="11"/>
  <c r="C112" i="11" s="1"/>
  <c r="C129" i="11" s="1"/>
  <c r="C134" i="11" s="1"/>
  <c r="C109" i="9"/>
  <c r="C117" i="9" s="1"/>
  <c r="C133" i="9" s="1"/>
  <c r="C139" i="9" s="1"/>
  <c r="C145" i="9" s="1"/>
  <c r="H186" i="8"/>
  <c r="H204" i="8"/>
  <c r="E101" i="8"/>
  <c r="E109" i="8"/>
  <c r="E104" i="8"/>
  <c r="E107" i="8"/>
  <c r="E99" i="8"/>
  <c r="J162" i="8"/>
  <c r="H27" i="3" s="1"/>
  <c r="AA27" i="3" s="1"/>
  <c r="C115" i="9"/>
  <c r="C131" i="9" s="1"/>
  <c r="C137" i="9" s="1"/>
  <c r="C112" i="9"/>
  <c r="C128" i="9" s="1"/>
  <c r="C134" i="9" s="1"/>
  <c r="F174" i="8"/>
  <c r="F201" i="8"/>
  <c r="F180" i="8"/>
  <c r="L197" i="5"/>
  <c r="L194" i="5"/>
  <c r="D180" i="8"/>
  <c r="N186" i="8"/>
  <c r="N204" i="8"/>
  <c r="D197" i="5"/>
  <c r="D194" i="5"/>
  <c r="F161" i="11"/>
  <c r="F194" i="11"/>
  <c r="AC34" i="3"/>
  <c r="AC30" i="3"/>
  <c r="AC36" i="3"/>
  <c r="AC32" i="3"/>
  <c r="AC29" i="3"/>
  <c r="F161" i="5"/>
  <c r="J9" i="3" s="1"/>
  <c r="F194" i="5"/>
  <c r="X9" i="3" s="1"/>
  <c r="H167" i="11"/>
  <c r="L43" i="3" s="1"/>
  <c r="H161" i="11"/>
  <c r="J43" i="3" s="1"/>
  <c r="L162" i="8"/>
  <c r="J182" i="5"/>
  <c r="J167" i="5"/>
  <c r="L185" i="11"/>
  <c r="H197" i="5"/>
  <c r="D194" i="11"/>
  <c r="X37" i="3"/>
  <c r="X33" i="3"/>
  <c r="X21" i="3"/>
  <c r="X20" i="3"/>
  <c r="X22" i="3"/>
  <c r="X31" i="3"/>
  <c r="X23" i="3"/>
  <c r="X28" i="3"/>
  <c r="J36" i="3"/>
  <c r="J32" i="3"/>
  <c r="J29" i="3"/>
  <c r="J34" i="3"/>
  <c r="J30" i="3"/>
  <c r="AB19" i="3"/>
  <c r="AD18" i="3"/>
  <c r="AD17" i="3"/>
  <c r="AD16" i="3"/>
  <c r="AD8" i="3"/>
  <c r="AD10" i="3"/>
  <c r="AD11" i="3"/>
  <c r="AD7" i="3"/>
  <c r="AD6" i="3"/>
  <c r="AD12" i="3"/>
  <c r="F35" i="3"/>
  <c r="F24" i="3"/>
  <c r="F25" i="3"/>
  <c r="F26" i="3"/>
  <c r="F197" i="5"/>
  <c r="Z9" i="3" s="1"/>
  <c r="V36" i="3"/>
  <c r="V32" i="3"/>
  <c r="V29" i="3"/>
  <c r="V34" i="3"/>
  <c r="V30" i="3"/>
  <c r="E108" i="12"/>
  <c r="H182" i="5"/>
  <c r="H167" i="5"/>
  <c r="C105" i="9"/>
  <c r="D149" i="11"/>
  <c r="D197" i="11"/>
  <c r="E106" i="12"/>
  <c r="E113" i="12" s="1"/>
  <c r="E128" i="12" s="1"/>
  <c r="E133" i="12" s="1"/>
  <c r="F103" i="8"/>
  <c r="F106" i="8"/>
  <c r="F102" i="8"/>
  <c r="F112" i="8"/>
  <c r="F99" i="8"/>
  <c r="C99" i="9"/>
  <c r="E101" i="12"/>
  <c r="D168" i="8"/>
  <c r="D192" i="8"/>
  <c r="C100" i="11"/>
  <c r="C113" i="11" s="1"/>
  <c r="C130" i="11" s="1"/>
  <c r="C135" i="11" s="1"/>
  <c r="C94" i="9"/>
  <c r="H156" i="8"/>
  <c r="H189" i="8"/>
  <c r="E110" i="8"/>
  <c r="E98" i="8"/>
  <c r="E100" i="8"/>
  <c r="E120" i="8"/>
  <c r="E138" i="8" s="1"/>
  <c r="E144" i="8" s="1"/>
  <c r="E119" i="8"/>
  <c r="E137" i="8" s="1"/>
  <c r="E143" i="8" s="1"/>
  <c r="E118" i="8"/>
  <c r="E136" i="8" s="1"/>
  <c r="E142" i="8" s="1"/>
  <c r="E117" i="8"/>
  <c r="E135" i="8" s="1"/>
  <c r="E116" i="8"/>
  <c r="E134" i="8" s="1"/>
  <c r="E140" i="8" s="1"/>
  <c r="E115" i="8"/>
  <c r="E133" i="8" s="1"/>
  <c r="AC19" i="3"/>
  <c r="J180" i="8"/>
  <c r="N27" i="3" s="1"/>
  <c r="E109" i="12"/>
  <c r="E124" i="12" s="1"/>
  <c r="E129" i="12" s="1"/>
  <c r="F112" i="11"/>
  <c r="F129" i="11" s="1"/>
  <c r="F134" i="11" s="1"/>
  <c r="C109" i="11"/>
  <c r="C116" i="11" s="1"/>
  <c r="C133" i="11" s="1"/>
  <c r="C138" i="11" s="1"/>
  <c r="C114" i="9"/>
  <c r="C130" i="9" s="1"/>
  <c r="C136" i="9" s="1"/>
  <c r="C116" i="9"/>
  <c r="C132" i="9" s="1"/>
  <c r="C138" i="9" s="1"/>
  <c r="C144" i="9" s="1"/>
  <c r="F186" i="8"/>
  <c r="F204" i="8"/>
  <c r="L149" i="5"/>
  <c r="L167" i="5"/>
  <c r="N156" i="8"/>
  <c r="N189" i="8"/>
  <c r="D167" i="5"/>
  <c r="F167" i="11"/>
  <c r="F182" i="11"/>
  <c r="J167" i="11"/>
  <c r="J182" i="11"/>
  <c r="H162" i="8"/>
  <c r="H179" i="11"/>
  <c r="P43" i="3" s="1"/>
  <c r="H182" i="11"/>
  <c r="R43" i="3" s="1"/>
  <c r="L180" i="8"/>
  <c r="J197" i="5"/>
  <c r="J185" i="5"/>
  <c r="L149" i="11"/>
  <c r="L197" i="11"/>
  <c r="E171" i="11" l="1"/>
  <c r="F171" i="11" s="1"/>
  <c r="F173" i="11" s="1"/>
  <c r="E153" i="11"/>
  <c r="F153" i="11" s="1"/>
  <c r="F155" i="11" s="1"/>
  <c r="C140" i="11"/>
  <c r="P44" i="3"/>
  <c r="P40" i="3"/>
  <c r="P39" i="3"/>
  <c r="P41" i="3"/>
  <c r="P42" i="3"/>
  <c r="T15" i="3"/>
  <c r="T13" i="3"/>
  <c r="T14" i="3"/>
  <c r="X18" i="3"/>
  <c r="X11" i="3"/>
  <c r="X7" i="3"/>
  <c r="X6" i="3"/>
  <c r="X16" i="3"/>
  <c r="X12" i="3"/>
  <c r="X8" i="3"/>
  <c r="X10" i="3"/>
  <c r="X17" i="3"/>
  <c r="J18" i="3"/>
  <c r="J17" i="3"/>
  <c r="J12" i="3"/>
  <c r="J8" i="3"/>
  <c r="J10" i="3"/>
  <c r="J11" i="3"/>
  <c r="J7" i="3"/>
  <c r="J6" i="3"/>
  <c r="J16" i="3"/>
  <c r="R13" i="3"/>
  <c r="R14" i="3"/>
  <c r="R15" i="3"/>
  <c r="F13" i="3"/>
  <c r="F14" i="3"/>
  <c r="F15" i="3"/>
  <c r="C143" i="11"/>
  <c r="K171" i="11"/>
  <c r="L171" i="11" s="1"/>
  <c r="L173" i="11" s="1"/>
  <c r="K153" i="11"/>
  <c r="L153" i="11" s="1"/>
  <c r="L155" i="11" s="1"/>
  <c r="L15" i="3"/>
  <c r="L13" i="3"/>
  <c r="L14" i="3"/>
  <c r="R36" i="3"/>
  <c r="R32" i="3"/>
  <c r="R29" i="3"/>
  <c r="R34" i="3"/>
  <c r="R30" i="3"/>
  <c r="T37" i="3"/>
  <c r="T33" i="3"/>
  <c r="T21" i="3"/>
  <c r="T20" i="3"/>
  <c r="T22" i="3"/>
  <c r="T31" i="3"/>
  <c r="T23" i="3"/>
  <c r="T28" i="3"/>
  <c r="L18" i="3"/>
  <c r="L11" i="3"/>
  <c r="L7" i="3"/>
  <c r="L6" i="3"/>
  <c r="L16" i="3"/>
  <c r="L12" i="3"/>
  <c r="L8" i="3"/>
  <c r="L17" i="3"/>
  <c r="L10" i="3"/>
  <c r="H37" i="3"/>
  <c r="H33" i="3"/>
  <c r="H21" i="3"/>
  <c r="H20" i="3"/>
  <c r="H22" i="3"/>
  <c r="H31" i="3"/>
  <c r="H23" i="3"/>
  <c r="H28" i="3"/>
  <c r="H18" i="3"/>
  <c r="H11" i="3"/>
  <c r="H7" i="3"/>
  <c r="H6" i="3"/>
  <c r="H10" i="3"/>
  <c r="H16" i="3"/>
  <c r="H12" i="3"/>
  <c r="H8" i="3"/>
  <c r="H17" i="3"/>
  <c r="J13" i="3"/>
  <c r="J14" i="3"/>
  <c r="J15" i="3"/>
  <c r="C142" i="9"/>
  <c r="AB29" i="3"/>
  <c r="AB34" i="3"/>
  <c r="AB30" i="3"/>
  <c r="AB36" i="3"/>
  <c r="AB32" i="3"/>
  <c r="F36" i="3"/>
  <c r="F32" i="3"/>
  <c r="F29" i="3"/>
  <c r="F34" i="3"/>
  <c r="F30" i="3"/>
  <c r="J31" i="3"/>
  <c r="J23" i="3"/>
  <c r="J28" i="3"/>
  <c r="J37" i="3"/>
  <c r="J33" i="3"/>
  <c r="J21" i="3"/>
  <c r="J20" i="3"/>
  <c r="J22" i="3"/>
  <c r="R18" i="3"/>
  <c r="R17" i="3"/>
  <c r="R8" i="3"/>
  <c r="R10" i="3"/>
  <c r="R12" i="3"/>
  <c r="R11" i="3"/>
  <c r="R7" i="3"/>
  <c r="R6" i="3"/>
  <c r="R16" i="3"/>
  <c r="X15" i="3"/>
  <c r="X14" i="3"/>
  <c r="X13" i="3"/>
  <c r="N31" i="3"/>
  <c r="N23" i="3"/>
  <c r="N28" i="3"/>
  <c r="N37" i="3"/>
  <c r="N33" i="3"/>
  <c r="N21" i="3"/>
  <c r="N20" i="3"/>
  <c r="N22" i="3"/>
  <c r="X25" i="3"/>
  <c r="X26" i="3"/>
  <c r="X35" i="3"/>
  <c r="X24" i="3"/>
  <c r="P29" i="3"/>
  <c r="P34" i="3"/>
  <c r="P30" i="3"/>
  <c r="P36" i="3"/>
  <c r="P32" i="3"/>
  <c r="R31" i="3"/>
  <c r="R23" i="3"/>
  <c r="R28" i="3"/>
  <c r="R37" i="3"/>
  <c r="R33" i="3"/>
  <c r="R21" i="3"/>
  <c r="R20" i="3"/>
  <c r="R22" i="3"/>
  <c r="J35" i="3"/>
  <c r="J24" i="3"/>
  <c r="J25" i="3"/>
  <c r="J26" i="3"/>
  <c r="AA26" i="3" s="1"/>
  <c r="X29" i="3"/>
  <c r="X34" i="3"/>
  <c r="X30" i="3"/>
  <c r="X36" i="3"/>
  <c r="X32" i="3"/>
  <c r="V42" i="3"/>
  <c r="V44" i="3"/>
  <c r="V40" i="3"/>
  <c r="V39" i="3"/>
  <c r="V41" i="3"/>
  <c r="F100" i="8"/>
  <c r="H15" i="3"/>
  <c r="H14" i="3"/>
  <c r="H13" i="3"/>
  <c r="N13" i="3"/>
  <c r="N14" i="3"/>
  <c r="N15" i="3"/>
  <c r="F42" i="3"/>
  <c r="F44" i="3"/>
  <c r="F40" i="3"/>
  <c r="F39" i="3"/>
  <c r="F41" i="3"/>
  <c r="T29" i="3"/>
  <c r="T34" i="3"/>
  <c r="T30" i="3"/>
  <c r="T32" i="3"/>
  <c r="T36" i="3"/>
  <c r="F98" i="8"/>
  <c r="F118" i="8"/>
  <c r="F136" i="8" s="1"/>
  <c r="F142" i="8" s="1"/>
  <c r="J42" i="3"/>
  <c r="J44" i="3"/>
  <c r="J40" i="3"/>
  <c r="J39" i="3"/>
  <c r="J41" i="3"/>
  <c r="N35" i="3"/>
  <c r="N24" i="3"/>
  <c r="N25" i="3"/>
  <c r="N26" i="3"/>
  <c r="Z36" i="3"/>
  <c r="Z32" i="3"/>
  <c r="Z29" i="3"/>
  <c r="Z20" i="3"/>
  <c r="Z34" i="3"/>
  <c r="Z30" i="3"/>
  <c r="P15" i="3"/>
  <c r="P14" i="3"/>
  <c r="P13" i="3"/>
  <c r="T25" i="3"/>
  <c r="T26" i="3"/>
  <c r="T35" i="3"/>
  <c r="T24" i="3"/>
  <c r="H155" i="11"/>
  <c r="H43" i="3" s="1"/>
  <c r="R42" i="3"/>
  <c r="R44" i="3"/>
  <c r="R40" i="3"/>
  <c r="R39" i="3"/>
  <c r="R41" i="3"/>
  <c r="Z35" i="3"/>
  <c r="Z24" i="3"/>
  <c r="Z25" i="3"/>
  <c r="Z26" i="3"/>
  <c r="Z18" i="3"/>
  <c r="Z17" i="3"/>
  <c r="Z10" i="3"/>
  <c r="Z11" i="3"/>
  <c r="Z7" i="3"/>
  <c r="Z6" i="3"/>
  <c r="Z16" i="3"/>
  <c r="Z12" i="3"/>
  <c r="Z8" i="3"/>
  <c r="Z13" i="3"/>
  <c r="Z14" i="3"/>
  <c r="Z15" i="3"/>
  <c r="L25" i="3"/>
  <c r="L26" i="3"/>
  <c r="L35" i="3"/>
  <c r="L24" i="3"/>
  <c r="F31" i="3"/>
  <c r="AA31" i="3" s="1"/>
  <c r="F23" i="3"/>
  <c r="F28" i="3"/>
  <c r="AA28" i="3" s="1"/>
  <c r="F37" i="3"/>
  <c r="F33" i="3"/>
  <c r="AA33" i="3" s="1"/>
  <c r="F21" i="3"/>
  <c r="F20" i="3"/>
  <c r="AA20" i="3" s="1"/>
  <c r="F22" i="3"/>
  <c r="F105" i="8"/>
  <c r="F101" i="8"/>
  <c r="F114" i="8"/>
  <c r="T18" i="3"/>
  <c r="T11" i="3"/>
  <c r="T7" i="3"/>
  <c r="T6" i="3"/>
  <c r="T16" i="3"/>
  <c r="T12" i="3"/>
  <c r="T8" i="3"/>
  <c r="T17" i="3"/>
  <c r="T10" i="3"/>
  <c r="Z42" i="3"/>
  <c r="Z44" i="3"/>
  <c r="Z40" i="3"/>
  <c r="Z39" i="3"/>
  <c r="Z41" i="3"/>
  <c r="L29" i="3"/>
  <c r="L34" i="3"/>
  <c r="L30" i="3"/>
  <c r="L36" i="3"/>
  <c r="L32" i="3"/>
  <c r="P37" i="3"/>
  <c r="P33" i="3"/>
  <c r="P21" i="3"/>
  <c r="P20" i="3"/>
  <c r="P22" i="3"/>
  <c r="P31" i="3"/>
  <c r="P23" i="3"/>
  <c r="P28" i="3"/>
  <c r="F110" i="8"/>
  <c r="I171" i="11"/>
  <c r="J171" i="11" s="1"/>
  <c r="J173" i="11" s="1"/>
  <c r="C142" i="11"/>
  <c r="I153" i="11"/>
  <c r="J153" i="11" s="1"/>
  <c r="J155" i="11" s="1"/>
  <c r="N18" i="3"/>
  <c r="N17" i="3"/>
  <c r="N16" i="3"/>
  <c r="N10" i="3"/>
  <c r="N11" i="3"/>
  <c r="N7" i="3"/>
  <c r="N6" i="3"/>
  <c r="N12" i="3"/>
  <c r="N8" i="3"/>
  <c r="V13" i="3"/>
  <c r="V14" i="3"/>
  <c r="V15" i="3"/>
  <c r="AC38" i="3"/>
  <c r="F115" i="8"/>
  <c r="F133" i="8" s="1"/>
  <c r="F139" i="8" s="1"/>
  <c r="F119" i="8"/>
  <c r="F137" i="8" s="1"/>
  <c r="F143" i="8" s="1"/>
  <c r="H173" i="11"/>
  <c r="N43" i="3" s="1"/>
  <c r="C143" i="9"/>
  <c r="AD27" i="3" s="1"/>
  <c r="AB27" i="3"/>
  <c r="F18" i="3"/>
  <c r="F17" i="3"/>
  <c r="F16" i="3"/>
  <c r="F8" i="3"/>
  <c r="AA8" i="3" s="1"/>
  <c r="F10" i="3"/>
  <c r="F11" i="3"/>
  <c r="F7" i="3"/>
  <c r="F6" i="3"/>
  <c r="AA6" i="3" s="1"/>
  <c r="F12" i="3"/>
  <c r="H29" i="3"/>
  <c r="H34" i="3"/>
  <c r="H30" i="3"/>
  <c r="H36" i="3"/>
  <c r="H32" i="3"/>
  <c r="L44" i="3"/>
  <c r="L40" i="3"/>
  <c r="L39" i="3"/>
  <c r="L41" i="3"/>
  <c r="L42" i="3"/>
  <c r="P25" i="3"/>
  <c r="P26" i="3"/>
  <c r="P35" i="3"/>
  <c r="P24" i="3"/>
  <c r="AA24" i="3"/>
  <c r="AD19" i="3"/>
  <c r="X44" i="3"/>
  <c r="X40" i="3"/>
  <c r="X39" i="3"/>
  <c r="X41" i="3"/>
  <c r="X42" i="3"/>
  <c r="C140" i="9"/>
  <c r="AB37" i="3"/>
  <c r="AB33" i="3"/>
  <c r="AB21" i="3"/>
  <c r="AB20" i="3"/>
  <c r="AB22" i="3"/>
  <c r="AB31" i="3"/>
  <c r="AB23" i="3"/>
  <c r="AB28" i="3"/>
  <c r="C139" i="11"/>
  <c r="C171" i="11"/>
  <c r="D171" i="11" s="1"/>
  <c r="D173" i="11" s="1"/>
  <c r="C153" i="11"/>
  <c r="D153" i="11" s="1"/>
  <c r="D155" i="11" s="1"/>
  <c r="AA43" i="3"/>
  <c r="T44" i="3"/>
  <c r="T40" i="3"/>
  <c r="T39" i="3"/>
  <c r="T41" i="3"/>
  <c r="T42" i="3"/>
  <c r="H25" i="3"/>
  <c r="AA25" i="3" s="1"/>
  <c r="H26" i="3"/>
  <c r="H35" i="3"/>
  <c r="AA35" i="3" s="1"/>
  <c r="H24" i="3"/>
  <c r="C141" i="9"/>
  <c r="AB25" i="3"/>
  <c r="AB26" i="3"/>
  <c r="AB35" i="3"/>
  <c r="AB24" i="3"/>
  <c r="F104" i="8"/>
  <c r="P18" i="3"/>
  <c r="P11" i="3"/>
  <c r="P7" i="3"/>
  <c r="P6" i="3"/>
  <c r="P10" i="3"/>
  <c r="P16" i="3"/>
  <c r="P12" i="3"/>
  <c r="P8" i="3"/>
  <c r="P17" i="3"/>
  <c r="V18" i="3"/>
  <c r="V17" i="3"/>
  <c r="V16" i="3"/>
  <c r="V12" i="3"/>
  <c r="V10" i="3"/>
  <c r="V8" i="3"/>
  <c r="V11" i="3"/>
  <c r="V7" i="3"/>
  <c r="V6" i="3"/>
  <c r="F116" i="8"/>
  <c r="F134" i="8" s="1"/>
  <c r="F140" i="8" s="1"/>
  <c r="AA29" i="3" l="1"/>
  <c r="AD36" i="3"/>
  <c r="AD32" i="3"/>
  <c r="AD29" i="3"/>
  <c r="AD34" i="3"/>
  <c r="AD30" i="3"/>
  <c r="AA7" i="3"/>
  <c r="AA19" i="3" s="1"/>
  <c r="AA16" i="3"/>
  <c r="AA22" i="3"/>
  <c r="AA37" i="3"/>
  <c r="AA32" i="3"/>
  <c r="AA15" i="3"/>
  <c r="AC41" i="3"/>
  <c r="AC42" i="3"/>
  <c r="AC39" i="3"/>
  <c r="AC40" i="3"/>
  <c r="AC44" i="3"/>
  <c r="AD35" i="3"/>
  <c r="AD24" i="3"/>
  <c r="AD25" i="3"/>
  <c r="AD26" i="3"/>
  <c r="AA17" i="3"/>
  <c r="AA14" i="3"/>
  <c r="H44" i="3"/>
  <c r="AA44" i="3" s="1"/>
  <c r="H40" i="3"/>
  <c r="AA40" i="3" s="1"/>
  <c r="H39" i="3"/>
  <c r="H41" i="3"/>
  <c r="AA41" i="3" s="1"/>
  <c r="H42" i="3"/>
  <c r="AB38" i="3"/>
  <c r="AD31" i="3"/>
  <c r="AD23" i="3"/>
  <c r="AD28" i="3"/>
  <c r="AD37" i="3"/>
  <c r="AD33" i="3"/>
  <c r="AD21" i="3"/>
  <c r="AD20" i="3"/>
  <c r="AD38" i="3" s="1"/>
  <c r="AD22" i="3"/>
  <c r="AA11" i="3"/>
  <c r="AA30" i="3"/>
  <c r="AA36" i="3"/>
  <c r="AA12" i="3"/>
  <c r="AA10" i="3"/>
  <c r="AA18" i="3"/>
  <c r="AA21" i="3"/>
  <c r="AA38" i="3" s="1"/>
  <c r="AA23" i="3"/>
  <c r="AA34" i="3"/>
  <c r="AA13" i="3"/>
  <c r="N42" i="3"/>
  <c r="AA42" i="3" s="1"/>
  <c r="N44" i="3"/>
  <c r="N40" i="3"/>
  <c r="N39" i="3"/>
  <c r="AA39" i="3" s="1"/>
  <c r="N41" i="3"/>
  <c r="AA45" i="3" l="1"/>
  <c r="AE49" i="3"/>
  <c r="AE50" i="3" s="1"/>
  <c r="AC45" i="3"/>
</calcChain>
</file>

<file path=xl/sharedStrings.xml><?xml version="1.0" encoding="utf-8"?>
<sst xmlns="http://schemas.openxmlformats.org/spreadsheetml/2006/main" count="2928" uniqueCount="629">
  <si>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</si>
  <si>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</si>
  <si>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</si>
  <si>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</si>
  <si>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</si>
  <si>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</si>
  <si>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</si>
  <si>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</si>
  <si>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</si>
  <si>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CAN / NHB / POA</t>
  </si>
  <si>
    <t>RS005021/2021</t>
  </si>
  <si>
    <t>5143-20</t>
  </si>
  <si>
    <t>Carga horária semanal</t>
  </si>
  <si>
    <t>Salário Base (Cl. 3ª)</t>
  </si>
  <si>
    <t>Encarregado acima de 20 empregados (Caderno Técnico)</t>
  </si>
  <si>
    <t>Limpador Alpinista (vidros e fachadas de risco) (Cl. 4ª)</t>
  </si>
  <si>
    <t>Valor da diária do carregador</t>
  </si>
  <si>
    <t>Valor baseado em Pesquisa de Preços anexa ao Processo</t>
  </si>
  <si>
    <t>módulo 2</t>
  </si>
  <si>
    <t>Módulo 2.3</t>
  </si>
  <si>
    <t>Valor CCT</t>
  </si>
  <si>
    <t>custo empregado</t>
  </si>
  <si>
    <t>custo da empresa</t>
  </si>
  <si>
    <t>Auxílio alimentação 44h  ( Cl.18ª)</t>
  </si>
  <si>
    <t>Auxílio alimentação 30h/20h  ( Cl.18ª)</t>
  </si>
  <si>
    <t>Auxílio transporte  ( Cl.20ª)</t>
  </si>
  <si>
    <t>Prêmio Assiduidade  ( Cl.)</t>
  </si>
  <si>
    <t>Assistência ao Trabalhador  ( Cl.)</t>
  </si>
  <si>
    <t>Ajuda de Custo  limpeza de vidros e fachadas de risco</t>
  </si>
  <si>
    <t>Benefício assistência médica</t>
  </si>
  <si>
    <t>Benefício social familiar  ( Cl.29ª)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</si>
  <si>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</si>
  <si>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</si>
  <si>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</si>
  <si>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</si>
  <si>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</si>
  <si>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</si>
  <si>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</si>
  <si>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</si>
  <si>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</si>
  <si>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</si>
  <si>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</si>
  <si>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</si>
  <si>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</si>
  <si>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</si>
  <si>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</si>
  <si>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</si>
  <si>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</si>
  <si>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</si>
  <si>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</si>
  <si>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– Rio Grande do Sul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</si>
  <si>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</si>
  <si>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</si>
  <si>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</si>
  <si>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</si>
  <si>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</si>
  <si>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</si>
  <si>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</si>
  <si>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</si>
  <si>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</si>
  <si>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>*Expectativa anual de nascimento de filhos dos trabalhadores (IBGE – Manual de Preenchimento da Planilha de Custos):</t>
  </si>
  <si>
    <t>**Percentual de Homens: Limpeza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</si>
  <si>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</si>
  <si>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</si>
  <si>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</si>
  <si>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</si>
  <si>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</si>
  <si>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</si>
  <si>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>*Percentual de Mulheres Limpeza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</si>
  <si>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</si>
  <si>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</si>
  <si>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</si>
  <si>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</si>
  <si>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</si>
  <si>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Canoas</t>
  </si>
  <si>
    <t>ISS</t>
  </si>
  <si>
    <t>VT</t>
  </si>
  <si>
    <t>Serventes</t>
  </si>
  <si>
    <t>VT*Servente</t>
  </si>
  <si>
    <t>Unidade Orgânica GEX Novo Hamburgo</t>
  </si>
  <si>
    <t>GEX CANOAS</t>
  </si>
  <si>
    <t>GEX NOVO HAMBURGO</t>
  </si>
  <si>
    <t>CEDOCPREV Canoas</t>
  </si>
  <si>
    <t>Almoxarifado</t>
  </si>
  <si>
    <t>Depósito Gerência em Esteio</t>
  </si>
  <si>
    <t>APS CAMPO BOM</t>
  </si>
  <si>
    <t>APS CACHOEIRINHA</t>
  </si>
  <si>
    <t>APS DOIS IRMÃOS</t>
  </si>
  <si>
    <t>APS CANOAS</t>
  </si>
  <si>
    <t>APS ENCANTADO</t>
  </si>
  <si>
    <t>APS ESTEIO</t>
  </si>
  <si>
    <t>APS ESTRELA</t>
  </si>
  <si>
    <t>APS GRAVATAÍ</t>
  </si>
  <si>
    <t>APS LAJEADO/RS</t>
  </si>
  <si>
    <t>APS GUAÍBA</t>
  </si>
  <si>
    <t>APS MONTENEGRO</t>
  </si>
  <si>
    <t>APS OSÓRIO</t>
  </si>
  <si>
    <t>APS NOVO HAMBURGO</t>
  </si>
  <si>
    <t>APS SÃO JERÔNIMO</t>
  </si>
  <si>
    <t>APS SÃO LEOPOLDO</t>
  </si>
  <si>
    <t>APS TORRES</t>
  </si>
  <si>
    <t>APS SÃO SEBASTIÃO DO CAÍ</t>
  </si>
  <si>
    <t>APS BUTIÁ</t>
  </si>
  <si>
    <t>APS SAPIRANGA</t>
  </si>
  <si>
    <t>APS SANTO ANTÔNIO DA PATRULHA</t>
  </si>
  <si>
    <t>APS TAQUARA</t>
  </si>
  <si>
    <t>Média Simples VT</t>
  </si>
  <si>
    <t>APS TAQUARI</t>
  </si>
  <si>
    <t>Média Ponderada VT</t>
  </si>
  <si>
    <t>APS TEUTÔNIA</t>
  </si>
  <si>
    <t>APS PORTÃO</t>
  </si>
  <si>
    <t>APS IGREJINHA</t>
  </si>
  <si>
    <t>-</t>
  </si>
  <si>
    <t>Unidade Orgânica GEX Porto Alegre</t>
  </si>
  <si>
    <t>APS TRÊS COROAS</t>
  </si>
  <si>
    <t>GERÊNCIA EXECUTIVA PORTO ALEGRE</t>
  </si>
  <si>
    <t>Ed. Brasiliano - APS CENTRO</t>
  </si>
  <si>
    <t>APS PORTO ALEGRE - PARTENON – Perícias</t>
  </si>
  <si>
    <t>APS PORTO ALEGRE - SUL</t>
  </si>
  <si>
    <t>APS ALVORADA/RS</t>
  </si>
  <si>
    <t>CEDOC PREV PORTO ALEGRE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</si>
  <si>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</si>
  <si>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</si>
  <si>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</si>
  <si>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</si>
  <si>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</si>
  <si>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</si>
  <si>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</si>
  <si>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</si>
  <si>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</si>
  <si>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</si>
  <si>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</si>
  <si>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</si>
  <si>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</si>
  <si>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</si>
  <si>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</si>
  <si>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</si>
  <si>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</si>
  <si>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</si>
  <si>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</si>
  <si>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</si>
  <si>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</si>
  <si>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</si>
  <si>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</si>
  <si>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</si>
  <si>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</si>
  <si>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</si>
  <si>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</si>
  <si>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</si>
  <si>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</si>
  <si>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</si>
  <si>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</si>
  <si>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</si>
  <si>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</si>
  <si>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</si>
  <si>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</si>
  <si>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</si>
  <si>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</si>
  <si>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</si>
  <si>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</si>
  <si>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</si>
  <si>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</si>
  <si>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</si>
  <si>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</si>
  <si>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</si>
  <si>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</si>
  <si>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</si>
  <si>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</si>
  <si>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</si>
  <si>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</si>
  <si>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</si>
  <si>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</si>
  <si>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</si>
  <si>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</si>
  <si>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</si>
  <si>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</si>
  <si>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</si>
  <si>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</si>
  <si>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</si>
  <si>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</si>
  <si>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</si>
  <si>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</si>
  <si>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</si>
  <si>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</si>
  <si>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</si>
  <si>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</si>
  <si>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</si>
  <si>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</si>
  <si>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</si>
  <si>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</si>
  <si>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</si>
  <si>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</si>
  <si>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</si>
  <si>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</si>
  <si>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</si>
  <si>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</si>
  <si>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</si>
  <si>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</si>
  <si>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</si>
  <si>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</si>
  <si>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CUSTO MATERIAIS MENSAL POR SERVENTE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</si>
  <si>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</si>
  <si>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</si>
  <si>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</si>
  <si>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</si>
  <si>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</si>
  <si>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</si>
  <si>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</si>
  <si>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</si>
  <si>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</si>
  <si>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</si>
  <si>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</si>
  <si>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</si>
  <si>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</si>
  <si>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</si>
  <si>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</si>
  <si>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</si>
  <si>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</si>
  <si>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</si>
  <si>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</si>
  <si>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</si>
  <si>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</si>
  <si>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</si>
  <si>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</si>
  <si>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</si>
  <si>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</si>
  <si>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</si>
  <si>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</si>
  <si>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</si>
  <si>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</si>
  <si>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</si>
  <si>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</si>
  <si>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</si>
  <si>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</si>
  <si>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</si>
  <si>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</si>
  <si>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</si>
  <si>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</si>
  <si>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</si>
  <si>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</si>
  <si>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</si>
  <si>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</si>
  <si>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</si>
  <si>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</si>
  <si>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</si>
  <si>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</si>
  <si>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</si>
  <si>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</si>
  <si>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</si>
  <si>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</si>
  <si>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</t>
  </si>
  <si>
    <t>X. Diversos</t>
  </si>
  <si>
    <t>EQUIPAMENTOS</t>
  </si>
  <si>
    <t>QUANTIDADE DEFINIDA (1 por Unidade) GEXCAN</t>
  </si>
  <si>
    <t>QUANTIDADE DEFINIDA (1 por Unidade) GEXNHB</t>
  </si>
  <si>
    <r>
      <rPr>
        <b/>
        <sz val="9"/>
        <color rgb="FF333333"/>
        <rFont val="Arial"/>
        <family val="2"/>
        <charset val="1"/>
      </rPr>
      <t>QUANTIDADE DEFINIDA (1 por Unidade) GEXPOA</t>
    </r>
    <r>
      <rPr>
        <b/>
        <sz val="9"/>
        <color rgb="FFFF3333"/>
        <rFont val="Arial"/>
        <family val="2"/>
        <charset val="1"/>
      </rPr>
      <t>*</t>
    </r>
  </si>
  <si>
    <t>CUSTO MENSAL EQUIPAMENTOS (R$) - GEXCAN</t>
  </si>
  <si>
    <t>CUSTO MENSAL EQUIPAMENTOS (R$) - GEXNHB</t>
  </si>
  <si>
    <t>CUSTO MENSAL EQUIPAMENTOS (R$) - GEXPOA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</si>
  <si>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</si>
  <si>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</si>
  <si>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</si>
  <si>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</si>
  <si>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</si>
  <si>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</si>
  <si>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>Lavadora de alta pressão mínimo 1.500 LB</t>
  </si>
  <si>
    <t>Mangueira de jardim 20m, c/ esguicho/engate</t>
  </si>
  <si>
    <t>Placa sinalizadora (Piso Molhado - 2 por APS)</t>
  </si>
  <si>
    <t>Rastelo de Jardim (somente APS com áreas verdes)</t>
  </si>
  <si>
    <t>TOTAL GERAL (60 MESES)</t>
  </si>
  <si>
    <t>TOTAL ANUAL DE EQUIPAMENTOS  - Depreciação Anual conforme tabela da RFB - 10%</t>
  </si>
  <si>
    <t>VALOR POR SERVENTE</t>
  </si>
  <si>
    <t>* APS Partenon – 2 por Unidade (exceto lavadora e mangueira)</t>
  </si>
  <si>
    <t>** GEXPOA – 3 por Unidade (exceto lavadora e mangueira)</t>
  </si>
  <si>
    <t>*** Demais APS – 1 por Unidade</t>
  </si>
  <si>
    <t>UNIFORMES</t>
  </si>
  <si>
    <t>QUANTIDADE DEFINIDA (anual) – GEXCAN</t>
  </si>
  <si>
    <t>QUANTIDADE DEFINIDA (anual) – GEXNHB</t>
  </si>
  <si>
    <t>QUANTIDADE DEFINIDA (anual) – GEXPOA</t>
  </si>
  <si>
    <t>PREÇO MÉDIO – PAINEL DE PREÇOS</t>
  </si>
  <si>
    <t>PEÇO MÉDIO - INTERNET</t>
  </si>
  <si>
    <t>CUSTO MÉDIO</t>
  </si>
  <si>
    <t>CUSTO MENSAL UNIFORMES – GEXCAN</t>
  </si>
  <si>
    <t>CUSTO MENSAL UNIFORMES – GEXNHB</t>
  </si>
  <si>
    <t>CUSTO MENSAL UNIFORMES – GEXPOA</t>
  </si>
  <si>
    <t>SERVENTES</t>
  </si>
  <si>
    <t>Bata (avental)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</si>
  <si>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</si>
  <si>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</si>
  <si>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</si>
  <si>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</si>
  <si>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</si>
  <si>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</si>
  <si>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>Calça Social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</si>
  <si>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</si>
  <si>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</si>
  <si>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</si>
  <si>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</si>
  <si>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</si>
  <si>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</si>
  <si>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</si>
  <si>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</si>
  <si>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</si>
  <si>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</si>
  <si>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</si>
  <si>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</si>
  <si>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</si>
  <si>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</si>
  <si>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</si>
  <si>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</si>
  <si>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</si>
  <si>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</si>
  <si>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</si>
  <si>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</si>
  <si>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</si>
  <si>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</si>
  <si>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</si>
  <si>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</si>
  <si>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</si>
  <si>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</si>
  <si>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</si>
  <si>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</si>
  <si>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</si>
  <si>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</si>
  <si>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</si>
  <si>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</si>
  <si>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</si>
  <si>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</si>
  <si>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</si>
  <si>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</si>
  <si>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</si>
  <si>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</si>
  <si>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</si>
  <si>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</si>
  <si>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21</t>
  </si>
  <si>
    <t>ITEM 22</t>
  </si>
  <si>
    <t>ITEM 23</t>
  </si>
  <si>
    <t>ITEM 24</t>
  </si>
  <si>
    <t>ITEM 25</t>
  </si>
  <si>
    <t>Unidade Orgânica</t>
  </si>
  <si>
    <t>ISS %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</si>
  <si>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</si>
  <si>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AI-1b:</t>
    </r>
    <r>
      <rPr>
        <sz val="9"/>
        <color rgb="FF000000"/>
        <rFont val="Calibri"/>
        <family val="2"/>
        <charset val="1"/>
      </rPr>
      <t xml:space="preserve"> 
Pisos frios
(incluindo banheiros)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</si>
  <si>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</si>
  <si>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</si>
  <si>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</si>
  <si>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</si>
  <si>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</si>
  <si>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</si>
  <si>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</si>
  <si>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</si>
  <si>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</si>
  <si>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</si>
  <si>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</si>
  <si>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</si>
  <si>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</si>
  <si>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
Diárias carregadores</t>
  </si>
  <si>
    <t>Área</t>
  </si>
  <si>
    <t>Preço m²</t>
  </si>
  <si>
    <t>R$</t>
  </si>
  <si>
    <t>GERÊNCIA EXECUTIVA CANOAS</t>
  </si>
  <si>
    <t>Av. Inconfidência, 778</t>
  </si>
  <si>
    <t>CANOAS/RS</t>
  </si>
  <si>
    <t>Rua Paes Lemes, 300</t>
  </si>
  <si>
    <t>Rua Frederico Dahne, 68</t>
  </si>
  <si>
    <t>ESTEIO/RS</t>
  </si>
  <si>
    <t>Rua Doutor Campos Sales, 80</t>
  </si>
  <si>
    <t>CACHOEIRINHA/RS</t>
  </si>
  <si>
    <t>Rua General José Machado Lopes, 256</t>
  </si>
  <si>
    <t>Rua Coronel Sarmento, 1321</t>
  </si>
  <si>
    <t>GRAVATAÍ/RS</t>
  </si>
  <si>
    <t>Rua Sete de Setembro, 36</t>
  </si>
  <si>
    <t>GUAÍBA/RA</t>
  </si>
  <si>
    <t>Rua Firmiano Osório, 949</t>
  </si>
  <si>
    <t>OSÓRIO/RS</t>
  </si>
  <si>
    <t>Rua Rio Branco, 384</t>
  </si>
  <si>
    <t>SÃO JERÔNIMO/RS</t>
  </si>
  <si>
    <t>Av. do Riacho, 235</t>
  </si>
  <si>
    <t>TORRES/RS</t>
  </si>
  <si>
    <t>Av. Leandro de Almeida, 356</t>
  </si>
  <si>
    <t>BUTIÁ/RS</t>
  </si>
  <si>
    <t>Av. Major João Villa Verde, 115</t>
  </si>
  <si>
    <t>SANTO ANTÔNIO DA PATRULHA/RS</t>
  </si>
  <si>
    <t>Av. Pedro Adams Filho, 5757 - 14º andar</t>
  </si>
  <si>
    <t>NOVO HAMBURGO/RS</t>
  </si>
  <si>
    <t>Av. Bento Gonçalves, 1891</t>
  </si>
  <si>
    <t>Rua Rudolfo Dick,   141</t>
  </si>
  <si>
    <t>CAMPO BOM/RS</t>
  </si>
  <si>
    <t>Av. Sapiranga, 665</t>
  </si>
  <si>
    <t>DOIS IRMÃOS/RS</t>
  </si>
  <si>
    <t>Rua João Luca, 1687</t>
  </si>
  <si>
    <t>ENCANTADO/RS</t>
  </si>
  <si>
    <t>Av. Rio Branco, 553</t>
  </si>
  <si>
    <t>ESTRELA/RS</t>
  </si>
  <si>
    <t>Av. Benjamin Constant, 973</t>
  </si>
  <si>
    <t>LAJEADO/RS</t>
  </si>
  <si>
    <t>Olavo Bilac, 1284</t>
  </si>
  <si>
    <t>MONTENEGRO/RS</t>
  </si>
  <si>
    <t>Av. Pedro Adams Filho, 5757 Térreo</t>
  </si>
  <si>
    <t>Rua Conceição, 364</t>
  </si>
  <si>
    <t>SÃO LEOPOLDO/RS</t>
  </si>
  <si>
    <t>Rua Benjamim Constant, 182</t>
  </si>
  <si>
    <t>SÃO SEBASTIÃO DO CAÍ/RS</t>
  </si>
  <si>
    <t>Av. João Correa, 1622</t>
  </si>
  <si>
    <t>SAPIRANGA/RS</t>
  </si>
  <si>
    <t>Rua Guilherme Lahn, 1508</t>
  </si>
  <si>
    <t>TAQUARA/RS</t>
  </si>
  <si>
    <t>Av. Osvaldo Aranha, 2536</t>
  </si>
  <si>
    <t>TAQUARI/RS</t>
  </si>
  <si>
    <t>Av. 1 Norte, 315</t>
  </si>
  <si>
    <t>TEUTÔNIA/RS</t>
  </si>
  <si>
    <t>Rua Rondônia, 233</t>
  </si>
  <si>
    <t>PORTÃO/RS</t>
  </si>
  <si>
    <t>Rua Arthur Fetter, 13</t>
  </si>
  <si>
    <t>IGREJINHA/RS</t>
  </si>
  <si>
    <t>Rua Felipe Bender, 273</t>
  </si>
  <si>
    <t>TRÊS COROAS/RS</t>
  </si>
  <si>
    <t>GEX PORTO ALEGRE</t>
  </si>
  <si>
    <t>Rua Jerônimo Coelho, 127</t>
  </si>
  <si>
    <t>PORTO ALEGRE/RS</t>
  </si>
  <si>
    <t>Avenida Borges de Medeiros, 530</t>
  </si>
  <si>
    <t>Avenida Bento Gonçalves, 867</t>
  </si>
  <si>
    <t>Estrada da Vila Maria, 250</t>
  </si>
  <si>
    <t>Avenida Maringá, 1201</t>
  </si>
  <si>
    <t>ALVORADA/RS</t>
  </si>
  <si>
    <t>Rua Marechal Andréa, 351</t>
  </si>
  <si>
    <t>TOTAL GERAL</t>
  </si>
  <si>
    <t>Total A23:Q59Mensais GEX Curitiba</t>
  </si>
  <si>
    <t>Área útil total</t>
  </si>
  <si>
    <t>AI-4: 
Banheiros</t>
  </si>
  <si>
    <r>
      <rPr>
        <b/>
        <sz val="9"/>
        <color rgb="FF000000"/>
        <rFont val="Calibri"/>
        <family val="2"/>
        <charset val="1"/>
      </rPr>
      <t xml:space="preserve">AE-2:
</t>
    </r>
    <r>
      <rPr>
        <sz val="9"/>
        <color rgb="FF000000"/>
        <rFont val="Calibri"/>
        <family val="2"/>
        <charset val="1"/>
      </rPr>
      <t>coleta de detritos em pátios e áreas verdes com frequência diária</t>
    </r>
  </si>
  <si>
    <t>Serventes por Unidade (Calculada)</t>
  </si>
  <si>
    <t>Qtde de serventes ajustada LIMPEZA ORDINÁRIA e carga horária</t>
  </si>
  <si>
    <t>Qtde Ajustada Qtde postos COVID e Carga horária servente</t>
  </si>
  <si>
    <t>Qtde horas eventuais Limpeza Ordinária/Mês</t>
  </si>
  <si>
    <t>Qtde horas eventuais COVID/Mês</t>
  </si>
  <si>
    <t>Qtde Diárias carregadores/Mês</t>
  </si>
  <si>
    <t>Qtde postos e Carga horária ENCARREGADA</t>
  </si>
  <si>
    <t>40h (40%)</t>
  </si>
  <si>
    <t>40h (20%)</t>
  </si>
  <si>
    <t>30h (40%)</t>
  </si>
  <si>
    <t>30h (20%)</t>
  </si>
  <si>
    <t>40h</t>
  </si>
  <si>
    <t>30h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</si>
  <si>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</si>
  <si>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</si>
  <si>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</si>
  <si>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</si>
  <si>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</si>
  <si>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</si>
  <si>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</si>
  <si>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</si>
  <si>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(1/prod) serventes</t>
  </si>
  <si>
    <t>(1/prod) encarregado</t>
  </si>
  <si>
    <t>Limite de Produtividade IN 05/2017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</si>
  <si>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</si>
  <si>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</si>
  <si>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</si>
  <si>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</si>
  <si>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</si>
  <si>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</si>
  <si>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</si>
  <si>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</si>
  <si>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SEMESTRAL</t>
  </si>
  <si>
    <t>ANEXO IV</t>
  </si>
  <si>
    <t>MODELO DE PROPOSTA E PLANILHA DE CUSTOS E FORMAÇÃO DE PREÇOS</t>
  </si>
  <si>
    <t>PROCESSO 35014.018642/2022-12</t>
  </si>
  <si>
    <t>Servente 40h</t>
  </si>
  <si>
    <t>Servente 30h</t>
  </si>
  <si>
    <t>Servente 20h</t>
  </si>
  <si>
    <t>Limpador alpinista 44h</t>
  </si>
  <si>
    <t>Encarregado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</si>
  <si>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</si>
  <si>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</si>
  <si>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</si>
  <si>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</si>
  <si>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</si>
  <si>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</si>
  <si>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>Servente 40h (banheirista)
(insalubridade 40%)</t>
  </si>
  <si>
    <t>Servente 40h
(insalubridade 20%)</t>
  </si>
  <si>
    <t>Servente 30h (banheirista)
(insalubridade 40%)</t>
  </si>
  <si>
    <t>Servente 30h
(insalubridade 20%)</t>
  </si>
  <si>
    <t>Servente 20h
(insalubridade 20%)</t>
  </si>
  <si>
    <t>Limpador alpinista 44h (limpeza de esquadrias com risco)</t>
  </si>
  <si>
    <t>Encarregada 40h</t>
  </si>
  <si>
    <t>MÓDULO 1: COMPOSIÇÃO DA REMUNERAÇÃO</t>
  </si>
  <si>
    <t>1 - Composição da Remuneração</t>
  </si>
  <si>
    <t>Percentuais</t>
  </si>
  <si>
    <t>Valor (R$)</t>
  </si>
  <si>
    <t>A - Salário Base</t>
  </si>
  <si>
    <t>B - Adicional de Insalubridade</t>
  </si>
  <si>
    <t>40% / 20%</t>
  </si>
  <si>
    <t>D - Adicional Noturno</t>
  </si>
  <si>
    <t>E - Adicional de Hora Noturna Reduzida</t>
  </si>
  <si>
    <t>F - Adicional de Hora Extra no Feriado Trabalhado</t>
  </si>
  <si>
    <t>E - Outros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</si>
  <si>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</si>
  <si>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</si>
  <si>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</si>
  <si>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</si>
  <si>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</si>
  <si>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</si>
  <si>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</si>
  <si>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</si>
  <si>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</si>
  <si>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</si>
  <si>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</si>
  <si>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</si>
  <si>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</si>
  <si>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</si>
  <si>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</si>
  <si>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</si>
  <si>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</si>
  <si>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</si>
  <si>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(COM DESCONTO DE 19%)</t>
  </si>
  <si>
    <t>C - Ajuda de custo (equipes limpeza vidros)</t>
  </si>
  <si>
    <t>D - Assistência Médica</t>
  </si>
  <si>
    <t>E - Benefício Social Familiar (Cláusula 29ª)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</si>
  <si>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</si>
  <si>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</si>
  <si>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</si>
  <si>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</si>
  <si>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</si>
  <si>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</si>
  <si>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</si>
  <si>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</si>
  <si>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</si>
  <si>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</si>
  <si>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</si>
  <si>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</si>
  <si>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</si>
  <si>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</si>
  <si>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</si>
  <si>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</si>
  <si>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</si>
  <si>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</si>
  <si>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</si>
  <si>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</si>
  <si>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</si>
  <si>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</si>
  <si>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Valores/Percentuais</t>
  </si>
  <si>
    <t>A - Uniformes</t>
  </si>
  <si>
    <t>B - Materiais e utensílios</t>
  </si>
  <si>
    <t>C - Equipamentos</t>
  </si>
  <si>
    <t>D - EPIs</t>
  </si>
  <si>
    <t>E - Esquadrias de risco - Materiais/ Equipamentos/EPIs (conforme MPOG)</t>
  </si>
  <si>
    <t>F -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</si>
  <si>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</si>
  <si>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</si>
  <si>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</si>
  <si>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</si>
  <si>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</si>
  <si>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</si>
  <si>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</si>
  <si>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</si>
  <si>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</si>
  <si>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</si>
  <si>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</si>
  <si>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</si>
  <si>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</si>
  <si>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</si>
  <si>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</si>
  <si>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</si>
  <si>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</si>
  <si>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</si>
  <si>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</si>
  <si>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</si>
  <si>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</si>
  <si>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</si>
  <si>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</si>
  <si>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</si>
  <si>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</si>
  <si>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</si>
  <si>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</si>
  <si>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</si>
  <si>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</si>
  <si>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</si>
  <si>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</si>
  <si>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</si>
  <si>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</si>
  <si>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</si>
  <si>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</si>
  <si>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</si>
  <si>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</si>
  <si>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</si>
  <si>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</si>
  <si>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</si>
  <si>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</si>
  <si>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</si>
  <si>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</si>
  <si>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</si>
  <si>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</si>
  <si>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</si>
  <si>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</si>
  <si>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</si>
  <si>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AI-1b Área Interna pisos frios (incluindo limpeza de banheiros públicos e/ou de grande circulação)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</si>
  <si>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</si>
  <si>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</si>
  <si>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</si>
  <si>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</si>
  <si>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</si>
  <si>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</si>
  <si>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</si>
  <si>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</si>
  <si>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</si>
  <si>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</si>
  <si>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</si>
  <si>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</si>
  <si>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</si>
  <si>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rPr>
        <sz val="10"/>
        <color rgb="FF000000"/>
        <rFont val="Calibri"/>
        <family val="2"/>
        <charset val="1"/>
      </rP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</si>
  <si>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</si>
  <si>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rPr>
        <sz val="10"/>
        <color rgb="FF000000"/>
        <rFont val="Calibri"/>
        <family val="2"/>
        <charset val="1"/>
      </rP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</si>
  <si>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</si>
  <si>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</si>
  <si>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</si>
  <si>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40h
COVID</t>
  </si>
  <si>
    <t>Servente 30h
COVID</t>
  </si>
  <si>
    <t>Servente 20h
COVID</t>
  </si>
  <si>
    <t>D - Assistência Médica (Cláusula 15ª)</t>
  </si>
  <si>
    <t>E - Benefício Social Familiar (Cláusula 16ª)</t>
  </si>
  <si>
    <t>20h (40%)</t>
  </si>
  <si>
    <t>20h (20%)</t>
  </si>
  <si>
    <t>GERÊNCIA EXECUTIVA NOVO HAMBURGO</t>
  </si>
  <si>
    <t>Servente 20h
(insalubridade 40%)</t>
  </si>
  <si>
    <t>C - Tributos  (ISS 3,50%)</t>
  </si>
  <si>
    <t>F - Módulo 6 - Custos Indiretos, Tributos e Lucro (ISS 3,50%)</t>
  </si>
  <si>
    <t>TOTAL POR EMPREGADO/MÊS com ISS de 3,5%</t>
  </si>
  <si>
    <t>VALOR DA HORA com ISS de 3,5%</t>
  </si>
  <si>
    <t>ISS de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</si>
</sst>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* #,##0.00\ ;\-* #,##0.00\ ;* \-#\ ;@\ "/>
    <numFmt numFmtId="165" formatCode="d/m/yyyy"/>
    <numFmt numFmtId="166" formatCode="&quot;R$ &quot;#,##0.00"/>
    <numFmt numFmtId="167" formatCode="0.0000"/>
    <numFmt numFmtId="168" formatCode="#,##0.00\ ;\(#,##0.00\);\-#\ ;@\ "/>
    <numFmt numFmtId="169" formatCode="#,##0.000000;\(#,##0.000000\)"/>
    <numFmt numFmtId="170" formatCode="&quot;R$ &quot;#,##0.00;[Red]&quot;-R$ &quot;#,##0.00"/>
    <numFmt numFmtId="171" formatCode="&quot; R$ &quot;* #,##0.00\ ;&quot;-R$ &quot;* #,##0.00\ ;&quot; R$ &quot;* \-#\ ;@\ "/>
    <numFmt numFmtId="172" formatCode="[$R$-416]\ * #,##0.00\ ;\-[$R$-416]\ * #,##0.00\ ;[$R$-416]\ * \-#\ ;@\ "/>
    <numFmt numFmtId="173" formatCode="[$R$-416]\ #,##0.00;[Red]\-[$R$-416]\ #,##0.00"/>
    <numFmt numFmtId="174" formatCode="#,##0.0"/>
    <numFmt numFmtId="175" formatCode="0.0000000"/>
    <numFmt numFmtId="176" formatCode="0.00000000"/>
    <numFmt numFmtId="177" formatCode="#,##0.00\ ;\(#,##0.00\)"/>
    <numFmt numFmtId="178" formatCode="&quot;R$ &quot;#,##0.00\ ;[Red]&quot;(R$ &quot;#,##0.00\)"/>
    <numFmt numFmtId="179" formatCode="0.000000000"/>
    <numFmt numFmtId="180" formatCode="#,##0.00\ ;#,##0.00\ ;\-#\ ;@\ "/>
    <numFmt numFmtId="181" formatCode="0.000000000;[Red]\(0.000000000\)"/>
    <numFmt numFmtId="182" formatCode="0.0000000000"/>
  </numFmts>
  <fonts count="58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333333"/>
      <name val="Arial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10"/>
      <name val="Arial"/>
      <family val="2"/>
      <charset val="1"/>
    </font>
    <font>
      <sz val="8"/>
      <color rgb="FF333333"/>
      <name val="Arial"/>
      <family val="2"/>
      <charset val="1"/>
    </font>
    <font>
      <sz val="11"/>
      <color rgb="FF444444"/>
      <name val="Calibri"/>
      <family val="2"/>
      <charset val="1"/>
    </font>
    <font>
      <b/>
      <sz val="9"/>
      <color rgb="FFFF3333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333333"/>
      <name val="Arial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sz val="10"/>
      <name val="Calibri"/>
      <family val="2"/>
      <charset val="1"/>
    </font>
    <font>
      <i/>
      <sz val="9"/>
      <color rgb="FF000000"/>
      <name val="Calibri"/>
      <family val="2"/>
      <charset val="1"/>
    </font>
    <font>
      <b/>
      <sz val="9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FF3333"/>
      <name val="Calibri"/>
      <family val="2"/>
      <charset val="1"/>
    </font>
    <font>
      <b/>
      <sz val="9"/>
      <color rgb="FFFF3333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2"/>
      <color rgb="FF333333"/>
      <name val="Calibri"/>
      <family val="2"/>
      <charset val="1"/>
    </font>
    <font>
      <b/>
      <sz val="10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u/>
      <sz val="11"/>
      <color rgb="FF0563C1"/>
      <name val="Arial"/>
      <family val="2"/>
      <charset val="1"/>
    </font>
    <font>
      <b/>
      <i/>
      <sz val="10"/>
      <color rgb="FF333333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FF3333"/>
      <name val="Calibri"/>
      <family val="2"/>
      <charset val="1"/>
    </font>
    <font>
      <b/>
      <strike/>
      <sz val="10"/>
      <color rgb="FF333333"/>
      <name val="Calibri"/>
      <family val="2"/>
      <charset val="1"/>
    </font>
    <font>
      <strike/>
      <sz val="10"/>
      <color rgb="FF000000"/>
      <name val="Calibri"/>
      <family val="2"/>
      <charset val="1"/>
    </font>
    <font>
      <strike/>
      <sz val="9"/>
      <color rgb="FF000000"/>
      <name val="Calibri"/>
      <family val="2"/>
      <charset val="1"/>
    </font>
  </fonts>
  <fills count="49">
    <fill>
      <patternFill patternType="none"/>
    </fill>
    <fill>
      <patternFill patternType="gray125"/>
    </fill>
    <fill>
      <patternFill patternType="solid">
        <fgColor rgb="FF0B50A0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D6DCE4"/>
        <bgColor rgb="FFDBDBDB"/>
      </patternFill>
    </fill>
    <fill>
      <patternFill patternType="solid">
        <fgColor rgb="FFFFE699"/>
        <bgColor rgb="FFFFFF99"/>
      </patternFill>
    </fill>
    <fill>
      <patternFill patternType="solid">
        <fgColor rgb="FFBF819E"/>
        <bgColor rgb="FFCC90F3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CCCCCC"/>
        <bgColor rgb="FFC1C1C1"/>
      </patternFill>
    </fill>
    <fill>
      <patternFill patternType="solid">
        <fgColor rgb="FFFFFFFF"/>
        <bgColor rgb="FFFFFFCC"/>
      </patternFill>
    </fill>
    <fill>
      <patternFill patternType="solid">
        <fgColor rgb="FFF4B183"/>
        <bgColor rgb="FFFF9999"/>
      </patternFill>
    </fill>
    <fill>
      <patternFill patternType="solid">
        <fgColor rgb="FFFCE4D6"/>
        <bgColor rgb="FFFFF2CC"/>
      </patternFill>
    </fill>
    <fill>
      <patternFill patternType="solid">
        <fgColor rgb="FFFF9999"/>
        <bgColor rgb="FFF4B183"/>
      </patternFill>
    </fill>
    <fill>
      <patternFill patternType="solid">
        <fgColor rgb="FF349865"/>
        <bgColor rgb="FF58AA38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FFCC00"/>
        <bgColor rgb="FFFFFF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58AA38"/>
      </patternFill>
    </fill>
    <fill>
      <patternFill patternType="solid">
        <fgColor rgb="FF5282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B4C7DE"/>
        <bgColor rgb="FFC1C1C1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solid">
        <fgColor rgb="FFFC745D"/>
        <bgColor rgb="FFFF9999"/>
      </patternFill>
    </fill>
    <fill>
      <patternFill patternType="solid">
        <fgColor rgb="FF9BC2E6"/>
        <bgColor rgb="FFB4C7DE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darkGray">
        <fgColor rgb="FFCC90F3"/>
        <bgColor rgb="FFBF819E"/>
      </patternFill>
    </fill>
    <fill>
      <patternFill patternType="solid">
        <fgColor rgb="FFDDDDDD"/>
        <bgColor rgb="FFDBDBDB"/>
      </patternFill>
    </fill>
    <fill>
      <patternFill patternType="solid">
        <fgColor rgb="FF58AA38"/>
        <bgColor rgb="FF5EB91E"/>
      </patternFill>
    </fill>
    <fill>
      <patternFill patternType="solid">
        <fgColor rgb="FFA9D08E"/>
        <bgColor rgb="FFA9D18E"/>
      </patternFill>
    </fill>
    <fill>
      <patternFill patternType="solid">
        <fgColor rgb="FFFFFFCC"/>
        <bgColor rgb="FFFFF2CC"/>
      </patternFill>
    </fill>
    <fill>
      <patternFill patternType="solid">
        <fgColor rgb="FFCC90F3"/>
        <bgColor rgb="FFBF819E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DD7EE"/>
      </patternFill>
    </fill>
    <fill>
      <patternFill patternType="solid">
        <fgColor rgb="FFC0C0C0"/>
        <bgColor rgb="FFC1C1C1"/>
      </patternFill>
    </fill>
    <fill>
      <patternFill patternType="solid">
        <fgColor rgb="FFFFFF00"/>
        <bgColor rgb="FFFFCC00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E6570B"/>
        <bgColor rgb="FFFF3333"/>
      </patternFill>
    </fill>
    <fill>
      <patternFill patternType="solid">
        <fgColor rgb="FFFFFF99"/>
        <bgColor rgb="FFFFFFCC"/>
      </patternFill>
    </fill>
  </fills>
  <borders count="1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rgb="FFB4C7DE"/>
      </top>
      <bottom/>
      <diagonal/>
    </border>
    <border>
      <left/>
      <right/>
      <top style="thin">
        <color rgb="FFB4C7DE"/>
      </top>
      <bottom style="thin">
        <color rgb="FF9BC2E6"/>
      </bottom>
      <diagonal/>
    </border>
    <border>
      <left/>
      <right/>
      <top style="thin">
        <color rgb="FFB4C7DE"/>
      </top>
      <bottom style="thin">
        <color rgb="FFB4C7DE"/>
      </bottom>
      <diagonal/>
    </border>
    <border>
      <left/>
      <right/>
      <top style="thin">
        <color rgb="FF9BC2E6"/>
      </top>
      <bottom style="thin">
        <color rgb="FFB4C7DE"/>
      </bottom>
      <diagonal/>
    </border>
    <border>
      <left/>
      <right/>
      <top/>
      <bottom style="thin">
        <color rgb="FFB4C7DE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164" fontId="12" fillId="0" borderId="0"/>
    <xf numFmtId="9" fontId="16" fillId="0" borderId="0" applyBorder="0" applyProtection="0"/>
    <xf numFmtId="0" fontId="51" fillId="0" borderId="0" applyBorder="0" applyProtection="0"/>
    <xf numFmtId="164" fontId="1" fillId="0" borderId="0" applyBorder="0" applyProtection="0"/>
  </cellStyleXfs>
  <cellXfs count="8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6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5" fillId="4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/>
    <xf numFmtId="167" fontId="2" fillId="0" borderId="11" xfId="0" applyNumberFormat="1" applyFont="1" applyBorder="1"/>
    <xf numFmtId="0" fontId="5" fillId="0" borderId="13" xfId="0" applyFont="1" applyBorder="1"/>
    <xf numFmtId="0" fontId="5" fillId="3" borderId="14" xfId="0" applyFont="1" applyFill="1" applyBorder="1" applyAlignment="1">
      <alignment horizontal="left" vertical="center"/>
    </xf>
    <xf numFmtId="10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0" fontId="7" fillId="0" borderId="9" xfId="0" applyNumberFormat="1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3" borderId="12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0" fontId="7" fillId="0" borderId="1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vertical="center"/>
    </xf>
    <xf numFmtId="10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10" fontId="7" fillId="0" borderId="7" xfId="0" applyNumberFormat="1" applyFont="1" applyBorder="1" applyAlignment="1">
      <alignment horizontal="left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0" xfId="0" applyFont="1" applyBorder="1" applyAlignment="1" applyProtection="1">
      <alignment horizontal="left" vertical="center"/>
      <protection locked="0"/>
    </xf>
    <xf numFmtId="10" fontId="2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/>
    </xf>
    <xf numFmtId="169" fontId="2" fillId="0" borderId="3" xfId="1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horizontal="center"/>
    </xf>
    <xf numFmtId="0" fontId="0" fillId="7" borderId="5" xfId="0" applyFill="1" applyBorder="1"/>
    <xf numFmtId="169" fontId="2" fillId="7" borderId="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8" fontId="14" fillId="0" borderId="0" xfId="1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168" fontId="15" fillId="0" borderId="0" xfId="1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8" fillId="9" borderId="20" xfId="0" applyFont="1" applyFill="1" applyBorder="1" applyAlignment="1">
      <alignment vertical="center"/>
    </xf>
    <xf numFmtId="0" fontId="16" fillId="9" borderId="21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vertical="center"/>
    </xf>
    <xf numFmtId="0" fontId="16" fillId="9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center"/>
    </xf>
    <xf numFmtId="0" fontId="0" fillId="9" borderId="28" xfId="0" applyFill="1" applyBorder="1"/>
    <xf numFmtId="0" fontId="0" fillId="9" borderId="29" xfId="0" applyFill="1" applyBorder="1"/>
    <xf numFmtId="0" fontId="19" fillId="0" borderId="30" xfId="0" applyFont="1" applyBorder="1"/>
    <xf numFmtId="0" fontId="19" fillId="0" borderId="7" xfId="0" applyFont="1" applyBorder="1"/>
    <xf numFmtId="0" fontId="16" fillId="10" borderId="3" xfId="0" applyFont="1" applyFill="1" applyBorder="1"/>
    <xf numFmtId="170" fontId="19" fillId="0" borderId="7" xfId="0" applyNumberFormat="1" applyFont="1" applyBorder="1" applyAlignment="1">
      <alignment wrapText="1"/>
    </xf>
    <xf numFmtId="166" fontId="16" fillId="0" borderId="9" xfId="0" applyNumberFormat="1" applyFont="1" applyBorder="1" applyAlignment="1">
      <alignment vertical="center"/>
    </xf>
    <xf numFmtId="166" fontId="16" fillId="0" borderId="31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6" fillId="9" borderId="33" xfId="0" applyFont="1" applyFill="1" applyBorder="1" applyAlignment="1">
      <alignment vertical="center"/>
    </xf>
    <xf numFmtId="0" fontId="0" fillId="9" borderId="0" xfId="0" applyFill="1"/>
    <xf numFmtId="0" fontId="0" fillId="9" borderId="34" xfId="0" applyFill="1" applyBorder="1"/>
    <xf numFmtId="0" fontId="16" fillId="0" borderId="35" xfId="0" applyFont="1" applyBorder="1" applyAlignment="1">
      <alignment vertical="center"/>
    </xf>
    <xf numFmtId="0" fontId="20" fillId="9" borderId="36" xfId="0" applyFont="1" applyFill="1" applyBorder="1" applyAlignment="1">
      <alignment vertical="center"/>
    </xf>
    <xf numFmtId="0" fontId="0" fillId="9" borderId="1" xfId="0" applyFill="1" applyBorder="1"/>
    <xf numFmtId="0" fontId="0" fillId="9" borderId="26" xfId="0" applyFill="1" applyBorder="1"/>
    <xf numFmtId="0" fontId="19" fillId="0" borderId="37" xfId="0" applyFont="1" applyBorder="1"/>
    <xf numFmtId="0" fontId="19" fillId="0" borderId="8" xfId="0" applyFont="1" applyBorder="1"/>
    <xf numFmtId="0" fontId="16" fillId="10" borderId="12" xfId="0" applyFont="1" applyFill="1" applyBorder="1"/>
    <xf numFmtId="170" fontId="19" fillId="0" borderId="8" xfId="0" applyNumberFormat="1" applyFont="1" applyBorder="1" applyAlignment="1">
      <alignment wrapText="1"/>
    </xf>
    <xf numFmtId="166" fontId="16" fillId="0" borderId="18" xfId="0" applyNumberFormat="1" applyFont="1" applyBorder="1" applyAlignment="1">
      <alignment vertical="center"/>
    </xf>
    <xf numFmtId="166" fontId="16" fillId="0" borderId="38" xfId="0" applyNumberFormat="1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0" fontId="17" fillId="3" borderId="40" xfId="0" applyNumberFormat="1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70" fontId="16" fillId="0" borderId="7" xfId="0" applyNumberFormat="1" applyFont="1" applyBorder="1" applyAlignment="1">
      <alignment wrapText="1"/>
    </xf>
    <xf numFmtId="171" fontId="16" fillId="0" borderId="42" xfId="0" applyNumberFormat="1" applyFont="1" applyBorder="1" applyAlignment="1">
      <alignment vertical="center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4" xfId="0" applyFont="1" applyBorder="1"/>
    <xf numFmtId="0" fontId="16" fillId="0" borderId="5" xfId="0" applyFont="1" applyBorder="1"/>
    <xf numFmtId="0" fontId="21" fillId="0" borderId="38" xfId="0" applyFont="1" applyBorder="1"/>
    <xf numFmtId="0" fontId="16" fillId="0" borderId="46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70" fontId="16" fillId="0" borderId="8" xfId="0" applyNumberFormat="1" applyFont="1" applyBorder="1" applyAlignment="1">
      <alignment wrapText="1"/>
    </xf>
    <xf numFmtId="171" fontId="16" fillId="0" borderId="33" xfId="0" applyNumberFormat="1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170" fontId="17" fillId="3" borderId="19" xfId="0" applyNumberFormat="1" applyFont="1" applyFill="1" applyBorder="1" applyAlignment="1">
      <alignment horizontal="center" vertical="center"/>
    </xf>
    <xf numFmtId="0" fontId="16" fillId="10" borderId="33" xfId="0" applyFont="1" applyFill="1" applyBorder="1" applyAlignment="1">
      <alignment vertical="center"/>
    </xf>
    <xf numFmtId="0" fontId="16" fillId="10" borderId="0" xfId="0" applyFont="1" applyFill="1" applyAlignment="1">
      <alignment vertical="center"/>
    </xf>
    <xf numFmtId="170" fontId="16" fillId="10" borderId="0" xfId="0" applyNumberFormat="1" applyFont="1" applyFill="1" applyAlignment="1">
      <alignment vertical="center"/>
    </xf>
    <xf numFmtId="0" fontId="18" fillId="3" borderId="48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2" fontId="16" fillId="10" borderId="3" xfId="0" applyNumberFormat="1" applyFont="1" applyFill="1" applyBorder="1" applyAlignment="1">
      <alignment vertical="center"/>
    </xf>
    <xf numFmtId="0" fontId="16" fillId="0" borderId="30" xfId="0" applyFont="1" applyBorder="1"/>
    <xf numFmtId="0" fontId="16" fillId="0" borderId="37" xfId="0" applyFont="1" applyBorder="1"/>
    <xf numFmtId="0" fontId="16" fillId="0" borderId="50" xfId="0" applyFont="1" applyBorder="1" applyAlignment="1">
      <alignment vertical="center"/>
    </xf>
    <xf numFmtId="0" fontId="16" fillId="0" borderId="46" xfId="0" applyFont="1" applyBorder="1"/>
    <xf numFmtId="0" fontId="18" fillId="3" borderId="51" xfId="0" applyFont="1" applyFill="1" applyBorder="1" applyAlignment="1">
      <alignment horizontal="center" vertical="center" wrapText="1"/>
    </xf>
    <xf numFmtId="170" fontId="17" fillId="3" borderId="19" xfId="0" applyNumberFormat="1" applyFont="1" applyFill="1" applyBorder="1" applyAlignment="1">
      <alignment horizontal="right" vertical="center"/>
    </xf>
    <xf numFmtId="166" fontId="16" fillId="10" borderId="0" xfId="0" applyNumberFormat="1" applyFont="1" applyFill="1" applyAlignment="1">
      <alignment vertical="center"/>
    </xf>
    <xf numFmtId="171" fontId="16" fillId="10" borderId="0" xfId="0" applyNumberFormat="1" applyFont="1" applyFill="1" applyAlignment="1">
      <alignment vertical="center"/>
    </xf>
    <xf numFmtId="0" fontId="18" fillId="12" borderId="23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70" fontId="16" fillId="0" borderId="2" xfId="0" applyNumberFormat="1" applyFont="1" applyBorder="1" applyAlignment="1">
      <alignment wrapText="1"/>
    </xf>
    <xf numFmtId="166" fontId="16" fillId="0" borderId="10" xfId="0" applyNumberFormat="1" applyFont="1" applyBorder="1" applyAlignment="1">
      <alignment vertical="center"/>
    </xf>
    <xf numFmtId="0" fontId="16" fillId="0" borderId="52" xfId="0" applyFont="1" applyBorder="1"/>
    <xf numFmtId="170" fontId="16" fillId="0" borderId="7" xfId="0" applyNumberFormat="1" applyFont="1" applyBorder="1"/>
    <xf numFmtId="170" fontId="16" fillId="0" borderId="9" xfId="0" applyNumberFormat="1" applyFont="1" applyBorder="1"/>
    <xf numFmtId="170" fontId="16" fillId="0" borderId="10" xfId="0" applyNumberFormat="1" applyFont="1" applyBorder="1"/>
    <xf numFmtId="170" fontId="17" fillId="12" borderId="19" xfId="0" applyNumberFormat="1" applyFont="1" applyFill="1" applyBorder="1" applyAlignment="1">
      <alignment vertical="center"/>
    </xf>
    <xf numFmtId="170" fontId="17" fillId="12" borderId="38" xfId="0" applyNumberFormat="1" applyFont="1" applyFill="1" applyBorder="1" applyAlignment="1">
      <alignment vertical="center"/>
    </xf>
    <xf numFmtId="0" fontId="16" fillId="13" borderId="0" xfId="0" applyFont="1" applyFill="1" applyAlignment="1">
      <alignment vertical="center"/>
    </xf>
    <xf numFmtId="0" fontId="18" fillId="15" borderId="37" xfId="0" applyFont="1" applyFill="1" applyBorder="1" applyAlignment="1">
      <alignment horizontal="center" vertical="center" wrapText="1"/>
    </xf>
    <xf numFmtId="0" fontId="18" fillId="15" borderId="8" xfId="0" applyFont="1" applyFill="1" applyBorder="1" applyAlignment="1">
      <alignment horizontal="center" vertical="center" wrapText="1"/>
    </xf>
    <xf numFmtId="0" fontId="18" fillId="15" borderId="18" xfId="0" applyFont="1" applyFill="1" applyBorder="1" applyAlignment="1">
      <alignment horizontal="center" vertical="center" wrapText="1"/>
    </xf>
    <xf numFmtId="0" fontId="18" fillId="15" borderId="38" xfId="0" applyFont="1" applyFill="1" applyBorder="1" applyAlignment="1">
      <alignment horizontal="center" vertical="center" wrapText="1"/>
    </xf>
    <xf numFmtId="166" fontId="17" fillId="16" borderId="19" xfId="0" applyNumberFormat="1" applyFont="1" applyFill="1" applyBorder="1" applyAlignment="1">
      <alignment vertical="center"/>
    </xf>
    <xf numFmtId="170" fontId="16" fillId="0" borderId="9" xfId="0" applyNumberFormat="1" applyFont="1" applyBorder="1" applyAlignment="1">
      <alignment wrapText="1"/>
    </xf>
    <xf numFmtId="170" fontId="16" fillId="0" borderId="8" xfId="0" applyNumberFormat="1" applyFont="1" applyBorder="1"/>
    <xf numFmtId="170" fontId="16" fillId="0" borderId="18" xfId="0" applyNumberFormat="1" applyFont="1" applyBorder="1" applyAlignment="1">
      <alignment wrapText="1"/>
    </xf>
    <xf numFmtId="0" fontId="16" fillId="0" borderId="53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170" fontId="16" fillId="0" borderId="54" xfId="0" applyNumberFormat="1" applyFont="1" applyBorder="1"/>
    <xf numFmtId="170" fontId="16" fillId="0" borderId="54" xfId="0" applyNumberFormat="1" applyFont="1" applyBorder="1" applyAlignment="1">
      <alignment wrapText="1"/>
    </xf>
    <xf numFmtId="166" fontId="16" fillId="0" borderId="55" xfId="0" applyNumberFormat="1" applyFont="1" applyBorder="1" applyAlignment="1">
      <alignment vertical="center"/>
    </xf>
    <xf numFmtId="166" fontId="17" fillId="15" borderId="19" xfId="0" applyNumberFormat="1" applyFont="1" applyFill="1" applyBorder="1" applyAlignment="1">
      <alignment vertical="center"/>
    </xf>
    <xf numFmtId="0" fontId="18" fillId="4" borderId="3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170" fontId="17" fillId="17" borderId="1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170" fontId="16" fillId="0" borderId="31" xfId="0" applyNumberFormat="1" applyFont="1" applyBorder="1" applyAlignment="1">
      <alignment vertical="center"/>
    </xf>
    <xf numFmtId="170" fontId="16" fillId="0" borderId="56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2" fontId="16" fillId="0" borderId="7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vertical="center"/>
    </xf>
    <xf numFmtId="170" fontId="16" fillId="0" borderId="45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0" fontId="16" fillId="0" borderId="12" xfId="0" applyNumberFormat="1" applyFont="1" applyBorder="1"/>
    <xf numFmtId="166" fontId="16" fillId="0" borderId="14" xfId="0" applyNumberFormat="1" applyFont="1" applyBorder="1" applyAlignment="1">
      <alignment vertical="center"/>
    </xf>
    <xf numFmtId="170" fontId="16" fillId="0" borderId="57" xfId="0" applyNumberFormat="1" applyFont="1" applyBorder="1" applyAlignment="1">
      <alignment vertical="center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170" fontId="17" fillId="17" borderId="41" xfId="0" applyNumberFormat="1" applyFont="1" applyFill="1" applyBorder="1" applyAlignment="1">
      <alignment vertical="center"/>
    </xf>
    <xf numFmtId="0" fontId="23" fillId="10" borderId="44" xfId="0" applyFont="1" applyFill="1" applyBorder="1" applyAlignment="1">
      <alignment wrapText="1"/>
    </xf>
    <xf numFmtId="166" fontId="17" fillId="18" borderId="40" xfId="0" applyNumberFormat="1" applyFont="1" applyFill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166" fontId="16" fillId="0" borderId="19" xfId="0" applyNumberFormat="1" applyFont="1" applyBorder="1" applyAlignment="1">
      <alignment vertical="center"/>
    </xf>
    <xf numFmtId="0" fontId="24" fillId="0" borderId="0" xfId="0" applyFont="1"/>
    <xf numFmtId="0" fontId="25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19" borderId="0" xfId="4" applyNumberFormat="1" applyFont="1" applyFill="1" applyBorder="1" applyAlignment="1" applyProtection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24" borderId="40" xfId="0" applyFont="1" applyFill="1" applyBorder="1" applyAlignment="1">
      <alignment horizontal="center" vertical="center" wrapText="1"/>
    </xf>
    <xf numFmtId="0" fontId="8" fillId="25" borderId="40" xfId="0" applyFont="1" applyFill="1" applyBorder="1" applyAlignment="1">
      <alignment horizontal="center" vertical="center" wrapText="1"/>
    </xf>
    <xf numFmtId="0" fontId="8" fillId="25" borderId="27" xfId="0" applyFont="1" applyFill="1" applyBorder="1" applyAlignment="1">
      <alignment horizontal="center" vertical="center" wrapText="1"/>
    </xf>
    <xf numFmtId="0" fontId="30" fillId="23" borderId="27" xfId="0" applyFont="1" applyFill="1" applyBorder="1" applyAlignment="1">
      <alignment horizontal="center" vertical="center" wrapText="1"/>
    </xf>
    <xf numFmtId="0" fontId="30" fillId="29" borderId="59" xfId="0" applyFont="1" applyFill="1" applyBorder="1" applyAlignment="1">
      <alignment horizontal="center" vertical="center" wrapText="1"/>
    </xf>
    <xf numFmtId="0" fontId="30" fillId="30" borderId="29" xfId="0" applyFont="1" applyFill="1" applyBorder="1" applyAlignment="1">
      <alignment horizontal="center" vertical="center" wrapText="1"/>
    </xf>
    <xf numFmtId="0" fontId="30" fillId="31" borderId="27" xfId="0" applyFont="1" applyFill="1" applyBorder="1" applyAlignment="1">
      <alignment horizontal="center" vertical="center" wrapText="1"/>
    </xf>
    <xf numFmtId="0" fontId="31" fillId="11" borderId="40" xfId="0" applyFont="1" applyFill="1" applyBorder="1" applyAlignment="1">
      <alignment horizontal="center" vertical="center" wrapText="1"/>
    </xf>
    <xf numFmtId="0" fontId="32" fillId="13" borderId="60" xfId="0" applyFont="1" applyFill="1" applyBorder="1" applyAlignment="1" applyProtection="1">
      <alignment horizontal="left" vertical="center" wrapText="1"/>
      <protection locked="0"/>
    </xf>
    <xf numFmtId="0" fontId="23" fillId="13" borderId="61" xfId="0" applyFont="1" applyFill="1" applyBorder="1" applyAlignment="1" applyProtection="1">
      <alignment horizontal="left" vertical="center"/>
      <protection locked="0"/>
    </xf>
    <xf numFmtId="0" fontId="32" fillId="13" borderId="61" xfId="0" applyFont="1" applyFill="1" applyBorder="1" applyAlignment="1">
      <alignment vertical="center"/>
    </xf>
    <xf numFmtId="10" fontId="32" fillId="13" borderId="6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1" xfId="1" applyFont="1" applyBorder="1" applyAlignment="1">
      <alignment horizontal="center" vertical="center"/>
    </xf>
    <xf numFmtId="166" fontId="33" fillId="0" borderId="61" xfId="1" applyNumberFormat="1" applyFont="1" applyBorder="1" applyAlignment="1">
      <alignment horizontal="center" vertical="center"/>
    </xf>
    <xf numFmtId="172" fontId="34" fillId="23" borderId="61" xfId="0" applyNumberFormat="1" applyFont="1" applyFill="1" applyBorder="1" applyAlignment="1">
      <alignment horizontal="center" vertical="center" wrapText="1"/>
    </xf>
    <xf numFmtId="172" fontId="14" fillId="29" borderId="61" xfId="1" applyNumberFormat="1" applyFont="1" applyFill="1" applyBorder="1" applyAlignment="1">
      <alignment horizontal="center" vertical="center"/>
    </xf>
    <xf numFmtId="164" fontId="14" fillId="30" borderId="61" xfId="1" applyFont="1" applyFill="1" applyBorder="1" applyAlignment="1">
      <alignment horizontal="center" vertical="center"/>
    </xf>
    <xf numFmtId="172" fontId="14" fillId="31" borderId="61" xfId="1" applyNumberFormat="1" applyFont="1" applyFill="1" applyBorder="1" applyAlignment="1">
      <alignment horizontal="center" vertical="center"/>
    </xf>
    <xf numFmtId="172" fontId="14" fillId="11" borderId="61" xfId="1" applyNumberFormat="1" applyFont="1" applyFill="1" applyBorder="1" applyAlignment="1">
      <alignment horizontal="center" vertical="center"/>
    </xf>
    <xf numFmtId="0" fontId="23" fillId="32" borderId="44" xfId="0" applyFont="1" applyFill="1" applyBorder="1" applyAlignment="1" applyProtection="1">
      <alignment horizontal="left" vertical="center"/>
      <protection locked="0"/>
    </xf>
    <xf numFmtId="0" fontId="23" fillId="32" borderId="3" xfId="0" applyFont="1" applyFill="1" applyBorder="1" applyAlignment="1" applyProtection="1">
      <alignment horizontal="left" vertical="center"/>
      <protection locked="0"/>
    </xf>
    <xf numFmtId="0" fontId="32" fillId="32" borderId="3" xfId="0" applyFont="1" applyFill="1" applyBorder="1"/>
    <xf numFmtId="10" fontId="32" fillId="32" borderId="3" xfId="0" applyNumberFormat="1" applyFont="1" applyFill="1" applyBorder="1" applyAlignment="1" applyProtection="1">
      <alignment horizontal="center" vertical="center"/>
      <protection locked="0"/>
    </xf>
    <xf numFmtId="164" fontId="8" fillId="0" borderId="3" xfId="1" applyFont="1" applyBorder="1" applyAlignment="1">
      <alignment horizontal="center" vertical="center"/>
    </xf>
    <xf numFmtId="166" fontId="33" fillId="0" borderId="3" xfId="1" applyNumberFormat="1" applyFont="1" applyBorder="1" applyAlignment="1">
      <alignment horizontal="center" vertical="center"/>
    </xf>
    <xf numFmtId="172" fontId="34" fillId="23" borderId="3" xfId="0" applyNumberFormat="1" applyFont="1" applyFill="1" applyBorder="1" applyAlignment="1">
      <alignment horizontal="center" vertical="center" wrapText="1"/>
    </xf>
    <xf numFmtId="172" fontId="14" fillId="29" borderId="3" xfId="1" applyNumberFormat="1" applyFont="1" applyFill="1" applyBorder="1" applyAlignment="1">
      <alignment horizontal="center" vertical="center"/>
    </xf>
    <xf numFmtId="164" fontId="14" fillId="30" borderId="3" xfId="1" applyFont="1" applyFill="1" applyBorder="1" applyAlignment="1">
      <alignment horizontal="center" vertical="center"/>
    </xf>
    <xf numFmtId="172" fontId="14" fillId="31" borderId="3" xfId="1" applyNumberFormat="1" applyFont="1" applyFill="1" applyBorder="1" applyAlignment="1">
      <alignment horizontal="center" vertical="center"/>
    </xf>
    <xf numFmtId="172" fontId="14" fillId="11" borderId="3" xfId="1" applyNumberFormat="1" applyFont="1" applyFill="1" applyBorder="1" applyAlignment="1">
      <alignment horizontal="center" vertical="center"/>
    </xf>
    <xf numFmtId="172" fontId="8" fillId="29" borderId="3" xfId="1" applyNumberFormat="1" applyFont="1" applyFill="1" applyBorder="1" applyAlignment="1">
      <alignment horizontal="center" vertical="center"/>
    </xf>
    <xf numFmtId="164" fontId="8" fillId="30" borderId="3" xfId="1" applyFont="1" applyFill="1" applyBorder="1" applyAlignment="1">
      <alignment horizontal="center" vertical="center"/>
    </xf>
    <xf numFmtId="172" fontId="8" fillId="31" borderId="3" xfId="1" applyNumberFormat="1" applyFont="1" applyFill="1" applyBorder="1" applyAlignment="1">
      <alignment horizontal="center" vertical="center"/>
    </xf>
    <xf numFmtId="172" fontId="8" fillId="11" borderId="3" xfId="1" applyNumberFormat="1" applyFont="1" applyFill="1" applyBorder="1" applyAlignment="1">
      <alignment horizontal="center" vertical="center"/>
    </xf>
    <xf numFmtId="0" fontId="23" fillId="32" borderId="53" xfId="0" applyFont="1" applyFill="1" applyBorder="1" applyAlignment="1" applyProtection="1">
      <alignment horizontal="left" vertical="center"/>
      <protection locked="0"/>
    </xf>
    <xf numFmtId="0" fontId="23" fillId="32" borderId="54" xfId="0" applyFont="1" applyFill="1" applyBorder="1" applyAlignment="1" applyProtection="1">
      <alignment horizontal="left" vertical="center"/>
      <protection locked="0"/>
    </xf>
    <xf numFmtId="0" fontId="32" fillId="32" borderId="54" xfId="0" applyFont="1" applyFill="1" applyBorder="1"/>
    <xf numFmtId="10" fontId="32" fillId="32" borderId="54" xfId="0" applyNumberFormat="1" applyFont="1" applyFill="1" applyBorder="1" applyAlignment="1" applyProtection="1">
      <alignment horizontal="center" vertical="center"/>
      <protection locked="0"/>
    </xf>
    <xf numFmtId="164" fontId="8" fillId="0" borderId="54" xfId="1" applyFont="1" applyBorder="1" applyAlignment="1">
      <alignment horizontal="center" vertical="center"/>
    </xf>
    <xf numFmtId="166" fontId="33" fillId="0" borderId="54" xfId="1" applyNumberFormat="1" applyFont="1" applyBorder="1" applyAlignment="1">
      <alignment horizontal="center" vertical="center"/>
    </xf>
    <xf numFmtId="172" fontId="34" fillId="23" borderId="54" xfId="0" applyNumberFormat="1" applyFont="1" applyFill="1" applyBorder="1" applyAlignment="1">
      <alignment horizontal="center" vertical="center" wrapText="1"/>
    </xf>
    <xf numFmtId="172" fontId="14" fillId="29" borderId="54" xfId="1" applyNumberFormat="1" applyFont="1" applyFill="1" applyBorder="1" applyAlignment="1">
      <alignment horizontal="center" vertical="center"/>
    </xf>
    <xf numFmtId="164" fontId="14" fillId="30" borderId="54" xfId="1" applyFont="1" applyFill="1" applyBorder="1" applyAlignment="1">
      <alignment horizontal="center" vertical="center"/>
    </xf>
    <xf numFmtId="172" fontId="14" fillId="31" borderId="54" xfId="1" applyNumberFormat="1" applyFont="1" applyFill="1" applyBorder="1" applyAlignment="1">
      <alignment horizontal="center" vertical="center"/>
    </xf>
    <xf numFmtId="172" fontId="14" fillId="11" borderId="54" xfId="1" applyNumberFormat="1" applyFont="1" applyFill="1" applyBorder="1" applyAlignment="1">
      <alignment horizontal="center" vertical="center"/>
    </xf>
    <xf numFmtId="164" fontId="36" fillId="22" borderId="13" xfId="1" applyFont="1" applyFill="1" applyBorder="1" applyAlignment="1">
      <alignment horizontal="center" vertical="center"/>
    </xf>
    <xf numFmtId="166" fontId="36" fillId="22" borderId="13" xfId="1" applyNumberFormat="1" applyFont="1" applyFill="1" applyBorder="1" applyAlignment="1">
      <alignment horizontal="center" vertical="center"/>
    </xf>
    <xf numFmtId="164" fontId="36" fillId="22" borderId="8" xfId="1" applyFont="1" applyFill="1" applyBorder="1" applyAlignment="1">
      <alignment horizontal="center" vertical="center"/>
    </xf>
    <xf numFmtId="172" fontId="36" fillId="22" borderId="18" xfId="1" applyNumberFormat="1" applyFont="1" applyFill="1" applyBorder="1" applyAlignment="1">
      <alignment horizontal="center" vertical="center"/>
    </xf>
    <xf numFmtId="4" fontId="36" fillId="22" borderId="8" xfId="1" applyNumberFormat="1" applyFont="1" applyFill="1" applyBorder="1" applyAlignment="1">
      <alignment horizontal="center" vertical="center"/>
    </xf>
    <xf numFmtId="172" fontId="37" fillId="22" borderId="18" xfId="1" applyNumberFormat="1" applyFont="1" applyFill="1" applyBorder="1" applyAlignment="1">
      <alignment horizontal="center" vertical="center"/>
    </xf>
    <xf numFmtId="164" fontId="36" fillId="22" borderId="62" xfId="1" applyFont="1" applyFill="1" applyBorder="1" applyAlignment="1">
      <alignment horizontal="center" vertical="center"/>
    </xf>
    <xf numFmtId="172" fontId="36" fillId="22" borderId="62" xfId="1" applyNumberFormat="1" applyFont="1" applyFill="1" applyBorder="1" applyAlignment="1">
      <alignment horizontal="center" vertical="center"/>
    </xf>
    <xf numFmtId="0" fontId="14" fillId="0" borderId="0" xfId="0" applyFont="1"/>
    <xf numFmtId="0" fontId="9" fillId="13" borderId="61" xfId="0" applyFont="1" applyFill="1" applyBorder="1"/>
    <xf numFmtId="0" fontId="32" fillId="13" borderId="61" xfId="0" applyFont="1" applyFill="1" applyBorder="1"/>
    <xf numFmtId="10" fontId="23" fillId="13" borderId="6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61" xfId="1" applyNumberFormat="1" applyFont="1" applyBorder="1" applyAlignment="1">
      <alignment horizontal="right" vertical="center"/>
    </xf>
    <xf numFmtId="173" fontId="33" fillId="0" borderId="61" xfId="0" applyNumberFormat="1" applyFont="1" applyBorder="1" applyAlignment="1">
      <alignment horizontal="center" vertical="center"/>
    </xf>
    <xf numFmtId="4" fontId="8" fillId="0" borderId="61" xfId="0" applyNumberFormat="1" applyFont="1" applyBorder="1" applyAlignment="1">
      <alignment horizontal="right" vertical="center"/>
    </xf>
    <xf numFmtId="0" fontId="9" fillId="32" borderId="3" xfId="0" applyFont="1" applyFill="1" applyBorder="1"/>
    <xf numFmtId="10" fontId="23" fillId="32" borderId="3" xfId="0" applyNumberFormat="1" applyFont="1" applyFill="1" applyBorder="1" applyAlignment="1" applyProtection="1">
      <alignment horizontal="center" vertical="center"/>
      <protection locked="0"/>
    </xf>
    <xf numFmtId="4" fontId="8" fillId="0" borderId="3" xfId="1" applyNumberFormat="1" applyFont="1" applyBorder="1" applyAlignment="1">
      <alignment horizontal="right" vertical="center"/>
    </xf>
    <xf numFmtId="173" fontId="33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164" fontId="14" fillId="0" borderId="3" xfId="1" applyFont="1" applyBorder="1" applyAlignment="1">
      <alignment horizontal="center" vertical="center"/>
    </xf>
    <xf numFmtId="172" fontId="15" fillId="23" borderId="3" xfId="0" applyNumberFormat="1" applyFont="1" applyFill="1" applyBorder="1" applyAlignment="1">
      <alignment horizontal="center" vertical="center" wrapText="1"/>
    </xf>
    <xf numFmtId="0" fontId="9" fillId="32" borderId="54" xfId="0" applyFont="1" applyFill="1" applyBorder="1"/>
    <xf numFmtId="10" fontId="23" fillId="32" borderId="54" xfId="0" applyNumberFormat="1" applyFont="1" applyFill="1" applyBorder="1" applyAlignment="1" applyProtection="1">
      <alignment horizontal="center" vertical="center"/>
      <protection locked="0"/>
    </xf>
    <xf numFmtId="4" fontId="8" fillId="0" borderId="54" xfId="1" applyNumberFormat="1" applyFont="1" applyBorder="1" applyAlignment="1">
      <alignment horizontal="right" vertical="center"/>
    </xf>
    <xf numFmtId="173" fontId="33" fillId="0" borderId="54" xfId="0" applyNumberFormat="1" applyFont="1" applyBorder="1" applyAlignment="1">
      <alignment horizontal="center" vertical="center"/>
    </xf>
    <xf numFmtId="4" fontId="8" fillId="0" borderId="54" xfId="0" applyNumberFormat="1" applyFont="1" applyBorder="1" applyAlignment="1">
      <alignment horizontal="right" vertical="center"/>
    </xf>
    <xf numFmtId="174" fontId="36" fillId="22" borderId="13" xfId="1" applyNumberFormat="1" applyFont="1" applyFill="1" applyBorder="1" applyAlignment="1">
      <alignment horizontal="center" vertical="center"/>
    </xf>
    <xf numFmtId="4" fontId="36" fillId="22" borderId="8" xfId="1" applyNumberFormat="1" applyFont="1" applyFill="1" applyBorder="1" applyAlignment="1">
      <alignment horizontal="right" vertical="center"/>
    </xf>
    <xf numFmtId="4" fontId="36" fillId="22" borderId="18" xfId="1" applyNumberFormat="1" applyFont="1" applyFill="1" applyBorder="1" applyAlignment="1">
      <alignment horizontal="center" vertical="center"/>
    </xf>
    <xf numFmtId="4" fontId="36" fillId="22" borderId="62" xfId="1" applyNumberFormat="1" applyFont="1" applyFill="1" applyBorder="1" applyAlignment="1">
      <alignment horizontal="right" vertical="center"/>
    </xf>
    <xf numFmtId="173" fontId="33" fillId="0" borderId="61" xfId="1" applyNumberFormat="1" applyFont="1" applyBorder="1" applyAlignment="1">
      <alignment horizontal="center" vertical="center"/>
    </xf>
    <xf numFmtId="0" fontId="14" fillId="32" borderId="44" xfId="0" applyFont="1" applyFill="1" applyBorder="1" applyAlignment="1" applyProtection="1">
      <alignment horizontal="left" vertical="center"/>
      <protection locked="0"/>
    </xf>
    <xf numFmtId="0" fontId="14" fillId="32" borderId="3" xfId="0" applyFont="1" applyFill="1" applyBorder="1" applyAlignment="1" applyProtection="1">
      <alignment horizontal="center" vertical="center"/>
      <protection locked="0"/>
    </xf>
    <xf numFmtId="173" fontId="33" fillId="0" borderId="3" xfId="1" applyNumberFormat="1" applyFont="1" applyBorder="1" applyAlignment="1">
      <alignment horizontal="center" vertical="center"/>
    </xf>
    <xf numFmtId="0" fontId="14" fillId="32" borderId="44" xfId="0" applyFont="1" applyFill="1" applyBorder="1" applyAlignment="1" applyProtection="1">
      <alignment horizontal="left" vertical="center" wrapText="1"/>
      <protection locked="0"/>
    </xf>
    <xf numFmtId="0" fontId="14" fillId="32" borderId="3" xfId="0" applyFont="1" applyFill="1" applyBorder="1" applyAlignment="1" applyProtection="1">
      <alignment horizontal="center" vertical="center" wrapText="1"/>
      <protection locked="0"/>
    </xf>
    <xf numFmtId="0" fontId="14" fillId="32" borderId="53" xfId="0" applyFont="1" applyFill="1" applyBorder="1" applyAlignment="1" applyProtection="1">
      <alignment horizontal="left" vertical="center"/>
      <protection locked="0"/>
    </xf>
    <xf numFmtId="0" fontId="14" fillId="32" borderId="54" xfId="0" applyFont="1" applyFill="1" applyBorder="1" applyAlignment="1" applyProtection="1">
      <alignment horizontal="center" vertical="center"/>
      <protection locked="0"/>
    </xf>
    <xf numFmtId="173" fontId="33" fillId="0" borderId="54" xfId="1" applyNumberFormat="1" applyFont="1" applyBorder="1" applyAlignment="1">
      <alignment horizontal="center" vertical="center"/>
    </xf>
    <xf numFmtId="164" fontId="36" fillId="22" borderId="63" xfId="1" applyFont="1" applyFill="1" applyBorder="1" applyAlignment="1">
      <alignment horizontal="center" vertical="center"/>
    </xf>
    <xf numFmtId="166" fontId="36" fillId="22" borderId="63" xfId="1" applyNumberFormat="1" applyFont="1" applyFill="1" applyBorder="1" applyAlignment="1">
      <alignment horizontal="center" vertical="center"/>
    </xf>
    <xf numFmtId="4" fontId="36" fillId="22" borderId="24" xfId="1" applyNumberFormat="1" applyFont="1" applyFill="1" applyBorder="1" applyAlignment="1">
      <alignment horizontal="right" vertical="center"/>
    </xf>
    <xf numFmtId="172" fontId="36" fillId="22" borderId="25" xfId="1" applyNumberFormat="1" applyFont="1" applyFill="1" applyBorder="1" applyAlignment="1">
      <alignment horizontal="center" vertical="center"/>
    </xf>
    <xf numFmtId="4" fontId="36" fillId="22" borderId="25" xfId="1" applyNumberFormat="1" applyFont="1" applyFill="1" applyBorder="1" applyAlignment="1">
      <alignment horizontal="center" vertical="center"/>
    </xf>
    <xf numFmtId="172" fontId="38" fillId="22" borderId="25" xfId="1" applyNumberFormat="1" applyFont="1" applyFill="1" applyBorder="1" applyAlignment="1">
      <alignment horizontal="center" vertical="center"/>
    </xf>
    <xf numFmtId="4" fontId="36" fillId="22" borderId="64" xfId="1" applyNumberFormat="1" applyFont="1" applyFill="1" applyBorder="1" applyAlignment="1">
      <alignment horizontal="right" vertical="center"/>
    </xf>
    <xf numFmtId="172" fontId="36" fillId="22" borderId="64" xfId="1" applyNumberFormat="1" applyFont="1" applyFill="1" applyBorder="1" applyAlignment="1">
      <alignment horizontal="center" vertical="center"/>
    </xf>
    <xf numFmtId="164" fontId="36" fillId="22" borderId="64" xfId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2" fontId="29" fillId="0" borderId="0" xfId="0" applyNumberFormat="1" applyFont="1" applyAlignment="1">
      <alignment horizontal="center"/>
    </xf>
    <xf numFmtId="0" fontId="39" fillId="0" borderId="0" xfId="0" applyFont="1"/>
    <xf numFmtId="4" fontId="41" fillId="2" borderId="66" xfId="0" applyNumberFormat="1" applyFont="1" applyFill="1" applyBorder="1" applyAlignment="1">
      <alignment horizontal="center" vertical="center"/>
    </xf>
    <xf numFmtId="0" fontId="40" fillId="2" borderId="66" xfId="0" applyFont="1" applyFill="1" applyBorder="1" applyAlignment="1">
      <alignment vertical="center"/>
    </xf>
    <xf numFmtId="0" fontId="41" fillId="2" borderId="66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left" vertical="center"/>
    </xf>
    <xf numFmtId="0" fontId="36" fillId="2" borderId="66" xfId="0" applyFont="1" applyFill="1" applyBorder="1" applyAlignment="1">
      <alignment horizontal="center" vertical="center"/>
    </xf>
    <xf numFmtId="4" fontId="36" fillId="2" borderId="66" xfId="0" applyNumberFormat="1" applyFont="1" applyFill="1" applyBorder="1" applyAlignment="1">
      <alignment horizontal="center" vertical="center"/>
    </xf>
    <xf numFmtId="4" fontId="42" fillId="2" borderId="67" xfId="0" applyNumberFormat="1" applyFont="1" applyFill="1" applyBorder="1" applyAlignment="1">
      <alignment horizontal="center" vertical="center"/>
    </xf>
    <xf numFmtId="4" fontId="43" fillId="2" borderId="6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4" fontId="36" fillId="2" borderId="0" xfId="0" applyNumberFormat="1" applyFont="1" applyFill="1" applyAlignment="1">
      <alignment horizontal="center" vertical="center"/>
    </xf>
    <xf numFmtId="4" fontId="41" fillId="2" borderId="0" xfId="0" applyNumberFormat="1" applyFont="1" applyFill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41" fillId="2" borderId="69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4" fontId="36" fillId="2" borderId="69" xfId="0" applyNumberFormat="1" applyFont="1" applyFill="1" applyBorder="1" applyAlignment="1">
      <alignment horizontal="center" vertical="center"/>
    </xf>
    <xf numFmtId="4" fontId="41" fillId="2" borderId="69" xfId="0" applyNumberFormat="1" applyFont="1" applyFill="1" applyBorder="1" applyAlignment="1">
      <alignment horizontal="center" vertical="center"/>
    </xf>
    <xf numFmtId="0" fontId="35" fillId="0" borderId="0" xfId="0" applyFont="1"/>
    <xf numFmtId="0" fontId="30" fillId="17" borderId="20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31" fillId="36" borderId="22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30" fillId="35" borderId="41" xfId="0" applyFont="1" applyFill="1" applyBorder="1" applyAlignment="1">
      <alignment horizontal="center" vertical="center" wrapText="1"/>
    </xf>
    <xf numFmtId="0" fontId="30" fillId="35" borderId="36" xfId="0" applyFont="1" applyFill="1" applyBorder="1" applyAlignment="1">
      <alignment horizontal="center" vertical="center" wrapText="1"/>
    </xf>
    <xf numFmtId="0" fontId="30" fillId="29" borderId="19" xfId="0" applyFont="1" applyFill="1" applyBorder="1" applyAlignment="1">
      <alignment horizontal="center" vertical="center" wrapText="1"/>
    </xf>
    <xf numFmtId="0" fontId="29" fillId="17" borderId="33" xfId="0" applyFont="1" applyFill="1" applyBorder="1" applyAlignment="1">
      <alignment horizontal="center" vertical="center" wrapText="1"/>
    </xf>
    <xf numFmtId="0" fontId="29" fillId="9" borderId="41" xfId="0" applyFont="1" applyFill="1" applyBorder="1" applyAlignment="1">
      <alignment horizontal="center" vertical="center" wrapText="1"/>
    </xf>
    <xf numFmtId="0" fontId="44" fillId="28" borderId="34" xfId="0" applyFont="1" applyFill="1" applyBorder="1" applyAlignment="1">
      <alignment horizontal="center" vertical="center" wrapText="1"/>
    </xf>
    <xf numFmtId="0" fontId="26" fillId="0" borderId="42" xfId="0" applyFont="1" applyBorder="1" applyAlignment="1" applyProtection="1">
      <alignment horizontal="left" vertical="center"/>
      <protection locked="0"/>
    </xf>
    <xf numFmtId="10" fontId="26" fillId="0" borderId="72" xfId="0" applyNumberFormat="1" applyFont="1" applyBorder="1" applyAlignment="1" applyProtection="1">
      <alignment horizontal="center" vertical="center"/>
      <protection locked="0"/>
    </xf>
    <xf numFmtId="4" fontId="14" fillId="0" borderId="30" xfId="0" applyNumberFormat="1" applyFont="1" applyBorder="1" applyAlignment="1" applyProtection="1">
      <alignment horizontal="right" vertical="center"/>
      <protection locked="0"/>
    </xf>
    <xf numFmtId="164" fontId="14" fillId="0" borderId="73" xfId="1" applyFont="1" applyBorder="1" applyAlignment="1">
      <alignment horizontal="center" vertical="center"/>
    </xf>
    <xf numFmtId="164" fontId="14" fillId="0" borderId="74" xfId="1" applyFont="1" applyBorder="1" applyAlignment="1">
      <alignment horizontal="center" vertical="center"/>
    </xf>
    <xf numFmtId="164" fontId="14" fillId="0" borderId="7" xfId="1" applyFont="1" applyBorder="1" applyAlignment="1">
      <alignment horizontal="center" vertical="center"/>
    </xf>
    <xf numFmtId="164" fontId="14" fillId="0" borderId="75" xfId="1" applyFont="1" applyBorder="1" applyAlignment="1">
      <alignment horizontal="center" vertical="center"/>
    </xf>
    <xf numFmtId="164" fontId="23" fillId="35" borderId="42" xfId="1" applyFont="1" applyFill="1" applyBorder="1" applyAlignment="1">
      <alignment horizontal="center" vertical="center"/>
    </xf>
    <xf numFmtId="164" fontId="23" fillId="29" borderId="42" xfId="1" applyFont="1" applyFill="1" applyBorder="1" applyAlignment="1">
      <alignment horizontal="center" vertical="center"/>
    </xf>
    <xf numFmtId="164" fontId="23" fillId="30" borderId="43" xfId="1" applyFont="1" applyFill="1" applyBorder="1" applyAlignment="1">
      <alignment horizontal="center" vertical="center"/>
    </xf>
    <xf numFmtId="2" fontId="23" fillId="31" borderId="76" xfId="1" applyNumberFormat="1" applyFont="1" applyFill="1" applyBorder="1" applyAlignment="1">
      <alignment horizontal="center" vertical="center"/>
    </xf>
    <xf numFmtId="2" fontId="23" fillId="11" borderId="43" xfId="1" applyNumberFormat="1" applyFont="1" applyFill="1" applyBorder="1" applyAlignment="1">
      <alignment horizontal="center" vertical="center"/>
    </xf>
    <xf numFmtId="164" fontId="23" fillId="37" borderId="2" xfId="1" applyFont="1" applyFill="1" applyBorder="1" applyAlignment="1">
      <alignment horizontal="center" vertical="center"/>
    </xf>
    <xf numFmtId="0" fontId="23" fillId="0" borderId="77" xfId="0" applyFont="1" applyBorder="1" applyAlignment="1" applyProtection="1">
      <alignment horizontal="left" vertical="center"/>
      <protection locked="0"/>
    </xf>
    <xf numFmtId="10" fontId="26" fillId="0" borderId="78" xfId="0" applyNumberFormat="1" applyFont="1" applyBorder="1" applyAlignment="1" applyProtection="1">
      <alignment horizontal="center" vertical="center"/>
      <protection locked="0"/>
    </xf>
    <xf numFmtId="4" fontId="14" fillId="0" borderId="44" xfId="0" applyNumberFormat="1" applyFont="1" applyBorder="1" applyAlignment="1" applyProtection="1">
      <alignment horizontal="right" vertical="center"/>
      <protection locked="0"/>
    </xf>
    <xf numFmtId="164" fontId="14" fillId="0" borderId="79" xfId="1" applyFont="1" applyBorder="1" applyAlignment="1">
      <alignment horizontal="center" vertical="center"/>
    </xf>
    <xf numFmtId="164" fontId="14" fillId="0" borderId="80" xfId="1" applyFont="1" applyBorder="1" applyAlignment="1">
      <alignment horizontal="center" vertical="center"/>
    </xf>
    <xf numFmtId="164" fontId="23" fillId="35" borderId="77" xfId="1" applyFont="1" applyFill="1" applyBorder="1" applyAlignment="1">
      <alignment vertical="center"/>
    </xf>
    <xf numFmtId="164" fontId="23" fillId="35" borderId="77" xfId="1" applyFont="1" applyFill="1" applyBorder="1" applyAlignment="1">
      <alignment horizontal="center" vertical="center"/>
    </xf>
    <xf numFmtId="164" fontId="23" fillId="29" borderId="77" xfId="1" applyFont="1" applyFill="1" applyBorder="1" applyAlignment="1">
      <alignment horizontal="center" vertical="center"/>
    </xf>
    <xf numFmtId="164" fontId="23" fillId="30" borderId="45" xfId="1" applyFont="1" applyFill="1" applyBorder="1" applyAlignment="1">
      <alignment horizontal="center" vertical="center"/>
    </xf>
    <xf numFmtId="2" fontId="23" fillId="31" borderId="15" xfId="1" applyNumberFormat="1" applyFont="1" applyFill="1" applyBorder="1" applyAlignment="1">
      <alignment horizontal="center" vertical="center"/>
    </xf>
    <xf numFmtId="172" fontId="23" fillId="11" borderId="31" xfId="1" applyNumberFormat="1" applyFont="1" applyFill="1" applyBorder="1" applyAlignment="1">
      <alignment horizontal="center" vertical="center"/>
    </xf>
    <xf numFmtId="164" fontId="23" fillId="37" borderId="15" xfId="1" applyFont="1" applyFill="1" applyBorder="1" applyAlignment="1">
      <alignment horizontal="center" vertical="center"/>
    </xf>
    <xf numFmtId="172" fontId="23" fillId="11" borderId="45" xfId="1" applyNumberFormat="1" applyFont="1" applyFill="1" applyBorder="1" applyAlignment="1">
      <alignment horizontal="center" vertical="center"/>
    </xf>
    <xf numFmtId="164" fontId="12" fillId="0" borderId="0" xfId="1"/>
    <xf numFmtId="0" fontId="23" fillId="0" borderId="81" xfId="0" applyFont="1" applyBorder="1" applyAlignment="1" applyProtection="1">
      <alignment horizontal="left" vertical="center"/>
      <protection locked="0"/>
    </xf>
    <xf numFmtId="10" fontId="26" fillId="0" borderId="82" xfId="0" applyNumberFormat="1" applyFont="1" applyBorder="1" applyAlignment="1" applyProtection="1">
      <alignment horizontal="center" vertical="center"/>
      <protection locked="0"/>
    </xf>
    <xf numFmtId="4" fontId="14" fillId="0" borderId="46" xfId="0" applyNumberFormat="1" applyFont="1" applyBorder="1" applyAlignment="1" applyProtection="1">
      <alignment horizontal="right" vertical="center"/>
      <protection locked="0"/>
    </xf>
    <xf numFmtId="164" fontId="14" fillId="0" borderId="83" xfId="1" applyFont="1" applyBorder="1" applyAlignment="1">
      <alignment horizontal="center" vertical="center"/>
    </xf>
    <xf numFmtId="164" fontId="14" fillId="0" borderId="84" xfId="1" applyFont="1" applyBorder="1" applyAlignment="1">
      <alignment horizontal="center" vertical="center"/>
    </xf>
    <xf numFmtId="164" fontId="14" fillId="0" borderId="12" xfId="1" applyFont="1" applyBorder="1" applyAlignment="1">
      <alignment horizontal="center" vertical="center"/>
    </xf>
    <xf numFmtId="164" fontId="14" fillId="0" borderId="85" xfId="1" applyFont="1" applyBorder="1" applyAlignment="1">
      <alignment horizontal="center" vertical="center"/>
    </xf>
    <xf numFmtId="0" fontId="45" fillId="22" borderId="20" xfId="0" applyFont="1" applyFill="1" applyBorder="1" applyAlignment="1">
      <alignment horizontal="center" vertical="center"/>
    </xf>
    <xf numFmtId="164" fontId="26" fillId="22" borderId="48" xfId="1" applyFont="1" applyFill="1" applyBorder="1" applyAlignment="1">
      <alignment horizontal="center" vertical="center"/>
    </xf>
    <xf numFmtId="164" fontId="26" fillId="35" borderId="21" xfId="1" applyFont="1" applyFill="1" applyBorder="1" applyAlignment="1">
      <alignment horizontal="center" vertical="center"/>
    </xf>
    <xf numFmtId="164" fontId="26" fillId="35" borderId="27" xfId="1" applyFont="1" applyFill="1" applyBorder="1" applyAlignment="1">
      <alignment horizontal="center" vertical="center"/>
    </xf>
    <xf numFmtId="164" fontId="26" fillId="35" borderId="40" xfId="1" applyFont="1" applyFill="1" applyBorder="1" applyAlignment="1">
      <alignment horizontal="center" vertical="center"/>
    </xf>
    <xf numFmtId="164" fontId="26" fillId="27" borderId="28" xfId="1" applyFont="1" applyFill="1" applyBorder="1" applyAlignment="1">
      <alignment horizontal="center" vertical="center"/>
    </xf>
    <xf numFmtId="164" fontId="26" fillId="27" borderId="27" xfId="1" applyFont="1" applyFill="1" applyBorder="1" applyAlignment="1">
      <alignment horizontal="center" vertical="center"/>
    </xf>
    <xf numFmtId="164" fontId="29" fillId="17" borderId="20" xfId="0" applyNumberFormat="1" applyFont="1" applyFill="1" applyBorder="1" applyAlignment="1">
      <alignment horizontal="center" vertical="center" wrapText="1"/>
    </xf>
    <xf numFmtId="164" fontId="29" fillId="9" borderId="19" xfId="0" applyNumberFormat="1" applyFont="1" applyFill="1" applyBorder="1" applyAlignment="1">
      <alignment horizontal="center" vertical="center" wrapText="1"/>
    </xf>
    <xf numFmtId="164" fontId="44" fillId="28" borderId="22" xfId="0" applyNumberFormat="1" applyFont="1" applyFill="1" applyBorder="1" applyAlignment="1">
      <alignment horizontal="center" vertical="center" wrapText="1"/>
    </xf>
    <xf numFmtId="164" fontId="26" fillId="36" borderId="21" xfId="1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2" fontId="29" fillId="9" borderId="2" xfId="0" applyNumberFormat="1" applyFont="1" applyFill="1" applyBorder="1" applyAlignment="1">
      <alignment horizontal="center"/>
    </xf>
    <xf numFmtId="2" fontId="32" fillId="0" borderId="20" xfId="0" applyNumberFormat="1" applyFont="1" applyBorder="1" applyAlignment="1">
      <alignment horizontal="right"/>
    </xf>
    <xf numFmtId="2" fontId="29" fillId="0" borderId="29" xfId="0" applyNumberFormat="1" applyFont="1" applyBorder="1" applyAlignment="1">
      <alignment horizontal="left"/>
    </xf>
    <xf numFmtId="2" fontId="29" fillId="0" borderId="28" xfId="0" applyNumberFormat="1" applyFont="1" applyBorder="1" applyAlignment="1">
      <alignment horizontal="left"/>
    </xf>
    <xf numFmtId="2" fontId="29" fillId="0" borderId="22" xfId="0" applyNumberFormat="1" applyFont="1" applyBorder="1" applyAlignment="1">
      <alignment horizontal="left"/>
    </xf>
    <xf numFmtId="2" fontId="29" fillId="0" borderId="0" xfId="0" applyNumberFormat="1" applyFont="1" applyAlignment="1">
      <alignment horizontal="left"/>
    </xf>
    <xf numFmtId="2" fontId="29" fillId="9" borderId="77" xfId="0" applyNumberFormat="1" applyFont="1" applyFill="1" applyBorder="1" applyAlignment="1">
      <alignment horizontal="center"/>
    </xf>
    <xf numFmtId="2" fontId="29" fillId="9" borderId="44" xfId="0" applyNumberFormat="1" applyFont="1" applyFill="1" applyBorder="1" applyAlignment="1">
      <alignment horizontal="center"/>
    </xf>
    <xf numFmtId="2" fontId="29" fillId="9" borderId="3" xfId="0" applyNumberFormat="1" applyFont="1" applyFill="1" applyBorder="1" applyAlignment="1">
      <alignment horizontal="center"/>
    </xf>
    <xf numFmtId="2" fontId="29" fillId="9" borderId="80" xfId="0" applyNumberFormat="1" applyFont="1" applyFill="1" applyBorder="1" applyAlignment="1">
      <alignment horizontal="center"/>
    </xf>
    <xf numFmtId="2" fontId="29" fillId="9" borderId="15" xfId="0" applyNumberFormat="1" applyFont="1" applyFill="1" applyBorder="1" applyAlignment="1">
      <alignment horizontal="center"/>
    </xf>
    <xf numFmtId="0" fontId="21" fillId="0" borderId="0" xfId="0" applyFont="1"/>
    <xf numFmtId="2" fontId="29" fillId="9" borderId="86" xfId="0" applyNumberFormat="1" applyFont="1" applyFill="1" applyBorder="1" applyAlignment="1">
      <alignment horizontal="center"/>
    </xf>
    <xf numFmtId="2" fontId="29" fillId="9" borderId="87" xfId="0" applyNumberFormat="1" applyFont="1" applyFill="1" applyBorder="1" applyAlignment="1">
      <alignment horizontal="center"/>
    </xf>
    <xf numFmtId="2" fontId="29" fillId="9" borderId="88" xfId="0" applyNumberFormat="1" applyFont="1" applyFill="1" applyBorder="1" applyAlignment="1">
      <alignment horizontal="center"/>
    </xf>
    <xf numFmtId="2" fontId="29" fillId="9" borderId="89" xfId="0" applyNumberFormat="1" applyFont="1" applyFill="1" applyBorder="1" applyAlignment="1">
      <alignment horizontal="center"/>
    </xf>
    <xf numFmtId="2" fontId="29" fillId="15" borderId="30" xfId="0" applyNumberFormat="1" applyFont="1" applyFill="1" applyBorder="1" applyAlignment="1">
      <alignment horizontal="center"/>
    </xf>
    <xf numFmtId="175" fontId="29" fillId="15" borderId="30" xfId="0" applyNumberFormat="1" applyFont="1" applyFill="1" applyBorder="1" applyAlignment="1">
      <alignment horizontal="center"/>
    </xf>
    <xf numFmtId="175" fontId="29" fillId="15" borderId="7" xfId="0" applyNumberFormat="1" applyFont="1" applyFill="1" applyBorder="1" applyAlignment="1">
      <alignment horizontal="center"/>
    </xf>
    <xf numFmtId="176" fontId="29" fillId="15" borderId="7" xfId="0" applyNumberFormat="1" applyFont="1" applyFill="1" applyBorder="1" applyAlignment="1">
      <alignment horizontal="center"/>
    </xf>
    <xf numFmtId="176" fontId="29" fillId="15" borderId="75" xfId="0" applyNumberFormat="1" applyFont="1" applyFill="1" applyBorder="1" applyAlignment="1">
      <alignment horizontal="center"/>
    </xf>
    <xf numFmtId="2" fontId="29" fillId="15" borderId="44" xfId="0" applyNumberFormat="1" applyFont="1" applyFill="1" applyBorder="1" applyAlignment="1">
      <alignment horizontal="center"/>
    </xf>
    <xf numFmtId="175" fontId="29" fillId="15" borderId="44" xfId="0" applyNumberFormat="1" applyFont="1" applyFill="1" applyBorder="1" applyAlignment="1">
      <alignment horizontal="center"/>
    </xf>
    <xf numFmtId="175" fontId="29" fillId="15" borderId="3" xfId="0" applyNumberFormat="1" applyFont="1" applyFill="1" applyBorder="1" applyAlignment="1">
      <alignment horizontal="center"/>
    </xf>
    <xf numFmtId="176" fontId="29" fillId="15" borderId="3" xfId="0" applyNumberFormat="1" applyFont="1" applyFill="1" applyBorder="1" applyAlignment="1">
      <alignment horizontal="center"/>
    </xf>
    <xf numFmtId="176" fontId="29" fillId="15" borderId="80" xfId="0" applyNumberFormat="1" applyFont="1" applyFill="1" applyBorder="1" applyAlignment="1">
      <alignment horizontal="center"/>
    </xf>
    <xf numFmtId="0" fontId="8" fillId="33" borderId="53" xfId="0" applyFont="1" applyFill="1" applyBorder="1" applyAlignment="1" applyProtection="1">
      <alignment horizontal="center" vertical="center"/>
      <protection locked="0"/>
    </xf>
    <xf numFmtId="0" fontId="14" fillId="6" borderId="53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wrapText="1"/>
    </xf>
    <xf numFmtId="0" fontId="14" fillId="24" borderId="54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14" fillId="25" borderId="90" xfId="0" applyFont="1" applyFill="1" applyBorder="1" applyAlignment="1">
      <alignment horizontal="center" vertical="center" wrapText="1"/>
    </xf>
    <xf numFmtId="0" fontId="9" fillId="0" borderId="0" xfId="0" applyFont="1"/>
    <xf numFmtId="0" fontId="46" fillId="10" borderId="33" xfId="0" applyFont="1" applyFill="1" applyBorder="1" applyAlignment="1">
      <alignment vertical="center"/>
    </xf>
    <xf numFmtId="0" fontId="46" fillId="10" borderId="0" xfId="0" applyFont="1" applyFill="1" applyAlignment="1">
      <alignment vertical="center"/>
    </xf>
    <xf numFmtId="165" fontId="5" fillId="38" borderId="60" xfId="0" applyNumberFormat="1" applyFont="1" applyFill="1" applyBorder="1" applyAlignment="1">
      <alignment horizontal="center" vertical="center"/>
    </xf>
    <xf numFmtId="165" fontId="5" fillId="38" borderId="91" xfId="0" applyNumberFormat="1" applyFont="1" applyFill="1" applyBorder="1" applyAlignment="1">
      <alignment horizontal="center" vertical="center"/>
    </xf>
    <xf numFmtId="165" fontId="5" fillId="38" borderId="43" xfId="0" applyNumberFormat="1" applyFont="1" applyFill="1" applyBorder="1" applyAlignment="1">
      <alignment horizontal="center" vertical="center" wrapText="1"/>
    </xf>
    <xf numFmtId="165" fontId="5" fillId="38" borderId="43" xfId="0" applyNumberFormat="1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vertical="center"/>
    </xf>
    <xf numFmtId="0" fontId="5" fillId="10" borderId="0" xfId="0" applyFont="1" applyFill="1" applyAlignment="1">
      <alignment horizontal="right" vertical="center"/>
    </xf>
    <xf numFmtId="177" fontId="2" fillId="38" borderId="44" xfId="1" applyNumberFormat="1" applyFont="1" applyFill="1" applyBorder="1" applyAlignment="1">
      <alignment horizontal="center" vertical="center"/>
    </xf>
    <xf numFmtId="177" fontId="2" fillId="38" borderId="77" xfId="1" applyNumberFormat="1" applyFont="1" applyFill="1" applyBorder="1" applyAlignment="1">
      <alignment horizontal="center" vertical="center"/>
    </xf>
    <xf numFmtId="177" fontId="2" fillId="38" borderId="45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165" fontId="2" fillId="38" borderId="77" xfId="0" applyNumberFormat="1" applyFont="1" applyFill="1" applyBorder="1" applyAlignment="1">
      <alignment horizontal="center" vertical="center"/>
    </xf>
    <xf numFmtId="165" fontId="2" fillId="38" borderId="45" xfId="0" applyNumberFormat="1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6" xfId="0" applyNumberFormat="1" applyFont="1" applyFill="1" applyBorder="1" applyAlignment="1">
      <alignment horizontal="center" vertical="center"/>
    </xf>
    <xf numFmtId="165" fontId="2" fillId="38" borderId="47" xfId="0" applyNumberFormat="1" applyFont="1" applyFill="1" applyBorder="1" applyAlignment="1">
      <alignment horizontal="center" vertical="center"/>
    </xf>
    <xf numFmtId="0" fontId="47" fillId="10" borderId="60" xfId="0" applyFont="1" applyFill="1" applyBorder="1" applyAlignment="1">
      <alignment horizontal="center" vertical="center"/>
    </xf>
    <xf numFmtId="0" fontId="47" fillId="39" borderId="61" xfId="0" applyFont="1" applyFill="1" applyBorder="1" applyAlignment="1">
      <alignment horizontal="center" vertical="center" wrapText="1"/>
    </xf>
    <xf numFmtId="0" fontId="47" fillId="39" borderId="92" xfId="0" applyFont="1" applyFill="1" applyBorder="1" applyAlignment="1">
      <alignment horizontal="center" vertical="center" wrapText="1"/>
    </xf>
    <xf numFmtId="0" fontId="47" fillId="39" borderId="93" xfId="0" applyFont="1" applyFill="1" applyBorder="1" applyAlignment="1">
      <alignment horizontal="center" vertical="center" wrapText="1"/>
    </xf>
    <xf numFmtId="0" fontId="47" fillId="39" borderId="94" xfId="0" applyFont="1" applyFill="1" applyBorder="1" applyAlignment="1">
      <alignment horizontal="center" vertical="center" wrapText="1"/>
    </xf>
    <xf numFmtId="0" fontId="47" fillId="41" borderId="44" xfId="0" applyFont="1" applyFill="1" applyBorder="1" applyAlignment="1">
      <alignment vertical="center" wrapText="1"/>
    </xf>
    <xf numFmtId="168" fontId="47" fillId="41" borderId="3" xfId="1" applyNumberFormat="1" applyFont="1" applyFill="1" applyBorder="1" applyAlignment="1">
      <alignment horizontal="center" vertical="center"/>
    </xf>
    <xf numFmtId="168" fontId="47" fillId="41" borderId="80" xfId="1" applyNumberFormat="1" applyFont="1" applyFill="1" applyBorder="1" applyAlignment="1">
      <alignment horizontal="center" vertical="center"/>
    </xf>
    <xf numFmtId="0" fontId="9" fillId="10" borderId="44" xfId="0" applyFont="1" applyFill="1" applyBorder="1" applyAlignment="1">
      <alignment vertical="center" wrapText="1"/>
    </xf>
    <xf numFmtId="166" fontId="48" fillId="10" borderId="3" xfId="2" applyNumberFormat="1" applyFont="1" applyFill="1" applyBorder="1" applyAlignment="1" applyProtection="1">
      <alignment vertical="center"/>
    </xf>
    <xf numFmtId="168" fontId="47" fillId="10" borderId="3" xfId="1" applyNumberFormat="1" applyFont="1" applyFill="1" applyBorder="1"/>
    <xf numFmtId="168" fontId="47" fillId="10" borderId="6" xfId="1" applyNumberFormat="1" applyFont="1" applyFill="1" applyBorder="1"/>
    <xf numFmtId="168" fontId="47" fillId="10" borderId="80" xfId="1" applyNumberFormat="1" applyFont="1" applyFill="1" applyBorder="1"/>
    <xf numFmtId="10" fontId="48" fillId="10" borderId="3" xfId="2" applyNumberFormat="1" applyFont="1" applyFill="1" applyBorder="1" applyAlignment="1" applyProtection="1">
      <alignment horizontal="right" vertical="center"/>
    </xf>
    <xf numFmtId="168" fontId="47" fillId="10" borderId="3" xfId="1" applyNumberFormat="1" applyFont="1" applyFill="1" applyBorder="1" applyAlignment="1">
      <alignment horizontal="center"/>
    </xf>
    <xf numFmtId="168" fontId="47" fillId="10" borderId="80" xfId="1" applyNumberFormat="1" applyFont="1" applyFill="1" applyBorder="1" applyAlignment="1">
      <alignment horizontal="center"/>
    </xf>
    <xf numFmtId="168" fontId="49" fillId="10" borderId="3" xfId="2" applyNumberFormat="1" applyFont="1" applyFill="1" applyBorder="1" applyAlignment="1" applyProtection="1">
      <alignment vertical="center"/>
    </xf>
    <xf numFmtId="168" fontId="47" fillId="10" borderId="6" xfId="1" applyNumberFormat="1" applyFont="1" applyFill="1" applyBorder="1" applyAlignment="1">
      <alignment horizontal="center"/>
    </xf>
    <xf numFmtId="10" fontId="49" fillId="10" borderId="3" xfId="0" applyNumberFormat="1" applyFont="1" applyFill="1" applyBorder="1" applyAlignment="1">
      <alignment vertical="center"/>
    </xf>
    <xf numFmtId="0" fontId="26" fillId="8" borderId="44" xfId="0" applyFont="1" applyFill="1" applyBorder="1" applyAlignment="1">
      <alignment horizontal="right" vertical="center"/>
    </xf>
    <xf numFmtId="9" fontId="26" fillId="8" borderId="3" xfId="0" applyNumberFormat="1" applyFont="1" applyFill="1" applyBorder="1" applyAlignment="1">
      <alignment horizontal="center" vertical="center"/>
    </xf>
    <xf numFmtId="4" fontId="26" fillId="8" borderId="3" xfId="0" applyNumberFormat="1" applyFont="1" applyFill="1" applyBorder="1" applyAlignment="1">
      <alignment horizontal="right" vertical="center"/>
    </xf>
    <xf numFmtId="4" fontId="26" fillId="8" borderId="6" xfId="0" applyNumberFormat="1" applyFont="1" applyFill="1" applyBorder="1" applyAlignment="1">
      <alignment horizontal="right" vertical="center"/>
    </xf>
    <xf numFmtId="4" fontId="26" fillId="8" borderId="80" xfId="0" applyNumberFormat="1" applyFont="1" applyFill="1" applyBorder="1" applyAlignment="1">
      <alignment horizontal="right" vertical="center"/>
    </xf>
    <xf numFmtId="0" fontId="9" fillId="10" borderId="44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9" fillId="10" borderId="80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vertical="center"/>
    </xf>
    <xf numFmtId="168" fontId="47" fillId="42" borderId="3" xfId="1" applyNumberFormat="1" applyFont="1" applyFill="1" applyBorder="1" applyAlignment="1">
      <alignment horizontal="center" vertical="center"/>
    </xf>
    <xf numFmtId="168" fontId="47" fillId="42" borderId="80" xfId="1" applyNumberFormat="1" applyFont="1" applyFill="1" applyBorder="1" applyAlignment="1">
      <alignment horizontal="center" vertical="center"/>
    </xf>
    <xf numFmtId="0" fontId="23" fillId="0" borderId="44" xfId="0" applyFont="1" applyBorder="1" applyAlignment="1">
      <alignment vertical="center"/>
    </xf>
    <xf numFmtId="10" fontId="48" fillId="10" borderId="3" xfId="2" applyNumberFormat="1" applyFont="1" applyFill="1" applyBorder="1" applyAlignment="1" applyProtection="1">
      <alignment vertical="center"/>
    </xf>
    <xf numFmtId="10" fontId="26" fillId="8" borderId="3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right" vertical="center"/>
    </xf>
    <xf numFmtId="2" fontId="26" fillId="8" borderId="80" xfId="0" applyNumberFormat="1" applyFont="1" applyFill="1" applyBorder="1" applyAlignment="1">
      <alignment horizontal="right" vertical="center"/>
    </xf>
    <xf numFmtId="0" fontId="26" fillId="3" borderId="3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26" fillId="3" borderId="80" xfId="0" applyFont="1" applyFill="1" applyBorder="1" applyAlignment="1">
      <alignment vertical="center"/>
    </xf>
    <xf numFmtId="168" fontId="47" fillId="10" borderId="3" xfId="1" applyNumberFormat="1" applyFont="1" applyFill="1" applyBorder="1" applyAlignment="1">
      <alignment vertical="center"/>
    </xf>
    <xf numFmtId="168" fontId="47" fillId="10" borderId="80" xfId="1" applyNumberFormat="1" applyFont="1" applyFill="1" applyBorder="1" applyAlignment="1">
      <alignment vertical="center"/>
    </xf>
    <xf numFmtId="178" fontId="48" fillId="10" borderId="3" xfId="2" applyNumberFormat="1" applyFont="1" applyFill="1" applyBorder="1" applyAlignment="1" applyProtection="1">
      <alignment horizontal="right" vertical="center"/>
    </xf>
    <xf numFmtId="178" fontId="48" fillId="10" borderId="3" xfId="2" applyNumberFormat="1" applyFont="1" applyFill="1" applyBorder="1" applyAlignment="1" applyProtection="1">
      <alignment vertical="center"/>
    </xf>
    <xf numFmtId="168" fontId="47" fillId="10" borderId="3" xfId="1" applyNumberFormat="1" applyFont="1" applyFill="1" applyBorder="1" applyAlignment="1">
      <alignment horizontal="center" vertical="center"/>
    </xf>
    <xf numFmtId="168" fontId="47" fillId="10" borderId="80" xfId="1" applyNumberFormat="1" applyFont="1" applyFill="1" applyBorder="1" applyAlignment="1">
      <alignment horizontal="center" vertical="center"/>
    </xf>
    <xf numFmtId="164" fontId="48" fillId="10" borderId="3" xfId="2" applyNumberFormat="1" applyFont="1" applyFill="1" applyBorder="1" applyAlignment="1" applyProtection="1">
      <alignment vertical="center"/>
    </xf>
    <xf numFmtId="168" fontId="47" fillId="10" borderId="6" xfId="1" applyNumberFormat="1" applyFont="1" applyFill="1" applyBorder="1" applyAlignment="1">
      <alignment horizontal="center" vertical="center"/>
    </xf>
    <xf numFmtId="173" fontId="48" fillId="10" borderId="3" xfId="2" applyNumberFormat="1" applyFont="1" applyFill="1" applyBorder="1" applyAlignment="1" applyProtection="1">
      <alignment vertical="center"/>
    </xf>
    <xf numFmtId="10" fontId="23" fillId="0" borderId="3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vertical="center"/>
    </xf>
    <xf numFmtId="4" fontId="23" fillId="0" borderId="80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6" fillId="3" borderId="3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80" xfId="0" applyFont="1" applyFill="1" applyBorder="1" applyAlignment="1">
      <alignment horizontal="center" vertical="center"/>
    </xf>
    <xf numFmtId="2" fontId="23" fillId="0" borderId="3" xfId="0" applyNumberFormat="1" applyFont="1" applyBorder="1" applyAlignment="1">
      <alignment horizontal="right" vertical="center"/>
    </xf>
    <xf numFmtId="2" fontId="23" fillId="0" borderId="80" xfId="0" applyNumberFormat="1" applyFont="1" applyBorder="1" applyAlignment="1">
      <alignment horizontal="right" vertical="center"/>
    </xf>
    <xf numFmtId="10" fontId="48" fillId="10" borderId="3" xfId="2" applyNumberFormat="1" applyFont="1" applyFill="1" applyBorder="1" applyAlignment="1" applyProtection="1">
      <alignment vertical="center"/>
      <protection locked="0"/>
    </xf>
    <xf numFmtId="0" fontId="47" fillId="43" borderId="44" xfId="0" applyFont="1" applyFill="1" applyBorder="1" applyAlignment="1">
      <alignment horizontal="right" vertical="center" wrapText="1"/>
    </xf>
    <xf numFmtId="10" fontId="47" fillId="43" borderId="3" xfId="0" applyNumberFormat="1" applyFont="1" applyFill="1" applyBorder="1" applyAlignment="1">
      <alignment horizontal="right" vertical="center" wrapText="1"/>
    </xf>
    <xf numFmtId="168" fontId="47" fillId="43" borderId="3" xfId="0" applyNumberFormat="1" applyFont="1" applyFill="1" applyBorder="1" applyAlignment="1">
      <alignment vertical="center"/>
    </xf>
    <xf numFmtId="168" fontId="47" fillId="43" borderId="80" xfId="0" applyNumberFormat="1" applyFont="1" applyFill="1" applyBorder="1" applyAlignment="1">
      <alignment vertical="center"/>
    </xf>
    <xf numFmtId="168" fontId="47" fillId="43" borderId="3" xfId="0" applyNumberFormat="1" applyFont="1" applyFill="1" applyBorder="1" applyAlignment="1">
      <alignment horizontal="right" vertical="center"/>
    </xf>
    <xf numFmtId="168" fontId="47" fillId="43" borderId="80" xfId="0" applyNumberFormat="1" applyFont="1" applyFill="1" applyBorder="1" applyAlignment="1">
      <alignment horizontal="right" vertical="center"/>
    </xf>
    <xf numFmtId="0" fontId="47" fillId="40" borderId="81" xfId="0" applyFont="1" applyFill="1" applyBorder="1" applyAlignment="1">
      <alignment vertical="center" wrapText="1"/>
    </xf>
    <xf numFmtId="0" fontId="47" fillId="40" borderId="4" xfId="0" applyFont="1" applyFill="1" applyBorder="1" applyAlignment="1">
      <alignment vertical="center" wrapText="1"/>
    </xf>
    <xf numFmtId="0" fontId="47" fillId="40" borderId="50" xfId="0" applyFont="1" applyFill="1" applyBorder="1" applyAlignment="1">
      <alignment vertical="center" wrapText="1"/>
    </xf>
    <xf numFmtId="170" fontId="48" fillId="10" borderId="3" xfId="2" applyNumberFormat="1" applyFont="1" applyFill="1" applyBorder="1" applyProtection="1"/>
    <xf numFmtId="0" fontId="23" fillId="0" borderId="44" xfId="0" applyFont="1" applyBorder="1" applyAlignment="1">
      <alignment wrapText="1"/>
    </xf>
    <xf numFmtId="170" fontId="48" fillId="10" borderId="3" xfId="2" applyNumberFormat="1" applyFont="1" applyFill="1" applyBorder="1" applyAlignment="1" applyProtection="1">
      <alignment vertical="center"/>
    </xf>
    <xf numFmtId="0" fontId="23" fillId="44" borderId="44" xfId="0" applyFont="1" applyFill="1" applyBorder="1" applyAlignment="1">
      <alignment wrapText="1"/>
    </xf>
    <xf numFmtId="10" fontId="48" fillId="44" borderId="3" xfId="2" applyNumberFormat="1" applyFont="1" applyFill="1" applyBorder="1" applyAlignment="1" applyProtection="1">
      <alignment vertical="center"/>
    </xf>
    <xf numFmtId="168" fontId="47" fillId="44" borderId="3" xfId="1" applyNumberFormat="1" applyFont="1" applyFill="1" applyBorder="1" applyAlignment="1">
      <alignment horizontal="center"/>
    </xf>
    <xf numFmtId="168" fontId="47" fillId="44" borderId="6" xfId="1" applyNumberFormat="1" applyFont="1" applyFill="1" applyBorder="1"/>
    <xf numFmtId="168" fontId="47" fillId="44" borderId="80" xfId="1" applyNumberFormat="1" applyFont="1" applyFill="1" applyBorder="1" applyAlignment="1">
      <alignment horizontal="right"/>
    </xf>
    <xf numFmtId="0" fontId="49" fillId="43" borderId="3" xfId="0" applyFont="1" applyFill="1" applyBorder="1" applyAlignment="1">
      <alignment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85" xfId="0" applyFont="1" applyFill="1" applyBorder="1" applyAlignment="1">
      <alignment horizontal="center" vertical="center"/>
    </xf>
    <xf numFmtId="0" fontId="47" fillId="45" borderId="44" xfId="0" applyFont="1" applyFill="1" applyBorder="1" applyAlignment="1">
      <alignment vertical="center" wrapText="1"/>
    </xf>
    <xf numFmtId="10" fontId="48" fillId="45" borderId="3" xfId="2" applyNumberFormat="1" applyFont="1" applyFill="1" applyBorder="1" applyAlignment="1" applyProtection="1">
      <alignment vertical="center"/>
    </xf>
    <xf numFmtId="168" fontId="47" fillId="45" borderId="3" xfId="1" applyNumberFormat="1" applyFont="1" applyFill="1" applyBorder="1" applyAlignment="1">
      <alignment horizontal="right" vertical="center"/>
    </xf>
    <xf numFmtId="168" fontId="47" fillId="45" borderId="80" xfId="1" applyNumberFormat="1" applyFont="1" applyFill="1" applyBorder="1" applyAlignment="1">
      <alignment horizontal="right" vertical="center"/>
    </xf>
    <xf numFmtId="168" fontId="9" fillId="0" borderId="3" xfId="1" applyNumberFormat="1" applyFont="1" applyBorder="1" applyAlignment="1">
      <alignment horizontal="right" vertical="center"/>
    </xf>
    <xf numFmtId="168" fontId="9" fillId="0" borderId="80" xfId="1" applyNumberFormat="1" applyFont="1" applyBorder="1" applyAlignment="1">
      <alignment horizontal="right" vertical="center"/>
    </xf>
    <xf numFmtId="168" fontId="9" fillId="0" borderId="12" xfId="1" applyNumberFormat="1" applyFont="1" applyBorder="1" applyAlignment="1">
      <alignment horizontal="right" vertical="center"/>
    </xf>
    <xf numFmtId="168" fontId="9" fillId="0" borderId="85" xfId="1" applyNumberFormat="1" applyFont="1" applyBorder="1" applyAlignment="1">
      <alignment horizontal="right" vertical="center"/>
    </xf>
    <xf numFmtId="4" fontId="9" fillId="0" borderId="0" xfId="0" applyNumberFormat="1" applyFont="1"/>
    <xf numFmtId="168" fontId="9" fillId="0" borderId="3" xfId="1" applyNumberFormat="1" applyFont="1" applyBorder="1" applyAlignment="1">
      <alignment vertical="center"/>
    </xf>
    <xf numFmtId="168" fontId="9" fillId="0" borderId="80" xfId="1" applyNumberFormat="1" applyFont="1" applyBorder="1" applyAlignment="1">
      <alignment vertical="center"/>
    </xf>
    <xf numFmtId="10" fontId="48" fillId="10" borderId="12" xfId="2" applyNumberFormat="1" applyFont="1" applyFill="1" applyBorder="1" applyAlignment="1" applyProtection="1">
      <alignment vertical="center"/>
    </xf>
    <xf numFmtId="168" fontId="9" fillId="0" borderId="12" xfId="1" applyNumberFormat="1" applyFont="1" applyBorder="1" applyAlignment="1">
      <alignment vertical="center"/>
    </xf>
    <xf numFmtId="168" fontId="9" fillId="0" borderId="85" xfId="1" applyNumberFormat="1" applyFont="1" applyBorder="1" applyAlignment="1">
      <alignment vertical="center"/>
    </xf>
    <xf numFmtId="10" fontId="48" fillId="46" borderId="91" xfId="2" applyNumberFormat="1" applyFont="1" applyFill="1" applyBorder="1" applyAlignment="1" applyProtection="1">
      <alignment vertical="center"/>
    </xf>
    <xf numFmtId="168" fontId="47" fillId="46" borderId="61" xfId="1" applyNumberFormat="1" applyFont="1" applyFill="1" applyBorder="1" applyAlignment="1">
      <alignment vertical="center"/>
    </xf>
    <xf numFmtId="168" fontId="47" fillId="46" borderId="95" xfId="1" applyNumberFormat="1" applyFont="1" applyFill="1" applyBorder="1" applyAlignment="1">
      <alignment vertical="center"/>
    </xf>
    <xf numFmtId="10" fontId="48" fillId="46" borderId="77" xfId="2" applyNumberFormat="1" applyFont="1" applyFill="1" applyBorder="1" applyAlignment="1" applyProtection="1">
      <alignment vertical="center"/>
    </xf>
    <xf numFmtId="168" fontId="47" fillId="46" borderId="3" xfId="1" applyNumberFormat="1" applyFont="1" applyFill="1" applyBorder="1" applyAlignment="1">
      <alignment vertical="center"/>
    </xf>
    <xf numFmtId="168" fontId="47" fillId="46" borderId="80" xfId="1" applyNumberFormat="1" applyFont="1" applyFill="1" applyBorder="1" applyAlignment="1">
      <alignment vertical="center"/>
    </xf>
    <xf numFmtId="10" fontId="48" fillId="46" borderId="86" xfId="2" applyNumberFormat="1" applyFont="1" applyFill="1" applyBorder="1" applyAlignment="1" applyProtection="1">
      <alignment vertical="center"/>
    </xf>
    <xf numFmtId="168" fontId="47" fillId="46" borderId="54" xfId="1" applyNumberFormat="1" applyFont="1" applyFill="1" applyBorder="1" applyAlignment="1">
      <alignment vertical="center"/>
    </xf>
    <xf numFmtId="168" fontId="47" fillId="46" borderId="90" xfId="1" applyNumberFormat="1" applyFont="1" applyFill="1" applyBorder="1" applyAlignment="1">
      <alignment vertical="center"/>
    </xf>
    <xf numFmtId="0" fontId="48" fillId="10" borderId="7" xfId="2" applyNumberFormat="1" applyFont="1" applyFill="1" applyBorder="1" applyAlignment="1" applyProtection="1">
      <alignment vertical="center"/>
    </xf>
    <xf numFmtId="168" fontId="9" fillId="10" borderId="7" xfId="1" applyNumberFormat="1" applyFont="1" applyFill="1" applyBorder="1" applyAlignment="1">
      <alignment vertical="center"/>
    </xf>
    <xf numFmtId="168" fontId="9" fillId="10" borderId="9" xfId="1" applyNumberFormat="1" applyFont="1" applyFill="1" applyBorder="1" applyAlignment="1">
      <alignment vertical="center"/>
    </xf>
    <xf numFmtId="168" fontId="9" fillId="10" borderId="75" xfId="1" applyNumberFormat="1" applyFont="1" applyFill="1" applyBorder="1" applyAlignment="1">
      <alignment vertical="center"/>
    </xf>
    <xf numFmtId="0" fontId="47" fillId="43" borderId="53" xfId="0" applyFont="1" applyFill="1" applyBorder="1" applyAlignment="1">
      <alignment horizontal="right" vertical="center" wrapText="1"/>
    </xf>
    <xf numFmtId="10" fontId="47" fillId="43" borderId="54" xfId="0" applyNumberFormat="1" applyFont="1" applyFill="1" applyBorder="1" applyAlignment="1">
      <alignment horizontal="right" vertical="center" wrapText="1"/>
    </xf>
    <xf numFmtId="168" fontId="47" fillId="43" borderId="54" xfId="0" applyNumberFormat="1" applyFont="1" applyFill="1" applyBorder="1" applyAlignment="1">
      <alignment vertical="center"/>
    </xf>
    <xf numFmtId="168" fontId="47" fillId="43" borderId="55" xfId="0" applyNumberFormat="1" applyFont="1" applyFill="1" applyBorder="1" applyAlignment="1">
      <alignment vertical="center"/>
    </xf>
    <xf numFmtId="168" fontId="47" fillId="43" borderId="90" xfId="0" applyNumberFormat="1" applyFont="1" applyFill="1" applyBorder="1" applyAlignment="1">
      <alignment vertical="center"/>
    </xf>
    <xf numFmtId="0" fontId="47" fillId="47" borderId="61" xfId="0" applyFont="1" applyFill="1" applyBorder="1" applyAlignment="1">
      <alignment horizontal="center" vertical="center" wrapText="1"/>
    </xf>
    <xf numFmtId="0" fontId="47" fillId="47" borderId="96" xfId="0" applyFont="1" applyFill="1" applyBorder="1" applyAlignment="1">
      <alignment horizontal="center" vertical="center" wrapText="1"/>
    </xf>
    <xf numFmtId="0" fontId="47" fillId="47" borderId="95" xfId="0" applyFont="1" applyFill="1" applyBorder="1" applyAlignment="1">
      <alignment horizontal="center" vertical="center" wrapText="1"/>
    </xf>
    <xf numFmtId="168" fontId="47" fillId="18" borderId="12" xfId="1" applyNumberFormat="1" applyFont="1" applyFill="1" applyBorder="1" applyAlignment="1">
      <alignment horizontal="center" vertical="center"/>
    </xf>
    <xf numFmtId="168" fontId="47" fillId="18" borderId="85" xfId="1" applyNumberFormat="1" applyFont="1" applyFill="1" applyBorder="1" applyAlignment="1">
      <alignment horizontal="center" vertical="center"/>
    </xf>
    <xf numFmtId="168" fontId="47" fillId="10" borderId="61" xfId="0" applyNumberFormat="1" applyFont="1" applyFill="1" applyBorder="1" applyAlignment="1">
      <alignment vertical="center"/>
    </xf>
    <xf numFmtId="168" fontId="47" fillId="10" borderId="95" xfId="0" applyNumberFormat="1" applyFont="1" applyFill="1" applyBorder="1" applyAlignment="1">
      <alignment vertical="center"/>
    </xf>
    <xf numFmtId="168" fontId="47" fillId="10" borderId="3" xfId="0" applyNumberFormat="1" applyFont="1" applyFill="1" applyBorder="1" applyAlignment="1">
      <alignment vertical="center"/>
    </xf>
    <xf numFmtId="168" fontId="47" fillId="10" borderId="80" xfId="0" applyNumberFormat="1" applyFont="1" applyFill="1" applyBorder="1" applyAlignment="1">
      <alignment vertical="center"/>
    </xf>
    <xf numFmtId="168" fontId="50" fillId="10" borderId="3" xfId="0" applyNumberFormat="1" applyFont="1" applyFill="1" applyBorder="1" applyAlignment="1">
      <alignment vertical="center"/>
    </xf>
    <xf numFmtId="168" fontId="50" fillId="10" borderId="6" xfId="0" applyNumberFormat="1" applyFont="1" applyFill="1" applyBorder="1" applyAlignment="1">
      <alignment vertical="center"/>
    </xf>
    <xf numFmtId="168" fontId="50" fillId="10" borderId="80" xfId="0" applyNumberFormat="1" applyFont="1" applyFill="1" applyBorder="1" applyAlignment="1">
      <alignment vertical="center"/>
    </xf>
    <xf numFmtId="168" fontId="50" fillId="10" borderId="12" xfId="0" applyNumberFormat="1" applyFont="1" applyFill="1" applyBorder="1" applyAlignment="1">
      <alignment vertical="center"/>
    </xf>
    <xf numFmtId="168" fontId="50" fillId="10" borderId="85" xfId="0" applyNumberFormat="1" applyFont="1" applyFill="1" applyBorder="1" applyAlignment="1">
      <alignment vertical="center"/>
    </xf>
    <xf numFmtId="168" fontId="50" fillId="10" borderId="16" xfId="0" applyNumberFormat="1" applyFont="1" applyFill="1" applyBorder="1" applyAlignment="1">
      <alignment vertical="center"/>
    </xf>
    <xf numFmtId="168" fontId="50" fillId="10" borderId="50" xfId="0" applyNumberFormat="1" applyFont="1" applyFill="1" applyBorder="1" applyAlignment="1">
      <alignment vertical="center"/>
    </xf>
    <xf numFmtId="0" fontId="47" fillId="19" borderId="27" xfId="0" applyFont="1" applyFill="1" applyBorder="1" applyAlignment="1">
      <alignment vertical="center" wrapText="1"/>
    </xf>
    <xf numFmtId="0" fontId="47" fillId="19" borderId="28" xfId="0" applyFont="1" applyFill="1" applyBorder="1" applyAlignment="1">
      <alignment vertical="center" wrapText="1"/>
    </xf>
    <xf numFmtId="173" fontId="47" fillId="19" borderId="28" xfId="0" applyNumberFormat="1" applyFont="1" applyFill="1" applyBorder="1" applyAlignment="1">
      <alignment horizontal="right" vertical="center" wrapText="1"/>
    </xf>
    <xf numFmtId="173" fontId="47" fillId="19" borderId="29" xfId="0" applyNumberFormat="1" applyFont="1" applyFill="1" applyBorder="1" applyAlignment="1">
      <alignment horizontal="right" vertical="center" wrapText="1"/>
    </xf>
    <xf numFmtId="0" fontId="47" fillId="19" borderId="33" xfId="0" applyFont="1" applyFill="1" applyBorder="1" applyAlignment="1">
      <alignment vertical="center" wrapText="1"/>
    </xf>
    <xf numFmtId="0" fontId="47" fillId="19" borderId="0" xfId="0" applyFont="1" applyFill="1" applyAlignment="1">
      <alignment vertical="center" wrapText="1"/>
    </xf>
    <xf numFmtId="173" fontId="47" fillId="19" borderId="0" xfId="0" applyNumberFormat="1" applyFont="1" applyFill="1" applyAlignment="1">
      <alignment horizontal="right" vertical="center" wrapText="1"/>
    </xf>
    <xf numFmtId="173" fontId="47" fillId="19" borderId="34" xfId="0" applyNumberFormat="1" applyFont="1" applyFill="1" applyBorder="1" applyAlignment="1">
      <alignment horizontal="right" vertical="center" wrapText="1"/>
    </xf>
    <xf numFmtId="0" fontId="47" fillId="23" borderId="27" xfId="0" applyFont="1" applyFill="1" applyBorder="1" applyAlignment="1">
      <alignment vertical="center" wrapText="1"/>
    </xf>
    <xf numFmtId="0" fontId="47" fillId="23" borderId="28" xfId="0" applyFont="1" applyFill="1" applyBorder="1" applyAlignment="1">
      <alignment vertical="center" wrapText="1"/>
    </xf>
    <xf numFmtId="173" fontId="29" fillId="23" borderId="28" xfId="0" applyNumberFormat="1" applyFont="1" applyFill="1" applyBorder="1" applyAlignment="1">
      <alignment horizontal="right" vertical="center" wrapText="1"/>
    </xf>
    <xf numFmtId="173" fontId="47" fillId="23" borderId="28" xfId="0" applyNumberFormat="1" applyFont="1" applyFill="1" applyBorder="1" applyAlignment="1">
      <alignment horizontal="right" vertical="center" wrapText="1"/>
    </xf>
    <xf numFmtId="173" fontId="47" fillId="23" borderId="29" xfId="0" applyNumberFormat="1" applyFont="1" applyFill="1" applyBorder="1" applyAlignment="1">
      <alignment horizontal="right" vertical="center" wrapText="1"/>
    </xf>
    <xf numFmtId="0" fontId="47" fillId="23" borderId="33" xfId="0" applyFont="1" applyFill="1" applyBorder="1" applyAlignment="1">
      <alignment vertical="center" wrapText="1"/>
    </xf>
    <xf numFmtId="0" fontId="47" fillId="23" borderId="0" xfId="0" applyFont="1" applyFill="1" applyAlignment="1">
      <alignment vertical="center" wrapText="1"/>
    </xf>
    <xf numFmtId="173" fontId="29" fillId="23" borderId="0" xfId="0" applyNumberFormat="1" applyFont="1" applyFill="1" applyAlignment="1">
      <alignment horizontal="right" vertical="center" wrapText="1"/>
    </xf>
    <xf numFmtId="173" fontId="47" fillId="23" borderId="0" xfId="0" applyNumberFormat="1" applyFont="1" applyFill="1" applyAlignment="1">
      <alignment horizontal="right" vertical="center" wrapText="1"/>
    </xf>
    <xf numFmtId="173" fontId="47" fillId="23" borderId="34" xfId="0" applyNumberFormat="1" applyFont="1" applyFill="1" applyBorder="1" applyAlignment="1">
      <alignment horizontal="right" vertical="center" wrapText="1"/>
    </xf>
    <xf numFmtId="0" fontId="47" fillId="23" borderId="36" xfId="0" applyFont="1" applyFill="1" applyBorder="1" applyAlignment="1">
      <alignment vertical="center" wrapText="1"/>
    </xf>
    <xf numFmtId="0" fontId="47" fillId="23" borderId="1" xfId="0" applyFont="1" applyFill="1" applyBorder="1" applyAlignment="1">
      <alignment vertical="center" wrapText="1"/>
    </xf>
    <xf numFmtId="173" fontId="29" fillId="23" borderId="1" xfId="0" applyNumberFormat="1" applyFont="1" applyFill="1" applyBorder="1" applyAlignment="1">
      <alignment horizontal="right" vertical="center" wrapText="1"/>
    </xf>
    <xf numFmtId="173" fontId="47" fillId="23" borderId="1" xfId="0" applyNumberFormat="1" applyFont="1" applyFill="1" applyBorder="1" applyAlignment="1">
      <alignment horizontal="right" vertical="center" wrapText="1"/>
    </xf>
    <xf numFmtId="173" fontId="47" fillId="23" borderId="26" xfId="0" applyNumberFormat="1" applyFont="1" applyFill="1" applyBorder="1" applyAlignment="1">
      <alignment horizontal="right" vertical="center" wrapText="1"/>
    </xf>
    <xf numFmtId="0" fontId="9" fillId="0" borderId="33" xfId="0" applyFont="1" applyBorder="1"/>
    <xf numFmtId="0" fontId="47" fillId="48" borderId="3" xfId="0" applyFont="1" applyFill="1" applyBorder="1" applyAlignment="1">
      <alignment horizontal="center" vertical="center"/>
    </xf>
    <xf numFmtId="0" fontId="47" fillId="48" borderId="3" xfId="0" applyFont="1" applyFill="1" applyBorder="1" applyAlignment="1">
      <alignment horizontal="center" vertical="center" wrapText="1"/>
    </xf>
    <xf numFmtId="0" fontId="9" fillId="48" borderId="3" xfId="0" applyFont="1" applyFill="1" applyBorder="1"/>
    <xf numFmtId="179" fontId="9" fillId="48" borderId="3" xfId="0" applyNumberFormat="1" applyFont="1" applyFill="1" applyBorder="1"/>
    <xf numFmtId="168" fontId="9" fillId="48" borderId="3" xfId="0" applyNumberFormat="1" applyFont="1" applyFill="1" applyBorder="1"/>
    <xf numFmtId="0" fontId="47" fillId="48" borderId="3" xfId="0" applyFont="1" applyFill="1" applyBorder="1"/>
    <xf numFmtId="0" fontId="51" fillId="0" borderId="0" xfId="3" applyBorder="1" applyProtection="1"/>
    <xf numFmtId="0" fontId="52" fillId="6" borderId="3" xfId="0" applyFont="1" applyFill="1" applyBorder="1" applyAlignment="1">
      <alignment horizontal="right"/>
    </xf>
    <xf numFmtId="179" fontId="52" fillId="6" borderId="3" xfId="0" applyNumberFormat="1" applyFont="1" applyFill="1" applyBorder="1"/>
    <xf numFmtId="168" fontId="52" fillId="6" borderId="3" xfId="0" applyNumberFormat="1" applyFont="1" applyFill="1" applyBorder="1"/>
    <xf numFmtId="170" fontId="9" fillId="0" borderId="33" xfId="0" applyNumberFormat="1" applyFont="1" applyBorder="1"/>
    <xf numFmtId="170" fontId="9" fillId="0" borderId="0" xfId="0" applyNumberFormat="1" applyFont="1"/>
    <xf numFmtId="168" fontId="53" fillId="48" borderId="3" xfId="0" applyNumberFormat="1" applyFont="1" applyFill="1" applyBorder="1"/>
    <xf numFmtId="0" fontId="9" fillId="10" borderId="33" xfId="0" applyFont="1" applyFill="1" applyBorder="1" applyAlignment="1">
      <alignment horizontal="center" vertical="center"/>
    </xf>
    <xf numFmtId="0" fontId="9" fillId="10" borderId="0" xfId="0" applyFont="1" applyFill="1" applyAlignment="1">
      <alignment vertical="center"/>
    </xf>
    <xf numFmtId="180" fontId="9" fillId="10" borderId="0" xfId="0" applyNumberFormat="1" applyFont="1" applyFill="1" applyAlignment="1">
      <alignment vertical="center"/>
    </xf>
    <xf numFmtId="181" fontId="9" fillId="48" borderId="3" xfId="0" applyNumberFormat="1" applyFont="1" applyFill="1" applyBorder="1"/>
    <xf numFmtId="4" fontId="9" fillId="48" borderId="3" xfId="0" applyNumberFormat="1" applyFont="1" applyFill="1" applyBorder="1"/>
    <xf numFmtId="0" fontId="9" fillId="10" borderId="0" xfId="0" applyFont="1" applyFill="1"/>
    <xf numFmtId="0" fontId="0" fillId="10" borderId="0" xfId="0" applyFill="1"/>
    <xf numFmtId="0" fontId="52" fillId="24" borderId="3" xfId="0" applyFont="1" applyFill="1" applyBorder="1" applyAlignment="1">
      <alignment horizontal="right"/>
    </xf>
    <xf numFmtId="179" fontId="9" fillId="24" borderId="3" xfId="0" applyNumberFormat="1" applyFont="1" applyFill="1" applyBorder="1"/>
    <xf numFmtId="4" fontId="9" fillId="24" borderId="3" xfId="0" applyNumberFormat="1" applyFont="1" applyFill="1" applyBorder="1"/>
    <xf numFmtId="168" fontId="52" fillId="24" borderId="3" xfId="0" applyNumberFormat="1" applyFont="1" applyFill="1" applyBorder="1"/>
    <xf numFmtId="181" fontId="9" fillId="24" borderId="3" xfId="0" applyNumberFormat="1" applyFont="1" applyFill="1" applyBorder="1"/>
    <xf numFmtId="0" fontId="23" fillId="48" borderId="3" xfId="0" applyFont="1" applyFill="1" applyBorder="1"/>
    <xf numFmtId="168" fontId="54" fillId="48" borderId="3" xfId="0" applyNumberFormat="1" applyFont="1" applyFill="1" applyBorder="1"/>
    <xf numFmtId="0" fontId="45" fillId="25" borderId="3" xfId="0" applyFont="1" applyFill="1" applyBorder="1" applyAlignment="1">
      <alignment horizontal="right" vertical="center" wrapText="1"/>
    </xf>
    <xf numFmtId="182" fontId="9" fillId="25" borderId="3" xfId="0" applyNumberFormat="1" applyFont="1" applyFill="1" applyBorder="1"/>
    <xf numFmtId="4" fontId="9" fillId="25" borderId="3" xfId="0" applyNumberFormat="1" applyFont="1" applyFill="1" applyBorder="1"/>
    <xf numFmtId="168" fontId="52" fillId="25" borderId="3" xfId="0" applyNumberFormat="1" applyFont="1" applyFill="1" applyBorder="1"/>
    <xf numFmtId="0" fontId="47" fillId="39" borderId="97" xfId="0" applyFont="1" applyFill="1" applyBorder="1" applyAlignment="1">
      <alignment horizontal="center" vertical="center" wrapText="1"/>
    </xf>
    <xf numFmtId="0" fontId="47" fillId="39" borderId="98" xfId="0" applyFont="1" applyFill="1" applyBorder="1" applyAlignment="1">
      <alignment horizontal="center" vertical="center" wrapText="1"/>
    </xf>
    <xf numFmtId="168" fontId="47" fillId="41" borderId="83" xfId="1" applyNumberFormat="1" applyFont="1" applyFill="1" applyBorder="1" applyAlignment="1">
      <alignment horizontal="center" vertical="center"/>
    </xf>
    <xf numFmtId="168" fontId="47" fillId="41" borderId="99" xfId="1" applyNumberFormat="1" applyFont="1" applyFill="1" applyBorder="1" applyAlignment="1">
      <alignment horizontal="center" vertical="center"/>
    </xf>
    <xf numFmtId="168" fontId="47" fillId="10" borderId="100" xfId="1" applyNumberFormat="1" applyFont="1" applyFill="1" applyBorder="1"/>
    <xf numFmtId="168" fontId="47" fillId="10" borderId="101" xfId="1" applyNumberFormat="1" applyFont="1" applyFill="1" applyBorder="1"/>
    <xf numFmtId="168" fontId="47" fillId="10" borderId="102" xfId="1" applyNumberFormat="1" applyFont="1" applyFill="1" applyBorder="1"/>
    <xf numFmtId="2" fontId="26" fillId="8" borderId="103" xfId="0" applyNumberFormat="1" applyFont="1" applyFill="1" applyBorder="1" applyAlignment="1">
      <alignment horizontal="right" vertical="center"/>
    </xf>
    <xf numFmtId="2" fontId="26" fillId="8" borderId="99" xfId="0" applyNumberFormat="1" applyFont="1" applyFill="1" applyBorder="1" applyAlignment="1">
      <alignment horizontal="right" vertical="center"/>
    </xf>
    <xf numFmtId="2" fontId="26" fillId="8" borderId="102" xfId="0" applyNumberFormat="1" applyFont="1" applyFill="1" applyBorder="1" applyAlignment="1">
      <alignment horizontal="right" vertical="center"/>
    </xf>
    <xf numFmtId="168" fontId="47" fillId="42" borderId="102" xfId="1" applyNumberFormat="1" applyFont="1" applyFill="1" applyBorder="1" applyAlignment="1">
      <alignment horizontal="center" vertical="center"/>
    </xf>
    <xf numFmtId="0" fontId="26" fillId="3" borderId="102" xfId="0" applyFont="1" applyFill="1" applyBorder="1" applyAlignment="1">
      <alignment vertical="center"/>
    </xf>
    <xf numFmtId="168" fontId="47" fillId="10" borderId="100" xfId="1" applyNumberFormat="1" applyFont="1" applyFill="1" applyBorder="1" applyAlignment="1">
      <alignment vertical="center"/>
    </xf>
    <xf numFmtId="168" fontId="47" fillId="10" borderId="102" xfId="1" applyNumberFormat="1" applyFont="1" applyFill="1" applyBorder="1" applyAlignment="1">
      <alignment vertical="center"/>
    </xf>
    <xf numFmtId="168" fontId="47" fillId="41" borderId="102" xfId="1" applyNumberFormat="1" applyFont="1" applyFill="1" applyBorder="1" applyAlignment="1">
      <alignment horizontal="center" vertical="center"/>
    </xf>
    <xf numFmtId="4" fontId="23" fillId="0" borderId="102" xfId="0" applyNumberFormat="1" applyFont="1" applyBorder="1" applyAlignment="1">
      <alignment vertical="center"/>
    </xf>
    <xf numFmtId="168" fontId="47" fillId="41" borderId="6" xfId="1" applyNumberFormat="1" applyFont="1" applyFill="1" applyBorder="1" applyAlignment="1">
      <alignment horizontal="center" vertical="center"/>
    </xf>
    <xf numFmtId="0" fontId="26" fillId="3" borderId="106" xfId="0" applyFont="1" applyFill="1" applyBorder="1" applyAlignment="1">
      <alignment horizontal="center" vertical="center"/>
    </xf>
    <xf numFmtId="0" fontId="26" fillId="3" borderId="75" xfId="0" applyFont="1" applyFill="1" applyBorder="1" applyAlignment="1">
      <alignment horizontal="center" vertical="center"/>
    </xf>
    <xf numFmtId="2" fontId="23" fillId="0" borderId="102" xfId="0" applyNumberFormat="1" applyFont="1" applyBorder="1" applyAlignment="1">
      <alignment horizontal="right" vertical="center"/>
    </xf>
    <xf numFmtId="4" fontId="26" fillId="8" borderId="103" xfId="0" applyNumberFormat="1" applyFont="1" applyFill="1" applyBorder="1" applyAlignment="1">
      <alignment horizontal="right" vertical="center"/>
    </xf>
    <xf numFmtId="4" fontId="26" fillId="8" borderId="99" xfId="0" applyNumberFormat="1" applyFont="1" applyFill="1" applyBorder="1" applyAlignment="1">
      <alignment horizontal="right" vertical="center"/>
    </xf>
    <xf numFmtId="168" fontId="47" fillId="10" borderId="73" xfId="1" applyNumberFormat="1" applyFont="1" applyFill="1" applyBorder="1" applyAlignment="1">
      <alignment vertical="center"/>
    </xf>
    <xf numFmtId="168" fontId="47" fillId="10" borderId="101" xfId="1" applyNumberFormat="1" applyFont="1" applyFill="1" applyBorder="1" applyAlignment="1">
      <alignment vertical="center"/>
    </xf>
    <xf numFmtId="168" fontId="47" fillId="43" borderId="83" xfId="0" applyNumberFormat="1" applyFont="1" applyFill="1" applyBorder="1" applyAlignment="1">
      <alignment vertical="center"/>
    </xf>
    <xf numFmtId="168" fontId="47" fillId="43" borderId="99" xfId="0" applyNumberFormat="1" applyFont="1" applyFill="1" applyBorder="1" applyAlignment="1">
      <alignment vertical="center"/>
    </xf>
    <xf numFmtId="168" fontId="47" fillId="43" borderId="102" xfId="0" applyNumberFormat="1" applyFont="1" applyFill="1" applyBorder="1" applyAlignment="1">
      <alignment vertical="center"/>
    </xf>
    <xf numFmtId="170" fontId="48" fillId="10" borderId="3" xfId="2" applyNumberFormat="1" applyFont="1" applyFill="1" applyBorder="1" applyAlignment="1" applyProtection="1">
      <alignment wrapText="1"/>
    </xf>
    <xf numFmtId="170" fontId="48" fillId="10" borderId="3" xfId="2" applyNumberFormat="1" applyFont="1" applyFill="1" applyBorder="1" applyAlignment="1" applyProtection="1">
      <alignment vertical="center" wrapText="1"/>
    </xf>
    <xf numFmtId="173" fontId="48" fillId="10" borderId="3" xfId="2" applyNumberFormat="1" applyFont="1" applyFill="1" applyBorder="1" applyAlignment="1" applyProtection="1">
      <alignment vertical="center" wrapText="1"/>
    </xf>
    <xf numFmtId="168" fontId="47" fillId="45" borderId="102" xfId="1" applyNumberFormat="1" applyFont="1" applyFill="1" applyBorder="1" applyAlignment="1">
      <alignment horizontal="right" vertical="center"/>
    </xf>
    <xf numFmtId="168" fontId="9" fillId="0" borderId="102" xfId="1" applyNumberFormat="1" applyFont="1" applyBorder="1" applyAlignment="1">
      <alignment vertical="center"/>
    </xf>
    <xf numFmtId="168" fontId="9" fillId="0" borderId="102" xfId="1" applyNumberFormat="1" applyFont="1" applyBorder="1" applyAlignment="1">
      <alignment horizontal="right" vertical="center"/>
    </xf>
    <xf numFmtId="168" fontId="9" fillId="0" borderId="107" xfId="1" applyNumberFormat="1" applyFont="1" applyBorder="1" applyAlignment="1">
      <alignment vertical="center"/>
    </xf>
    <xf numFmtId="168" fontId="9" fillId="0" borderId="90" xfId="1" applyNumberFormat="1" applyFont="1" applyBorder="1" applyAlignment="1">
      <alignment vertical="center"/>
    </xf>
    <xf numFmtId="168" fontId="47" fillId="46" borderId="108" xfId="1" applyNumberFormat="1" applyFont="1" applyFill="1" applyBorder="1" applyAlignment="1">
      <alignment vertical="center"/>
    </xf>
    <xf numFmtId="168" fontId="47" fillId="46" borderId="102" xfId="1" applyNumberFormat="1" applyFont="1" applyFill="1" applyBorder="1" applyAlignment="1">
      <alignment vertical="center"/>
    </xf>
    <xf numFmtId="168" fontId="47" fillId="46" borderId="107" xfId="1" applyNumberFormat="1" applyFont="1" applyFill="1" applyBorder="1" applyAlignment="1">
      <alignment vertical="center"/>
    </xf>
    <xf numFmtId="0" fontId="47" fillId="47" borderId="108" xfId="0" applyFont="1" applyFill="1" applyBorder="1" applyAlignment="1">
      <alignment horizontal="center" vertical="center" wrapText="1"/>
    </xf>
    <xf numFmtId="168" fontId="47" fillId="18" borderId="107" xfId="1" applyNumberFormat="1" applyFont="1" applyFill="1" applyBorder="1" applyAlignment="1">
      <alignment horizontal="center" vertical="center"/>
    </xf>
    <xf numFmtId="168" fontId="47" fillId="18" borderId="90" xfId="1" applyNumberFormat="1" applyFont="1" applyFill="1" applyBorder="1" applyAlignment="1">
      <alignment horizontal="center" vertical="center"/>
    </xf>
    <xf numFmtId="168" fontId="47" fillId="10" borderId="108" xfId="0" applyNumberFormat="1" applyFont="1" applyFill="1" applyBorder="1" applyAlignment="1">
      <alignment vertical="center"/>
    </xf>
    <xf numFmtId="168" fontId="47" fillId="10" borderId="102" xfId="0" applyNumberFormat="1" applyFont="1" applyFill="1" applyBorder="1" applyAlignment="1">
      <alignment vertical="center"/>
    </xf>
    <xf numFmtId="168" fontId="50" fillId="10" borderId="102" xfId="0" applyNumberFormat="1" applyFont="1" applyFill="1" applyBorder="1" applyAlignment="1">
      <alignment vertical="center"/>
    </xf>
    <xf numFmtId="168" fontId="50" fillId="10" borderId="107" xfId="0" applyNumberFormat="1" applyFont="1" applyFill="1" applyBorder="1" applyAlignment="1">
      <alignment vertical="center"/>
    </xf>
    <xf numFmtId="168" fontId="50" fillId="10" borderId="90" xfId="0" applyNumberFormat="1" applyFont="1" applyFill="1" applyBorder="1" applyAlignment="1">
      <alignment vertical="center"/>
    </xf>
    <xf numFmtId="173" fontId="47" fillId="19" borderId="1" xfId="0" applyNumberFormat="1" applyFont="1" applyFill="1" applyBorder="1" applyAlignment="1">
      <alignment horizontal="right" vertical="center" wrapText="1"/>
    </xf>
    <xf numFmtId="173" fontId="47" fillId="19" borderId="26" xfId="0" applyNumberFormat="1" applyFont="1" applyFill="1" applyBorder="1" applyAlignment="1">
      <alignment horizontal="right" vertical="center" wrapText="1"/>
    </xf>
    <xf numFmtId="173" fontId="29" fillId="23" borderId="29" xfId="0" applyNumberFormat="1" applyFont="1" applyFill="1" applyBorder="1" applyAlignment="1">
      <alignment horizontal="right" vertical="center" wrapText="1"/>
    </xf>
    <xf numFmtId="173" fontId="29" fillId="23" borderId="34" xfId="0" applyNumberFormat="1" applyFont="1" applyFill="1" applyBorder="1" applyAlignment="1">
      <alignment horizontal="right" vertical="center" wrapText="1"/>
    </xf>
    <xf numFmtId="173" fontId="29" fillId="23" borderId="26" xfId="0" applyNumberFormat="1" applyFont="1" applyFill="1" applyBorder="1" applyAlignment="1">
      <alignment horizontal="right" vertical="center" wrapText="1"/>
    </xf>
    <xf numFmtId="10" fontId="8" fillId="0" borderId="72" xfId="0" applyNumberFormat="1" applyFont="1" applyBorder="1" applyAlignment="1" applyProtection="1">
      <alignment horizontal="center" vertical="center"/>
      <protection locked="0"/>
    </xf>
    <xf numFmtId="4" fontId="14" fillId="0" borderId="100" xfId="0" applyNumberFormat="1" applyFont="1" applyBorder="1" applyAlignment="1" applyProtection="1">
      <alignment horizontal="right" vertical="center"/>
      <protection locked="0"/>
    </xf>
    <xf numFmtId="164" fontId="12" fillId="0" borderId="73" xfId="1" applyBorder="1"/>
    <xf numFmtId="10" fontId="8" fillId="0" borderId="78" xfId="0" applyNumberFormat="1" applyFont="1" applyBorder="1" applyAlignment="1" applyProtection="1">
      <alignment horizontal="center" vertical="center"/>
      <protection locked="0"/>
    </xf>
    <xf numFmtId="4" fontId="14" fillId="0" borderId="102" xfId="0" applyNumberFormat="1" applyFont="1" applyBorder="1" applyAlignment="1" applyProtection="1">
      <alignment horizontal="right" vertical="center"/>
      <protection locked="0"/>
    </xf>
    <xf numFmtId="164" fontId="12" fillId="0" borderId="3" xfId="1" applyBorder="1"/>
    <xf numFmtId="0" fontId="56" fillId="0" borderId="77" xfId="0" applyFont="1" applyBorder="1" applyAlignment="1" applyProtection="1">
      <alignment horizontal="left" vertical="center"/>
      <protection locked="0"/>
    </xf>
    <xf numFmtId="164" fontId="57" fillId="0" borderId="3" xfId="1" applyFont="1" applyBorder="1" applyAlignment="1">
      <alignment horizontal="center" vertical="center"/>
    </xf>
    <xf numFmtId="164" fontId="57" fillId="0" borderId="80" xfId="1" applyFont="1" applyBorder="1" applyAlignment="1">
      <alignment horizontal="center" vertical="center"/>
    </xf>
    <xf numFmtId="10" fontId="8" fillId="0" borderId="82" xfId="0" applyNumberFormat="1" applyFont="1" applyBorder="1" applyAlignment="1" applyProtection="1">
      <alignment horizontal="center" vertical="center"/>
      <protection locked="0"/>
    </xf>
    <xf numFmtId="4" fontId="14" fillId="0" borderId="103" xfId="0" applyNumberFormat="1" applyFont="1" applyBorder="1" applyAlignment="1" applyProtection="1">
      <alignment horizontal="right" vertical="center"/>
      <protection locked="0"/>
    </xf>
    <xf numFmtId="164" fontId="26" fillId="22" borderId="49" xfId="1" applyFont="1" applyFill="1" applyBorder="1" applyAlignment="1">
      <alignment horizontal="center" vertical="center"/>
    </xf>
    <xf numFmtId="164" fontId="26" fillId="35" borderId="19" xfId="1" applyFont="1" applyFill="1" applyBorder="1" applyAlignment="1">
      <alignment horizontal="center" vertical="center"/>
    </xf>
    <xf numFmtId="164" fontId="26" fillId="27" borderId="20" xfId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left"/>
    </xf>
    <xf numFmtId="2" fontId="29" fillId="9" borderId="53" xfId="0" applyNumberFormat="1" applyFont="1" applyFill="1" applyBorder="1" applyAlignment="1">
      <alignment horizontal="center"/>
    </xf>
    <xf numFmtId="2" fontId="29" fillId="9" borderId="54" xfId="0" applyNumberFormat="1" applyFont="1" applyFill="1" applyBorder="1" applyAlignment="1">
      <alignment horizontal="center"/>
    </xf>
    <xf numFmtId="2" fontId="29" fillId="9" borderId="109" xfId="0" applyNumberFormat="1" applyFont="1" applyFill="1" applyBorder="1" applyAlignment="1">
      <alignment horizontal="center"/>
    </xf>
    <xf numFmtId="177" fontId="2" fillId="38" borderId="3" xfId="1" applyNumberFormat="1" applyFont="1" applyFill="1" applyBorder="1" applyAlignment="1">
      <alignment horizontal="center" vertical="center"/>
    </xf>
    <xf numFmtId="177" fontId="2" fillId="38" borderId="80" xfId="1" applyNumberFormat="1" applyFont="1" applyFill="1" applyBorder="1" applyAlignment="1">
      <alignment horizontal="center" vertical="center"/>
    </xf>
    <xf numFmtId="165" fontId="2" fillId="38" borderId="3" xfId="0" applyNumberFormat="1" applyFont="1" applyFill="1" applyBorder="1" applyAlignment="1">
      <alignment horizontal="center" vertical="center"/>
    </xf>
    <xf numFmtId="165" fontId="2" fillId="38" borderId="80" xfId="0" applyNumberFormat="1" applyFont="1" applyFill="1" applyBorder="1" applyAlignment="1">
      <alignment horizontal="center" vertical="center"/>
    </xf>
    <xf numFmtId="165" fontId="2" fillId="38" borderId="54" xfId="0" applyNumberFormat="1" applyFont="1" applyFill="1" applyBorder="1" applyAlignment="1">
      <alignment horizontal="center" vertical="center"/>
    </xf>
    <xf numFmtId="165" fontId="2" fillId="38" borderId="90" xfId="0" applyNumberFormat="1" applyFont="1" applyFill="1" applyBorder="1" applyAlignment="1">
      <alignment horizontal="center" vertical="center"/>
    </xf>
    <xf numFmtId="168" fontId="47" fillId="0" borderId="3" xfId="1" applyNumberFormat="1" applyFont="1" applyBorder="1" applyAlignment="1">
      <alignment horizontal="right" vertical="center"/>
    </xf>
    <xf numFmtId="168" fontId="47" fillId="0" borderId="80" xfId="1" applyNumberFormat="1" applyFont="1" applyBorder="1" applyAlignment="1">
      <alignment horizontal="right" vertical="center"/>
    </xf>
    <xf numFmtId="168" fontId="47" fillId="0" borderId="12" xfId="1" applyNumberFormat="1" applyFont="1" applyBorder="1" applyAlignment="1">
      <alignment horizontal="right" vertical="center"/>
    </xf>
    <xf numFmtId="168" fontId="47" fillId="0" borderId="85" xfId="1" applyNumberFormat="1" applyFont="1" applyBorder="1" applyAlignment="1">
      <alignment horizontal="right" vertical="center"/>
    </xf>
    <xf numFmtId="168" fontId="47" fillId="41" borderId="100" xfId="1" applyNumberFormat="1" applyFont="1" applyFill="1" applyBorder="1" applyAlignment="1">
      <alignment horizontal="center" vertical="center"/>
    </xf>
    <xf numFmtId="168" fontId="47" fillId="41" borderId="101" xfId="1" applyNumberFormat="1" applyFont="1" applyFill="1" applyBorder="1" applyAlignment="1">
      <alignment horizontal="center" vertical="center"/>
    </xf>
    <xf numFmtId="2" fontId="26" fillId="8" borderId="83" xfId="0" applyNumberFormat="1" applyFont="1" applyFill="1" applyBorder="1" applyAlignment="1">
      <alignment horizontal="right" vertical="center"/>
    </xf>
    <xf numFmtId="4" fontId="23" fillId="0" borderId="100" xfId="0" applyNumberFormat="1" applyFont="1" applyBorder="1" applyAlignment="1">
      <alignment vertical="center"/>
    </xf>
    <xf numFmtId="4" fontId="23" fillId="0" borderId="101" xfId="0" applyNumberFormat="1" applyFont="1" applyBorder="1" applyAlignment="1">
      <alignment vertical="center"/>
    </xf>
    <xf numFmtId="4" fontId="26" fillId="8" borderId="83" xfId="0" applyNumberFormat="1" applyFont="1" applyFill="1" applyBorder="1" applyAlignment="1">
      <alignment horizontal="right" vertical="center"/>
    </xf>
    <xf numFmtId="168" fontId="47" fillId="10" borderId="73" xfId="1" applyNumberFormat="1" applyFont="1" applyFill="1" applyBorder="1"/>
    <xf numFmtId="168" fontId="9" fillId="0" borderId="54" xfId="1" applyNumberFormat="1" applyFont="1" applyBorder="1" applyAlignment="1">
      <alignment vertical="center"/>
    </xf>
    <xf numFmtId="10" fontId="48" fillId="46" borderId="60" xfId="2" applyNumberFormat="1" applyFont="1" applyFill="1" applyBorder="1" applyAlignment="1" applyProtection="1">
      <alignment vertical="center"/>
    </xf>
    <xf numFmtId="10" fontId="48" fillId="46" borderId="44" xfId="2" applyNumberFormat="1" applyFont="1" applyFill="1" applyBorder="1" applyAlignment="1" applyProtection="1">
      <alignment vertical="center"/>
    </xf>
    <xf numFmtId="10" fontId="48" fillId="46" borderId="53" xfId="2" applyNumberFormat="1" applyFont="1" applyFill="1" applyBorder="1" applyAlignment="1" applyProtection="1">
      <alignment vertical="center"/>
    </xf>
    <xf numFmtId="168" fontId="47" fillId="18" borderId="54" xfId="1" applyNumberFormat="1" applyFont="1" applyFill="1" applyBorder="1" applyAlignment="1">
      <alignment horizontal="center" vertical="center"/>
    </xf>
    <xf numFmtId="168" fontId="50" fillId="10" borderId="5" xfId="0" applyNumberFormat="1" applyFont="1" applyFill="1" applyBorder="1" applyAlignment="1">
      <alignment vertical="center"/>
    </xf>
    <xf numFmtId="168" fontId="50" fillId="10" borderId="54" xfId="0" applyNumberFormat="1" applyFont="1" applyFill="1" applyBorder="1" applyAlignment="1">
      <alignment vertical="center"/>
    </xf>
    <xf numFmtId="0" fontId="31" fillId="36" borderId="29" xfId="0" applyFont="1" applyFill="1" applyBorder="1" applyAlignment="1">
      <alignment horizontal="center" wrapText="1"/>
    </xf>
    <xf numFmtId="0" fontId="44" fillId="28" borderId="0" xfId="0" applyFont="1" applyFill="1" applyAlignment="1">
      <alignment horizontal="center" vertical="center" wrapText="1"/>
    </xf>
    <xf numFmtId="0" fontId="31" fillId="36" borderId="19" xfId="0" applyFont="1" applyFill="1" applyBorder="1" applyAlignment="1">
      <alignment horizontal="center" wrapText="1"/>
    </xf>
    <xf numFmtId="0" fontId="26" fillId="0" borderId="91" xfId="0" applyFont="1" applyBorder="1" applyAlignment="1" applyProtection="1">
      <alignment horizontal="left" vertical="center"/>
      <protection locked="0"/>
    </xf>
    <xf numFmtId="10" fontId="34" fillId="0" borderId="56" xfId="0" applyNumberFormat="1" applyFont="1" applyBorder="1" applyAlignment="1" applyProtection="1">
      <alignment horizontal="center" vertical="center"/>
      <protection locked="0"/>
    </xf>
    <xf numFmtId="4" fontId="15" fillId="0" borderId="100" xfId="0" applyNumberFormat="1" applyFont="1" applyBorder="1" applyAlignment="1" applyProtection="1">
      <alignment horizontal="right" vertical="center"/>
      <protection locked="0"/>
    </xf>
    <xf numFmtId="164" fontId="15" fillId="0" borderId="73" xfId="1" applyFont="1" applyBorder="1" applyAlignment="1">
      <alignment horizontal="center" vertical="center"/>
    </xf>
    <xf numFmtId="164" fontId="14" fillId="0" borderId="61" xfId="1" applyFont="1" applyBorder="1" applyAlignment="1">
      <alignment horizontal="center" vertical="center"/>
    </xf>
    <xf numFmtId="164" fontId="14" fillId="0" borderId="95" xfId="1" applyFont="1" applyBorder="1" applyAlignment="1">
      <alignment horizontal="center" vertical="center"/>
    </xf>
    <xf numFmtId="2" fontId="23" fillId="11" borderId="91" xfId="1" applyNumberFormat="1" applyFont="1" applyFill="1" applyBorder="1" applyAlignment="1">
      <alignment horizontal="center" vertical="center"/>
    </xf>
    <xf numFmtId="164" fontId="23" fillId="37" borderId="31" xfId="1" applyFont="1" applyFill="1" applyBorder="1" applyAlignment="1">
      <alignment horizontal="center" vertical="center"/>
    </xf>
    <xf numFmtId="4" fontId="15" fillId="0" borderId="102" xfId="0" applyNumberFormat="1" applyFont="1" applyBorder="1" applyAlignment="1" applyProtection="1">
      <alignment horizontal="right" vertical="center"/>
      <protection locked="0"/>
    </xf>
    <xf numFmtId="164" fontId="15" fillId="0" borderId="3" xfId="1" applyFont="1" applyBorder="1" applyAlignment="1">
      <alignment horizontal="center" vertical="center"/>
    </xf>
    <xf numFmtId="164" fontId="15" fillId="0" borderId="79" xfId="1" applyFont="1" applyBorder="1" applyAlignment="1">
      <alignment horizontal="center" vertical="center"/>
    </xf>
    <xf numFmtId="164" fontId="14" fillId="0" borderId="3" xfId="1" applyFont="1" applyBorder="1" applyAlignment="1">
      <alignment horizontal="right" vertical="center"/>
    </xf>
    <xf numFmtId="172" fontId="23" fillId="11" borderId="42" xfId="1" applyNumberFormat="1" applyFont="1" applyFill="1" applyBorder="1" applyAlignment="1">
      <alignment horizontal="center" vertical="center"/>
    </xf>
    <xf numFmtId="164" fontId="23" fillId="37" borderId="45" xfId="1" applyFont="1" applyFill="1" applyBorder="1" applyAlignment="1">
      <alignment horizontal="center" vertical="center"/>
    </xf>
    <xf numFmtId="0" fontId="23" fillId="0" borderId="77" xfId="0" applyFont="1" applyBorder="1" applyAlignment="1" applyProtection="1">
      <alignment horizontal="left" vertical="center" wrapText="1"/>
      <protection locked="0"/>
    </xf>
    <xf numFmtId="172" fontId="23" fillId="11" borderId="77" xfId="1" applyNumberFormat="1" applyFont="1" applyFill="1" applyBorder="1" applyAlignment="1">
      <alignment horizontal="center" vertical="center"/>
    </xf>
    <xf numFmtId="4" fontId="15" fillId="0" borderId="103" xfId="0" applyNumberFormat="1" applyFont="1" applyBorder="1" applyAlignment="1" applyProtection="1">
      <alignment horizontal="right" vertical="center"/>
      <protection locked="0"/>
    </xf>
    <xf numFmtId="164" fontId="15" fillId="0" borderId="83" xfId="1" applyFont="1" applyBorder="1" applyAlignment="1">
      <alignment horizontal="center" vertical="center"/>
    </xf>
    <xf numFmtId="164" fontId="15" fillId="0" borderId="84" xfId="1" applyFont="1" applyBorder="1" applyAlignment="1">
      <alignment horizontal="center" vertical="center"/>
    </xf>
    <xf numFmtId="164" fontId="26" fillId="22" borderId="58" xfId="1" applyFont="1" applyFill="1" applyBorder="1" applyAlignment="1">
      <alignment horizontal="center" vertical="center"/>
    </xf>
    <xf numFmtId="164" fontId="44" fillId="28" borderId="21" xfId="0" applyNumberFormat="1" applyFont="1" applyFill="1" applyBorder="1" applyAlignment="1">
      <alignment horizontal="center" vertical="center" wrapText="1"/>
    </xf>
    <xf numFmtId="164" fontId="26" fillId="36" borderId="19" xfId="1" applyFont="1" applyFill="1" applyBorder="1" applyAlignment="1">
      <alignment horizontal="center" vertical="center"/>
    </xf>
    <xf numFmtId="0" fontId="47" fillId="39" borderId="110" xfId="0" applyFont="1" applyFill="1" applyBorder="1" applyAlignment="1">
      <alignment horizontal="center" vertical="center" wrapText="1"/>
    </xf>
    <xf numFmtId="168" fontId="47" fillId="18" borderId="3" xfId="1" applyNumberFormat="1" applyFont="1" applyFill="1" applyBorder="1" applyAlignment="1">
      <alignment horizontal="center" vertical="center"/>
    </xf>
    <xf numFmtId="168" fontId="47" fillId="18" borderId="80" xfId="1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3" fillId="10" borderId="3" xfId="0" applyFont="1" applyFill="1" applyBorder="1" applyAlignment="1">
      <alignment horizontal="left" vertical="center" wrapText="1"/>
    </xf>
    <xf numFmtId="0" fontId="17" fillId="18" borderId="19" xfId="0" applyFont="1" applyFill="1" applyBorder="1" applyAlignment="1">
      <alignment horizontal="center" vertical="center"/>
    </xf>
    <xf numFmtId="170" fontId="16" fillId="0" borderId="58" xfId="0" applyNumberFormat="1" applyFont="1" applyBorder="1" applyAlignment="1">
      <alignment horizontal="center" vertical="center"/>
    </xf>
    <xf numFmtId="0" fontId="17" fillId="15" borderId="19" xfId="0" applyFont="1" applyFill="1" applyBorder="1" applyAlignment="1">
      <alignment horizontal="center" vertical="center"/>
    </xf>
    <xf numFmtId="0" fontId="17" fillId="17" borderId="40" xfId="0" applyFont="1" applyFill="1" applyBorder="1" applyAlignment="1">
      <alignment horizontal="center" vertical="center"/>
    </xf>
    <xf numFmtId="0" fontId="17" fillId="17" borderId="19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left" vertical="top"/>
    </xf>
    <xf numFmtId="0" fontId="17" fillId="12" borderId="19" xfId="0" applyFont="1" applyFill="1" applyBorder="1" applyAlignment="1">
      <alignment horizontal="center" vertical="center"/>
    </xf>
    <xf numFmtId="0" fontId="17" fillId="14" borderId="19" xfId="0" applyFont="1" applyFill="1" applyBorder="1" applyAlignment="1">
      <alignment horizontal="center" vertical="center"/>
    </xf>
    <xf numFmtId="0" fontId="17" fillId="16" borderId="19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35" fillId="22" borderId="38" xfId="0" applyFont="1" applyFill="1" applyBorder="1" applyAlignment="1">
      <alignment horizontal="center" vertical="center"/>
    </xf>
    <xf numFmtId="0" fontId="35" fillId="22" borderId="41" xfId="0" applyFont="1" applyFill="1" applyBorder="1" applyAlignment="1">
      <alignment horizontal="center" vertical="center"/>
    </xf>
    <xf numFmtId="0" fontId="40" fillId="2" borderId="65" xfId="0" applyFont="1" applyFill="1" applyBorder="1" applyAlignment="1">
      <alignment horizontal="center" vertical="center"/>
    </xf>
    <xf numFmtId="4" fontId="36" fillId="2" borderId="68" xfId="0" applyNumberFormat="1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 wrapText="1"/>
    </xf>
    <xf numFmtId="0" fontId="29" fillId="27" borderId="29" xfId="0" applyFont="1" applyFill="1" applyBorder="1" applyAlignment="1">
      <alignment horizontal="center" vertical="center" wrapText="1"/>
    </xf>
    <xf numFmtId="0" fontId="29" fillId="17" borderId="19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29" fillId="28" borderId="19" xfId="0" applyFont="1" applyFill="1" applyBorder="1" applyAlignment="1">
      <alignment horizontal="center" vertical="center" wrapText="1"/>
    </xf>
    <xf numFmtId="0" fontId="26" fillId="20" borderId="21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22" borderId="21" xfId="0" applyFont="1" applyFill="1" applyBorder="1" applyAlignment="1">
      <alignment horizontal="center" vertical="center"/>
    </xf>
    <xf numFmtId="0" fontId="26" fillId="23" borderId="0" xfId="0" applyFont="1" applyFill="1" applyBorder="1" applyAlignment="1" applyProtection="1">
      <alignment horizontal="center" vertical="center"/>
      <protection locked="0"/>
    </xf>
    <xf numFmtId="0" fontId="26" fillId="23" borderId="34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24" borderId="19" xfId="0" applyFont="1" applyFill="1" applyBorder="1" applyAlignment="1">
      <alignment horizontal="center" vertical="center" wrapText="1"/>
    </xf>
    <xf numFmtId="0" fontId="14" fillId="24" borderId="19" xfId="0" applyFont="1" applyFill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8" fillId="25" borderId="19" xfId="0" applyFont="1" applyFill="1" applyBorder="1" applyAlignment="1">
      <alignment horizontal="center" vertical="center" wrapText="1"/>
    </xf>
    <xf numFmtId="0" fontId="8" fillId="25" borderId="21" xfId="0" applyFont="1" applyFill="1" applyBorder="1" applyAlignment="1">
      <alignment horizontal="center" vertical="center" wrapText="1"/>
    </xf>
    <xf numFmtId="0" fontId="30" fillId="35" borderId="20" xfId="0" applyFont="1" applyFill="1" applyBorder="1" applyAlignment="1">
      <alignment horizontal="center" vertical="center" wrapText="1"/>
    </xf>
    <xf numFmtId="0" fontId="30" fillId="35" borderId="19" xfId="0" applyFont="1" applyFill="1" applyBorder="1" applyAlignment="1">
      <alignment horizontal="center" vertical="center" wrapText="1"/>
    </xf>
    <xf numFmtId="0" fontId="30" fillId="27" borderId="28" xfId="0" applyFont="1" applyFill="1" applyBorder="1" applyAlignment="1">
      <alignment horizontal="center" vertical="center" wrapText="1"/>
    </xf>
    <xf numFmtId="0" fontId="26" fillId="20" borderId="70" xfId="0" applyFont="1" applyFill="1" applyBorder="1" applyAlignment="1">
      <alignment horizontal="center" vertical="center"/>
    </xf>
    <xf numFmtId="0" fontId="26" fillId="21" borderId="71" xfId="0" applyFont="1" applyFill="1" applyBorder="1" applyAlignment="1">
      <alignment horizontal="center" vertical="center"/>
    </xf>
    <xf numFmtId="0" fontId="26" fillId="22" borderId="59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33" borderId="20" xfId="0" applyFont="1" applyFill="1" applyBorder="1" applyAlignment="1" applyProtection="1">
      <alignment horizontal="center" vertical="center"/>
      <protection locked="0"/>
    </xf>
    <xf numFmtId="0" fontId="8" fillId="34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26" fillId="24" borderId="3" xfId="0" applyFont="1" applyFill="1" applyBorder="1" applyAlignment="1">
      <alignment horizontal="center" vertical="center" wrapText="1"/>
    </xf>
    <xf numFmtId="0" fontId="26" fillId="25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47" fillId="10" borderId="44" xfId="0" applyFont="1" applyFill="1" applyBorder="1" applyAlignment="1">
      <alignment horizontal="left" vertical="center" wrapText="1"/>
    </xf>
    <xf numFmtId="0" fontId="47" fillId="10" borderId="46" xfId="0" applyFont="1" applyFill="1" applyBorder="1" applyAlignment="1">
      <alignment horizontal="left" vertical="center" wrapText="1"/>
    </xf>
    <xf numFmtId="0" fontId="47" fillId="10" borderId="44" xfId="0" applyFont="1" applyFill="1" applyBorder="1" applyAlignment="1">
      <alignment horizontal="center" vertical="center" wrapText="1"/>
    </xf>
    <xf numFmtId="0" fontId="47" fillId="18" borderId="53" xfId="0" applyFont="1" applyFill="1" applyBorder="1" applyAlignment="1">
      <alignment horizontal="left" vertical="center" wrapText="1"/>
    </xf>
    <xf numFmtId="0" fontId="47" fillId="10" borderId="60" xfId="0" applyFont="1" applyFill="1" applyBorder="1" applyAlignment="1">
      <alignment horizontal="left" vertical="center" wrapText="1"/>
    </xf>
    <xf numFmtId="0" fontId="9" fillId="10" borderId="44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9" fillId="10" borderId="40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/>
    </xf>
    <xf numFmtId="0" fontId="47" fillId="47" borderId="60" xfId="0" applyFont="1" applyFill="1" applyBorder="1" applyAlignment="1">
      <alignment horizontal="center" vertical="center" wrapText="1"/>
    </xf>
    <xf numFmtId="0" fontId="47" fillId="40" borderId="45" xfId="0" applyFont="1" applyFill="1" applyBorder="1" applyAlignment="1">
      <alignment horizontal="left" vertical="center" wrapText="1"/>
    </xf>
    <xf numFmtId="0" fontId="9" fillId="10" borderId="45" xfId="0" applyFont="1" applyFill="1" applyBorder="1" applyAlignment="1">
      <alignment horizontal="center" vertical="center"/>
    </xf>
    <xf numFmtId="165" fontId="2" fillId="38" borderId="53" xfId="0" applyNumberFormat="1" applyFont="1" applyFill="1" applyBorder="1" applyAlignment="1">
      <alignment horizontal="center" vertical="center"/>
    </xf>
    <xf numFmtId="165" fontId="2" fillId="38" borderId="86" xfId="0" applyNumberFormat="1" applyFont="1" applyFill="1" applyBorder="1" applyAlignment="1">
      <alignment horizontal="center" vertical="center"/>
    </xf>
    <xf numFmtId="0" fontId="9" fillId="10" borderId="41" xfId="0" applyFont="1" applyFill="1" applyBorder="1" applyAlignment="1">
      <alignment horizontal="center" vertical="center"/>
    </xf>
    <xf numFmtId="177" fontId="2" fillId="38" borderId="44" xfId="1" applyNumberFormat="1" applyFont="1" applyFill="1" applyBorder="1" applyAlignment="1">
      <alignment horizontal="center" vertical="center"/>
    </xf>
    <xf numFmtId="165" fontId="2" fillId="38" borderId="44" xfId="0" applyNumberFormat="1" applyFont="1" applyFill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46" fillId="10" borderId="38" xfId="0" applyFont="1" applyFill="1" applyBorder="1" applyAlignment="1">
      <alignment horizontal="center" vertical="center"/>
    </xf>
    <xf numFmtId="165" fontId="5" fillId="38" borderId="60" xfId="0" applyNumberFormat="1" applyFont="1" applyFill="1" applyBorder="1" applyAlignment="1">
      <alignment horizontal="center" vertical="center"/>
    </xf>
    <xf numFmtId="165" fontId="5" fillId="38" borderId="91" xfId="0" applyNumberFormat="1" applyFont="1" applyFill="1" applyBorder="1" applyAlignment="1">
      <alignment horizontal="center" vertical="center"/>
    </xf>
    <xf numFmtId="0" fontId="47" fillId="40" borderId="105" xfId="0" applyFont="1" applyFill="1" applyBorder="1" applyAlignment="1">
      <alignment horizontal="left" vertical="center" wrapText="1"/>
    </xf>
    <xf numFmtId="0" fontId="47" fillId="40" borderId="104" xfId="0" applyFont="1" applyFill="1" applyBorder="1" applyAlignment="1">
      <alignment horizontal="left" vertical="center" wrapText="1"/>
    </xf>
    <xf numFmtId="0" fontId="55" fillId="40" borderId="105" xfId="0" applyFont="1" applyFill="1" applyBorder="1" applyAlignment="1">
      <alignment horizontal="left" vertical="center" wrapText="1"/>
    </xf>
    <xf numFmtId="165" fontId="2" fillId="38" borderId="3" xfId="0" applyNumberFormat="1" applyFont="1" applyFill="1" applyBorder="1" applyAlignment="1">
      <alignment horizontal="center" vertical="center"/>
    </xf>
    <xf numFmtId="165" fontId="2" fillId="38" borderId="54" xfId="0" applyNumberFormat="1" applyFont="1" applyFill="1" applyBorder="1" applyAlignment="1">
      <alignment horizontal="center" vertical="center"/>
    </xf>
    <xf numFmtId="177" fontId="2" fillId="38" borderId="3" xfId="1" applyNumberFormat="1" applyFont="1" applyFill="1" applyBorder="1" applyAlignment="1">
      <alignment horizontal="center" vertical="center"/>
    </xf>
    <xf numFmtId="0" fontId="47" fillId="10" borderId="53" xfId="0" applyFont="1" applyFill="1" applyBorder="1" applyAlignment="1">
      <alignment horizontal="left" vertical="center" wrapText="1"/>
    </xf>
    <xf numFmtId="0" fontId="47" fillId="40" borderId="57" xfId="0" applyFont="1" applyFill="1" applyBorder="1" applyAlignment="1">
      <alignment horizontal="left" vertical="center" wrapText="1"/>
    </xf>
  </cellXfs>
  <cellStyles count="5">
    <cellStyle name="Hiperlink" xfId="3" builtinId="8"/>
    <cellStyle name="Normal" xfId="0" builtinId="0"/>
    <cellStyle name="Porcentagem" xfId="2" builtinId="5"/>
    <cellStyle name="TableStyleLight1" xfId="4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1C1C1"/>
      <rgbColor rgb="FFA9D18E"/>
      <rgbColor rgb="FFD9D9D9"/>
      <rgbColor rgb="FF5EB91E"/>
      <rgbColor rgb="FFFCE4D6"/>
      <rgbColor rgb="FF58AA38"/>
      <rgbColor rgb="FFB4C7DE"/>
      <rgbColor rgb="FF8FAADC"/>
      <rgbColor rgb="FFC0C0C0"/>
      <rgbColor rgb="FF808080"/>
      <rgbColor rgb="FF8EA9DB"/>
      <rgbColor rgb="FFA1467E"/>
      <rgbColor rgb="FFFFFFCC"/>
      <rgbColor rgb="FFDEEBF7"/>
      <rgbColor rgb="FFBDD7EE"/>
      <rgbColor rgb="FFFC745D"/>
      <rgbColor rgb="FF0B50A0"/>
      <rgbColor rgb="FFCCCCFF"/>
      <rgbColor rgb="FFFFF2CC"/>
      <rgbColor rgb="FFFFCCCC"/>
      <rgbColor rgb="FFFFE699"/>
      <rgbColor rgb="FFA9D08E"/>
      <rgbColor rgb="FFCCCCCC"/>
      <rgbColor rgb="FFDBDBDB"/>
      <rgbColor rgb="FFA6A6A6"/>
      <rgbColor rgb="FFDDDDDD"/>
      <rgbColor rgb="FF00CCFF"/>
      <rgbColor rgb="FFD9E1F2"/>
      <rgbColor rgb="FFC6E0B4"/>
      <rgbColor rgb="FFFFFF99"/>
      <rgbColor rgb="FF9BC2E6"/>
      <rgbColor rgb="FFFF9999"/>
      <rgbColor rgb="FFCC90F3"/>
      <rgbColor rgb="FFF8CBAD"/>
      <rgbColor rgb="FF729FCF"/>
      <rgbColor rgb="FF5B9BD5"/>
      <rgbColor rgb="FFBBE33D"/>
      <rgbColor rgb="FFFFCC00"/>
      <rgbColor rgb="FFF4B183"/>
      <rgbColor rgb="FFE6570B"/>
      <rgbColor rgb="FF5282B0"/>
      <rgbColor rgb="FF8497B0"/>
      <rgbColor rgb="FFADB9CA"/>
      <rgbColor rgb="FF349865"/>
      <rgbColor rgb="FFD6DCE4"/>
      <rgbColor rgb="FF3D4C2F"/>
      <rgbColor rgb="FF824802"/>
      <rgbColor rgb="FFFF3333"/>
      <rgbColor rgb="FFBF819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LZ1048502"/>
  <sheetViews>
    <sheetView zoomScale="75" zoomScaleNormal="75" workbookViewId="0">
      <selection activeCell="D73" sqref="D73"/>
    </sheetView>
  </sheetViews>
  <sheetFormatPr defaultRowHeight="14.25" x14ac:dyDescent="0.2"/>
  <cols>
    <col min="1" max="1" width="4.375" style="1" customWidth="1"/>
    <col min="2" max="2" width="41.875" style="1" customWidth="1"/>
    <col min="3" max="4" width="11.875" style="1" customWidth="1"/>
    <col min="5" max="7" width="11.875" style="2" customWidth="1"/>
    <col min="8" max="8" width="12.5" style="2" customWidth="1"/>
    <col min="9" max="9" width="13" style="2" customWidth="1"/>
    <col min="10" max="13" width="11.875" style="2" customWidth="1"/>
    <col min="14" max="14" width="27.125" style="2" customWidth="1"/>
    <col min="15" max="15" width="10.75" style="2" customWidth="1"/>
    <col min="16" max="16" width="8.875" style="1" customWidth="1"/>
    <col min="17" max="17" width="10.375" style="1" customWidth="1"/>
    <col min="18" max="18" width="6.625" style="1" customWidth="1"/>
    <col min="19" max="19" width="6.25" style="1" customWidth="1"/>
    <col min="20" max="21" width="11.125" style="1" customWidth="1"/>
    <col min="22" max="22" width="12.5" style="1" customWidth="1"/>
    <col min="23" max="23" width="3.75" style="1" customWidth="1"/>
    <col min="24" max="24" width="8.125" style="1" customWidth="1"/>
    <col min="25" max="25" width="8" style="1" customWidth="1"/>
    <col min="26" max="1014" width="10.5" style="1" customWidth="1"/>
    <col min="1015" max="1025" width="10.5" customWidth="1"/>
  </cols>
  <sheetData>
    <row r="1" spans="1:13" ht="23.25" x14ac:dyDescent="0.2">
      <c r="A1" s="3"/>
      <c r="B1" s="772" t="s">
        <v>0</v>
      </c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</row>
    <row r="2" spans="1:13" x14ac:dyDescent="0.2">
      <c r="B2" s="5"/>
      <c r="C2" s="5"/>
      <c r="D2" s="5"/>
      <c r="E2" s="5"/>
    </row>
    <row r="3" spans="1:13" ht="26.1" customHeight="1" x14ac:dyDescent="0.2">
      <c r="B3" s="6" t="s">
        <v>1</v>
      </c>
      <c r="C3" s="773" t="s">
        <v>2</v>
      </c>
      <c r="D3" s="773"/>
      <c r="E3" s="7">
        <v>22</v>
      </c>
    </row>
    <row r="4" spans="1:13" x14ac:dyDescent="0.2">
      <c r="C4" s="774" t="s">
        <v>3</v>
      </c>
      <c r="D4" s="774"/>
      <c r="E4" s="8">
        <v>30</v>
      </c>
    </row>
    <row r="6" spans="1:13" ht="17.100000000000001" customHeight="1" x14ac:dyDescent="0.2">
      <c r="A6" s="3"/>
      <c r="B6" s="758" t="s">
        <v>4</v>
      </c>
      <c r="C6" s="758"/>
      <c r="D6" s="758"/>
      <c r="E6" s="758"/>
      <c r="F6" s="758"/>
      <c r="G6" s="758"/>
      <c r="H6" s="758"/>
      <c r="I6" s="758"/>
      <c r="J6" s="758"/>
      <c r="K6" s="758"/>
      <c r="L6" s="758"/>
      <c r="M6" s="758"/>
    </row>
    <row r="7" spans="1:13" x14ac:dyDescent="0.2">
      <c r="B7" s="9" t="s">
        <v>5</v>
      </c>
      <c r="C7" s="775" t="s">
        <v>6</v>
      </c>
      <c r="D7" s="775"/>
      <c r="E7" s="11" t="s">
        <v>7</v>
      </c>
      <c r="F7" s="10" t="s">
        <v>8</v>
      </c>
      <c r="H7" s="2" t="s">
        <v>9</v>
      </c>
    </row>
    <row r="8" spans="1:13" x14ac:dyDescent="0.2">
      <c r="C8" s="769" t="s">
        <v>10</v>
      </c>
      <c r="D8" s="769"/>
      <c r="E8" s="13">
        <v>44562</v>
      </c>
      <c r="F8" s="14" t="s">
        <v>11</v>
      </c>
    </row>
    <row r="9" spans="1:13" x14ac:dyDescent="0.2">
      <c r="C9" s="770" t="s">
        <v>12</v>
      </c>
      <c r="D9" s="770"/>
      <c r="E9" s="770"/>
      <c r="F9" s="770"/>
    </row>
    <row r="10" spans="1:13" x14ac:dyDescent="0.2">
      <c r="B10" s="771" t="s">
        <v>13</v>
      </c>
      <c r="C10" s="7">
        <v>44</v>
      </c>
      <c r="D10" s="7">
        <v>40</v>
      </c>
      <c r="E10" s="7">
        <v>30</v>
      </c>
      <c r="F10" s="7">
        <v>20</v>
      </c>
    </row>
    <row r="11" spans="1:13" x14ac:dyDescent="0.2">
      <c r="B11" s="771"/>
      <c r="C11" s="15">
        <v>1314.09</v>
      </c>
      <c r="D11" s="16">
        <f>C11/C10*D10</f>
        <v>1194.6272727272726</v>
      </c>
      <c r="E11" s="16">
        <f>C11/C10*E10</f>
        <v>895.97045454545446</v>
      </c>
      <c r="F11" s="16">
        <f>C11/C10*F10</f>
        <v>597.31363636363631</v>
      </c>
    </row>
    <row r="12" spans="1:13" x14ac:dyDescent="0.2">
      <c r="B12" s="9" t="s">
        <v>14</v>
      </c>
      <c r="C12" s="17">
        <f>C11*1.4012</f>
        <v>1841.3029079999999</v>
      </c>
      <c r="D12" s="16">
        <f>C12/C10*D10</f>
        <v>1673.9117345454545</v>
      </c>
      <c r="E12" s="16">
        <f>C12/C10*E10</f>
        <v>1255.4338009090909</v>
      </c>
      <c r="F12" s="16">
        <f>C12/C10*F10</f>
        <v>836.95586727272723</v>
      </c>
    </row>
    <row r="13" spans="1:13" x14ac:dyDescent="0.2">
      <c r="B13" s="9" t="s">
        <v>15</v>
      </c>
      <c r="C13" s="17">
        <v>1669.75</v>
      </c>
      <c r="D13" s="16">
        <f>C13/C10*D10</f>
        <v>1517.9545454545453</v>
      </c>
      <c r="E13" s="16">
        <f>C13/C10*E10</f>
        <v>1138.465909090909</v>
      </c>
      <c r="F13" s="16">
        <f>C13/C10*F10</f>
        <v>758.97727272727263</v>
      </c>
    </row>
    <row r="15" spans="1:13" x14ac:dyDescent="0.2">
      <c r="B15" s="18" t="s">
        <v>16</v>
      </c>
      <c r="C15" s="19">
        <v>183.8</v>
      </c>
      <c r="D15" s="20"/>
    </row>
    <row r="16" spans="1:13" x14ac:dyDescent="0.2">
      <c r="B16" s="21" t="s">
        <v>17</v>
      </c>
    </row>
    <row r="17" spans="1:15" ht="15.75" x14ac:dyDescent="0.2">
      <c r="A17" s="3"/>
      <c r="B17" s="758" t="s">
        <v>18</v>
      </c>
      <c r="C17" s="758"/>
      <c r="D17" s="758"/>
      <c r="E17" s="758"/>
      <c r="F17" s="758"/>
      <c r="G17" s="758"/>
      <c r="H17" s="758"/>
      <c r="I17" s="758"/>
      <c r="J17" s="758"/>
      <c r="K17" s="758"/>
      <c r="L17" s="758"/>
      <c r="M17" s="758"/>
    </row>
    <row r="18" spans="1:15" x14ac:dyDescent="0.2">
      <c r="B18" s="22" t="s">
        <v>19</v>
      </c>
      <c r="C18" s="23" t="s">
        <v>20</v>
      </c>
      <c r="D18" s="24" t="s">
        <v>21</v>
      </c>
      <c r="E18" s="25" t="s">
        <v>22</v>
      </c>
    </row>
    <row r="19" spans="1:15" x14ac:dyDescent="0.2">
      <c r="B19" s="26" t="s">
        <v>23</v>
      </c>
      <c r="C19" s="27">
        <f>20.18*$E3</f>
        <v>443.96</v>
      </c>
      <c r="D19" s="28">
        <v>0.19</v>
      </c>
      <c r="E19" s="29">
        <f>ROUND(C19*(1-D19),2)</f>
        <v>359.61</v>
      </c>
    </row>
    <row r="20" spans="1:15" ht="17.100000000000001" customHeight="1" x14ac:dyDescent="0.2">
      <c r="B20" s="6" t="s">
        <v>24</v>
      </c>
      <c r="C20" s="12">
        <f>10.09*$E3</f>
        <v>221.98</v>
      </c>
      <c r="D20" s="30">
        <f>D19</f>
        <v>0.19</v>
      </c>
      <c r="E20" s="29">
        <f>ROUND(C20*(1-D20),2)</f>
        <v>179.8</v>
      </c>
    </row>
    <row r="21" spans="1:15" x14ac:dyDescent="0.2">
      <c r="B21" s="6" t="s">
        <v>25</v>
      </c>
      <c r="C21" s="12"/>
      <c r="D21" s="30">
        <v>0.06</v>
      </c>
      <c r="E21" s="12"/>
    </row>
    <row r="22" spans="1:15" ht="12.95" customHeight="1" x14ac:dyDescent="0.2">
      <c r="B22" s="6" t="s">
        <v>26</v>
      </c>
      <c r="C22" s="12"/>
      <c r="D22" s="30"/>
      <c r="E22" s="12"/>
    </row>
    <row r="23" spans="1:15" x14ac:dyDescent="0.2">
      <c r="B23" s="6" t="s">
        <v>27</v>
      </c>
      <c r="C23" s="16"/>
      <c r="D23" s="12"/>
      <c r="E23" s="16"/>
    </row>
    <row r="24" spans="1:15" x14ac:dyDescent="0.2">
      <c r="B24" s="31" t="s">
        <v>28</v>
      </c>
      <c r="C24" s="32"/>
      <c r="D24" s="16"/>
      <c r="E24" s="16"/>
    </row>
    <row r="25" spans="1:15" x14ac:dyDescent="0.2">
      <c r="B25" s="31"/>
      <c r="C25" s="33"/>
      <c r="D25" s="12"/>
      <c r="E25" s="16"/>
    </row>
    <row r="26" spans="1:15" ht="12.95" customHeight="1" x14ac:dyDescent="0.2">
      <c r="B26" s="34" t="s">
        <v>29</v>
      </c>
      <c r="C26" s="35"/>
      <c r="D26" s="30"/>
      <c r="E26" s="35"/>
    </row>
    <row r="27" spans="1:15" ht="12.95" customHeight="1" x14ac:dyDescent="0.2">
      <c r="B27" s="6" t="s">
        <v>30</v>
      </c>
      <c r="C27" s="36">
        <v>17.32</v>
      </c>
      <c r="D27" s="30"/>
      <c r="E27" s="35">
        <f>C27</f>
        <v>17.32</v>
      </c>
    </row>
    <row r="29" spans="1:15" x14ac:dyDescent="0.2">
      <c r="D29" s="2"/>
      <c r="K29" s="37"/>
    </row>
    <row r="30" spans="1:15" ht="15.75" x14ac:dyDescent="0.2">
      <c r="A30" s="3"/>
      <c r="B30" s="758" t="s">
        <v>31</v>
      </c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1"/>
      <c r="O30" s="1"/>
    </row>
    <row r="31" spans="1:15" x14ac:dyDescent="0.2">
      <c r="B31" s="763" t="s">
        <v>32</v>
      </c>
      <c r="C31" s="763"/>
      <c r="D31" s="763"/>
      <c r="E31" s="763"/>
      <c r="F31" s="763"/>
      <c r="G31" s="763"/>
      <c r="H31" s="763"/>
      <c r="I31" s="763"/>
      <c r="J31" s="763"/>
      <c r="K31" s="763"/>
      <c r="L31" s="763"/>
      <c r="M31" s="763"/>
    </row>
    <row r="32" spans="1:15" x14ac:dyDescent="0.2">
      <c r="B32" s="768" t="s">
        <v>33</v>
      </c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</row>
    <row r="33" spans="1:15" x14ac:dyDescent="0.2">
      <c r="B33" s="763" t="s">
        <v>34</v>
      </c>
      <c r="C33" s="763"/>
      <c r="D33" s="763"/>
      <c r="E33" s="763"/>
      <c r="F33" s="763"/>
      <c r="G33" s="763"/>
      <c r="H33" s="763"/>
      <c r="I33" s="763"/>
      <c r="J33" s="763"/>
      <c r="K33" s="763"/>
      <c r="L33" s="763"/>
      <c r="M33" s="763"/>
    </row>
    <row r="34" spans="1:15" x14ac:dyDescent="0.2">
      <c r="B34" s="762" t="s">
        <v>35</v>
      </c>
      <c r="C34" s="762"/>
      <c r="D34" s="762"/>
      <c r="E34" s="762"/>
      <c r="F34" s="762"/>
      <c r="G34" s="762"/>
      <c r="H34" s="762"/>
      <c r="I34" s="762"/>
      <c r="J34" s="762"/>
      <c r="K34" s="762"/>
      <c r="L34" s="762"/>
      <c r="M34" s="762"/>
    </row>
    <row r="35" spans="1:15" x14ac:dyDescent="0.2">
      <c r="B35" s="763" t="s">
        <v>36</v>
      </c>
      <c r="C35" s="763"/>
      <c r="D35" s="763"/>
      <c r="E35" s="763"/>
      <c r="F35" s="763"/>
      <c r="G35" s="763"/>
      <c r="H35" s="763"/>
      <c r="I35" s="763"/>
      <c r="J35" s="763"/>
      <c r="K35" s="763"/>
      <c r="L35" s="763"/>
      <c r="M35" s="763"/>
    </row>
    <row r="36" spans="1:15" x14ac:dyDescent="0.2">
      <c r="B36" s="766" t="s">
        <v>37</v>
      </c>
      <c r="C36" s="766"/>
      <c r="D36" s="766"/>
      <c r="E36" s="766"/>
      <c r="F36" s="766"/>
      <c r="G36" s="766"/>
      <c r="H36" s="766"/>
      <c r="I36" s="766"/>
      <c r="J36" s="766"/>
      <c r="K36" s="766"/>
      <c r="L36" s="766"/>
      <c r="M36" s="766"/>
    </row>
    <row r="37" spans="1:15" x14ac:dyDescent="0.2">
      <c r="B37" s="762" t="s">
        <v>38</v>
      </c>
      <c r="C37" s="762"/>
      <c r="D37" s="762"/>
      <c r="E37" s="762"/>
      <c r="F37" s="762"/>
      <c r="G37" s="762"/>
      <c r="H37" s="762"/>
      <c r="I37" s="762"/>
      <c r="J37" s="762"/>
      <c r="K37" s="762"/>
      <c r="L37" s="762"/>
      <c r="M37" s="762"/>
    </row>
    <row r="38" spans="1:15" ht="26.1" customHeight="1" x14ac:dyDescent="0.2">
      <c r="B38" s="767" t="s">
        <v>39</v>
      </c>
      <c r="C38" s="767"/>
      <c r="D38" s="767"/>
      <c r="E38" s="767"/>
      <c r="F38" s="767"/>
      <c r="G38" s="767"/>
      <c r="H38" s="767"/>
      <c r="I38" s="767"/>
      <c r="J38" s="767"/>
      <c r="K38" s="767"/>
      <c r="L38" s="767"/>
      <c r="M38" s="767"/>
    </row>
    <row r="39" spans="1:15" x14ac:dyDescent="0.2">
      <c r="B39" s="763" t="s">
        <v>40</v>
      </c>
      <c r="C39" s="763"/>
      <c r="D39" s="763"/>
      <c r="E39" s="763"/>
      <c r="F39" s="763"/>
      <c r="G39" s="763"/>
      <c r="H39" s="763"/>
      <c r="I39" s="763"/>
      <c r="J39" s="763"/>
      <c r="K39" s="763"/>
      <c r="L39" s="763"/>
      <c r="M39" s="763"/>
    </row>
    <row r="40" spans="1:15" x14ac:dyDescent="0.2">
      <c r="B40" s="762" t="s">
        <v>41</v>
      </c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O40" s="37"/>
    </row>
    <row r="41" spans="1:15" x14ac:dyDescent="0.2">
      <c r="D41" s="2"/>
      <c r="O41" s="37"/>
    </row>
    <row r="42" spans="1:15" ht="15.75" x14ac:dyDescent="0.2">
      <c r="A42" s="3"/>
      <c r="B42" s="758" t="s">
        <v>42</v>
      </c>
      <c r="C42" s="758"/>
      <c r="D42" s="758"/>
      <c r="E42" s="758"/>
      <c r="F42" s="758"/>
      <c r="G42" s="758"/>
      <c r="H42" s="758"/>
      <c r="I42" s="758"/>
      <c r="J42" s="758"/>
      <c r="K42" s="758"/>
      <c r="L42" s="758"/>
      <c r="M42" s="758"/>
      <c r="N42" s="37"/>
      <c r="O42" s="37"/>
    </row>
    <row r="43" spans="1:15" x14ac:dyDescent="0.2">
      <c r="B43" s="763" t="s">
        <v>43</v>
      </c>
      <c r="C43" s="763"/>
      <c r="D43" s="763"/>
      <c r="E43" s="763"/>
      <c r="F43" s="763"/>
      <c r="G43" s="763"/>
      <c r="H43" s="763"/>
      <c r="I43" s="763"/>
      <c r="J43" s="763"/>
      <c r="K43" s="763"/>
      <c r="L43" s="763"/>
      <c r="M43" s="763"/>
      <c r="N43" s="37"/>
      <c r="O43" s="37"/>
    </row>
    <row r="44" spans="1:15" ht="26.1" customHeight="1" x14ac:dyDescent="0.2">
      <c r="B44" s="38" t="s">
        <v>44</v>
      </c>
      <c r="C44" s="764" t="s">
        <v>45</v>
      </c>
      <c r="D44" s="764"/>
      <c r="E44" s="764"/>
      <c r="F44" s="764"/>
      <c r="G44" s="764"/>
      <c r="H44" s="764"/>
      <c r="I44" s="764"/>
      <c r="J44" s="764"/>
      <c r="K44" s="764"/>
      <c r="L44" s="764"/>
      <c r="M44" s="764"/>
      <c r="N44" s="37"/>
      <c r="O44" s="37"/>
    </row>
    <row r="45" spans="1:15" ht="26.1" customHeight="1" x14ac:dyDescent="0.2">
      <c r="B45" s="39" t="s">
        <v>46</v>
      </c>
      <c r="C45" s="765" t="s">
        <v>47</v>
      </c>
      <c r="D45" s="765"/>
      <c r="E45" s="765"/>
      <c r="F45" s="765"/>
      <c r="G45" s="765"/>
      <c r="H45" s="765"/>
      <c r="I45" s="765"/>
      <c r="J45" s="765"/>
      <c r="K45" s="765"/>
      <c r="L45" s="765"/>
      <c r="M45" s="765"/>
      <c r="N45" s="37"/>
      <c r="O45" s="37"/>
    </row>
    <row r="46" spans="1:15" x14ac:dyDescent="0.2">
      <c r="B46" s="40"/>
      <c r="C46" s="759" t="s">
        <v>48</v>
      </c>
      <c r="D46" s="759"/>
      <c r="E46" s="41">
        <v>1</v>
      </c>
      <c r="F46" s="37"/>
      <c r="G46" s="37"/>
      <c r="H46" s="37"/>
      <c r="I46" s="37"/>
      <c r="J46" s="37"/>
      <c r="K46" s="37"/>
      <c r="L46" s="37"/>
      <c r="M46" s="37"/>
      <c r="N46" s="37"/>
      <c r="O46" s="37"/>
    </row>
    <row r="47" spans="1:15" x14ac:dyDescent="0.2">
      <c r="C47" s="759" t="s">
        <v>49</v>
      </c>
      <c r="D47" s="759"/>
      <c r="E47" s="41">
        <v>3.4931999999999999</v>
      </c>
      <c r="F47" s="37"/>
      <c r="G47" s="37" t="s">
        <v>50</v>
      </c>
      <c r="H47" s="37"/>
      <c r="I47" s="37"/>
      <c r="J47" s="37"/>
      <c r="K47" s="37"/>
      <c r="L47" s="37"/>
      <c r="M47" s="37"/>
      <c r="N47" s="37"/>
      <c r="O47" s="37"/>
    </row>
    <row r="48" spans="1:15" x14ac:dyDescent="0.2">
      <c r="C48" s="759" t="s">
        <v>51</v>
      </c>
      <c r="D48" s="759"/>
      <c r="E48" s="41">
        <v>0.26879999999999998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2:15" x14ac:dyDescent="0.2">
      <c r="C49" s="759" t="s">
        <v>52</v>
      </c>
      <c r="D49" s="759"/>
      <c r="E49" s="41">
        <v>4.2700000000000002E-2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2:15" x14ac:dyDescent="0.2">
      <c r="C50" s="759" t="s">
        <v>53</v>
      </c>
      <c r="D50" s="759"/>
      <c r="E50" s="41">
        <v>3.5499999999999997E-2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2:15" x14ac:dyDescent="0.2">
      <c r="C51" s="759" t="s">
        <v>54</v>
      </c>
      <c r="D51" s="759"/>
      <c r="E51" s="42">
        <v>0.02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</row>
    <row r="52" spans="2:15" x14ac:dyDescent="0.2">
      <c r="C52" s="759" t="s">
        <v>55</v>
      </c>
      <c r="D52" s="759"/>
      <c r="E52" s="42">
        <v>4.0000000000000001E-3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</row>
    <row r="53" spans="2:15" x14ac:dyDescent="0.2">
      <c r="C53" s="759" t="s">
        <v>56</v>
      </c>
      <c r="D53" s="759"/>
      <c r="E53" s="41">
        <v>9.7999999999999997E-3</v>
      </c>
      <c r="F53" s="37"/>
      <c r="G53" s="37"/>
      <c r="H53" s="37"/>
      <c r="I53" s="37"/>
      <c r="J53" s="37"/>
      <c r="K53" s="37"/>
      <c r="L53" s="37"/>
      <c r="M53" s="37"/>
      <c r="N53" s="37"/>
      <c r="O53" s="37"/>
    </row>
    <row r="54" spans="2:15" x14ac:dyDescent="0.2">
      <c r="C54" s="760" t="s">
        <v>57</v>
      </c>
      <c r="D54" s="760"/>
      <c r="E54" s="43">
        <f>SUM(E46:E53)</f>
        <v>4.8739999999999988</v>
      </c>
      <c r="F54" s="1"/>
      <c r="G54" s="1"/>
      <c r="H54" s="1"/>
      <c r="I54" s="1"/>
      <c r="J54" s="1"/>
      <c r="K54" s="1"/>
      <c r="L54" s="1"/>
      <c r="M54" s="1"/>
      <c r="N54" s="37"/>
      <c r="O54" s="37"/>
    </row>
    <row r="55" spans="2:15" x14ac:dyDescent="0.2">
      <c r="B55" s="44" t="s">
        <v>58</v>
      </c>
      <c r="C55" s="761" t="s">
        <v>59</v>
      </c>
      <c r="D55" s="761"/>
      <c r="E55" s="761"/>
      <c r="F55" s="761"/>
      <c r="G55" s="761"/>
      <c r="H55" s="761"/>
      <c r="I55" s="761"/>
      <c r="J55" s="761"/>
      <c r="K55" s="761"/>
      <c r="L55" s="761"/>
      <c r="M55" s="761"/>
      <c r="N55" s="37"/>
      <c r="O55" s="37"/>
    </row>
    <row r="56" spans="2:15" x14ac:dyDescent="0.2">
      <c r="B56" s="762" t="s">
        <v>60</v>
      </c>
      <c r="C56" s="762"/>
      <c r="D56" s="762"/>
      <c r="E56" s="762"/>
      <c r="F56" s="45">
        <v>1.4999999999999999E-2</v>
      </c>
      <c r="G56" s="46"/>
      <c r="H56" s="46"/>
      <c r="I56" s="46"/>
      <c r="J56" s="46"/>
      <c r="K56" s="46"/>
      <c r="L56" s="46"/>
      <c r="M56" s="47"/>
      <c r="N56" s="37"/>
      <c r="O56" s="37"/>
    </row>
    <row r="57" spans="2:15" ht="12.75" customHeight="1" x14ac:dyDescent="0.2">
      <c r="B57" s="48" t="s">
        <v>61</v>
      </c>
      <c r="C57" s="49">
        <v>0.51670000000000005</v>
      </c>
      <c r="D57" s="46"/>
      <c r="E57" s="46"/>
      <c r="F57" s="46"/>
      <c r="G57" s="46"/>
      <c r="H57" s="46"/>
      <c r="I57" s="46"/>
      <c r="J57" s="46"/>
      <c r="K57" s="46"/>
      <c r="L57" s="46"/>
      <c r="M57" s="47"/>
      <c r="N57" s="37"/>
      <c r="O57" s="37"/>
    </row>
    <row r="58" spans="2:15" ht="26.1" customHeight="1" x14ac:dyDescent="0.2">
      <c r="B58" s="50" t="s">
        <v>62</v>
      </c>
      <c r="C58" s="754" t="s">
        <v>63</v>
      </c>
      <c r="D58" s="754"/>
      <c r="E58" s="754"/>
      <c r="F58" s="754"/>
      <c r="G58" s="754"/>
      <c r="H58" s="754"/>
      <c r="I58" s="754"/>
      <c r="J58" s="754"/>
      <c r="K58" s="754"/>
      <c r="L58" s="754"/>
      <c r="M58" s="754"/>
      <c r="N58" s="37"/>
      <c r="O58" s="37"/>
    </row>
    <row r="59" spans="2:15" ht="12.75" customHeight="1" x14ac:dyDescent="0.2">
      <c r="B59" s="51" t="s">
        <v>64</v>
      </c>
      <c r="C59" s="52">
        <v>0.96589999999999998</v>
      </c>
      <c r="D59" s="53"/>
      <c r="E59" s="53"/>
      <c r="F59" s="53"/>
      <c r="G59" s="53"/>
      <c r="H59" s="53"/>
      <c r="I59" s="53"/>
      <c r="J59" s="53"/>
      <c r="K59" s="53"/>
      <c r="L59" s="53"/>
      <c r="M59" s="54"/>
      <c r="N59" s="37"/>
      <c r="O59" s="37"/>
    </row>
    <row r="60" spans="2:15" x14ac:dyDescent="0.2">
      <c r="B60" s="755" t="s">
        <v>65</v>
      </c>
      <c r="C60" s="755"/>
      <c r="D60" s="755"/>
      <c r="E60" s="755"/>
      <c r="F60" s="755"/>
      <c r="G60" s="755"/>
      <c r="H60" s="755"/>
      <c r="I60" s="755"/>
      <c r="J60" s="755"/>
      <c r="K60" s="755"/>
      <c r="L60" s="755"/>
      <c r="M60" s="755"/>
      <c r="N60" s="37"/>
      <c r="O60" s="37"/>
    </row>
    <row r="61" spans="2:15" ht="33" customHeight="1" x14ac:dyDescent="0.2">
      <c r="B61" s="55" t="s">
        <v>66</v>
      </c>
      <c r="C61" s="756" t="s">
        <v>67</v>
      </c>
      <c r="D61" s="756"/>
      <c r="E61" s="756"/>
      <c r="F61" s="756"/>
      <c r="G61" s="756"/>
      <c r="H61" s="756"/>
      <c r="I61" s="756"/>
      <c r="J61" s="756"/>
      <c r="K61" s="756"/>
      <c r="L61" s="756"/>
      <c r="M61" s="756"/>
      <c r="N61" s="37"/>
      <c r="O61" s="37"/>
    </row>
    <row r="62" spans="2:15" ht="12.75" customHeight="1" x14ac:dyDescent="0.2">
      <c r="B62" s="56" t="s">
        <v>68</v>
      </c>
      <c r="C62" s="57">
        <v>0.48330000000000001</v>
      </c>
      <c r="D62" s="58"/>
      <c r="E62" s="58"/>
      <c r="F62" s="58"/>
      <c r="G62" s="58"/>
      <c r="H62" s="58"/>
      <c r="I62" s="58"/>
      <c r="J62" s="58"/>
      <c r="K62" s="58"/>
      <c r="L62" s="58"/>
      <c r="M62" s="59"/>
      <c r="N62" s="37"/>
      <c r="O62" s="37"/>
    </row>
    <row r="63" spans="2:15" ht="12.75" customHeight="1" x14ac:dyDescent="0.2">
      <c r="B63" s="51" t="s">
        <v>69</v>
      </c>
      <c r="C63" s="52">
        <v>3.2000000000000002E-3</v>
      </c>
      <c r="D63" s="60"/>
      <c r="E63" s="53"/>
      <c r="F63" s="53"/>
      <c r="G63" s="53"/>
      <c r="H63" s="53"/>
      <c r="I63" s="53"/>
      <c r="J63" s="53"/>
      <c r="K63" s="53"/>
      <c r="L63" s="53"/>
      <c r="M63" s="54"/>
      <c r="N63" s="37"/>
      <c r="O63" s="37"/>
    </row>
    <row r="64" spans="2:15" ht="12.75" customHeight="1" x14ac:dyDescent="0.2">
      <c r="B64" s="61"/>
      <c r="C64" s="62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37"/>
      <c r="O64" s="37"/>
    </row>
    <row r="65" spans="1:15" ht="12.75" customHeight="1" x14ac:dyDescent="0.2">
      <c r="A65" s="3"/>
      <c r="B65" s="757" t="s">
        <v>70</v>
      </c>
      <c r="C65" s="757"/>
      <c r="D65" s="757"/>
      <c r="E65" s="757"/>
      <c r="F65" s="757"/>
      <c r="G65" s="757"/>
      <c r="H65" s="757"/>
      <c r="I65" s="757"/>
      <c r="J65" s="757"/>
      <c r="K65" s="757"/>
      <c r="L65" s="757"/>
      <c r="M65" s="757"/>
      <c r="N65" s="37"/>
      <c r="O65" s="37"/>
    </row>
    <row r="66" spans="1:15" ht="12.75" customHeight="1" x14ac:dyDescent="0.2">
      <c r="B66" s="63" t="s">
        <v>71</v>
      </c>
      <c r="C66" s="64">
        <v>0.03</v>
      </c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37"/>
      <c r="O66" s="37"/>
    </row>
    <row r="67" spans="1:15" ht="12.75" customHeight="1" x14ac:dyDescent="0.2">
      <c r="B67" s="39" t="s">
        <v>72</v>
      </c>
      <c r="C67" s="64">
        <v>6.7900000000000002E-2</v>
      </c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37"/>
      <c r="O67" s="37"/>
    </row>
    <row r="68" spans="1:15" x14ac:dyDescent="0.2">
      <c r="N68" s="37"/>
      <c r="O68" s="37"/>
    </row>
    <row r="69" spans="1:15" ht="15.75" x14ac:dyDescent="0.2">
      <c r="A69" s="3"/>
      <c r="B69" s="758" t="s">
        <v>73</v>
      </c>
      <c r="C69" s="758"/>
      <c r="D69" s="758"/>
      <c r="E69" s="758"/>
      <c r="F69" s="758"/>
      <c r="G69" s="758"/>
      <c r="H69" s="758"/>
      <c r="I69" s="758"/>
      <c r="J69" s="758"/>
      <c r="K69" s="758"/>
      <c r="L69" s="758"/>
      <c r="M69" s="758"/>
    </row>
    <row r="70" spans="1:15" x14ac:dyDescent="0.2">
      <c r="B70" s="65" t="s">
        <v>74</v>
      </c>
      <c r="C70" s="66" t="s">
        <v>75</v>
      </c>
      <c r="D70" s="66" t="s">
        <v>76</v>
      </c>
      <c r="E70" s="67" t="s">
        <v>77</v>
      </c>
      <c r="F70" s="68" t="s">
        <v>78</v>
      </c>
      <c r="H70" s="753" t="s">
        <v>79</v>
      </c>
      <c r="I70" s="753"/>
      <c r="J70" s="66" t="s">
        <v>75</v>
      </c>
      <c r="K70" s="66" t="s">
        <v>76</v>
      </c>
      <c r="L70" s="67" t="s">
        <v>77</v>
      </c>
      <c r="M70" s="68" t="s">
        <v>78</v>
      </c>
    </row>
    <row r="71" spans="1:15" ht="13.9" customHeight="1" x14ac:dyDescent="0.2">
      <c r="B71" s="69" t="s">
        <v>80</v>
      </c>
      <c r="C71" s="70">
        <v>0.03</v>
      </c>
      <c r="D71" s="71">
        <v>4.5999999999999996</v>
      </c>
      <c r="E71" s="72">
        <f>SUM('Prod. GEXCAN'!P4:U4,'Prod. GEXCAN'!Y4)</f>
        <v>2</v>
      </c>
      <c r="F71" s="73">
        <f t="shared" ref="F71:F83" si="0">E71*D71</f>
        <v>9.1999999999999993</v>
      </c>
      <c r="H71" s="751" t="s">
        <v>81</v>
      </c>
      <c r="I71" s="751"/>
      <c r="J71" s="70">
        <v>0.02</v>
      </c>
      <c r="K71" s="71">
        <v>3.85</v>
      </c>
      <c r="L71" s="72">
        <f>SUM('Prod. GEXNHB'!P4:W4,'Prod. GEXNHB'!AA4)</f>
        <v>2</v>
      </c>
      <c r="M71" s="73">
        <f t="shared" ref="M71:M86" si="1">L71*K71</f>
        <v>7.7</v>
      </c>
    </row>
    <row r="72" spans="1:15" ht="13.9" customHeight="1" x14ac:dyDescent="0.2">
      <c r="B72" s="74" t="s">
        <v>82</v>
      </c>
      <c r="C72" s="70">
        <v>0.03</v>
      </c>
      <c r="D72" s="71">
        <v>4.5999999999999996</v>
      </c>
      <c r="E72" s="72">
        <f>SUM('Prod. GEXCAN'!P5:U5)</f>
        <v>0</v>
      </c>
      <c r="F72" s="73">
        <f t="shared" si="0"/>
        <v>0</v>
      </c>
      <c r="H72" s="751" t="s">
        <v>83</v>
      </c>
      <c r="I72" s="751"/>
      <c r="J72" s="70">
        <v>0.02</v>
      </c>
      <c r="K72" s="71">
        <v>3.85</v>
      </c>
      <c r="L72" s="72">
        <f>SUM('Prod. GEXNHB'!P5:W5)</f>
        <v>1</v>
      </c>
      <c r="M72" s="73">
        <f t="shared" si="1"/>
        <v>3.85</v>
      </c>
    </row>
    <row r="73" spans="1:15" ht="13.9" customHeight="1" x14ac:dyDescent="0.2">
      <c r="B73" s="74" t="s">
        <v>84</v>
      </c>
      <c r="C73" s="70">
        <v>0.03</v>
      </c>
      <c r="D73" s="71">
        <v>4.2</v>
      </c>
      <c r="E73" s="72">
        <f>SUM('Prod. GEXCAN'!P6:U6)</f>
        <v>0</v>
      </c>
      <c r="F73" s="73">
        <f t="shared" si="0"/>
        <v>0</v>
      </c>
      <c r="H73" s="751" t="s">
        <v>85</v>
      </c>
      <c r="I73" s="751"/>
      <c r="J73" s="70">
        <v>0.02</v>
      </c>
      <c r="K73" s="71">
        <v>3.9</v>
      </c>
      <c r="L73" s="72">
        <f>SUM('Prod. GEXNHB'!P6:W6)</f>
        <v>1</v>
      </c>
      <c r="M73" s="73">
        <f t="shared" si="1"/>
        <v>3.9</v>
      </c>
    </row>
    <row r="74" spans="1:15" ht="13.9" customHeight="1" x14ac:dyDescent="0.2">
      <c r="B74" s="74" t="s">
        <v>86</v>
      </c>
      <c r="C74" s="70">
        <v>2.5000000000000001E-2</v>
      </c>
      <c r="D74" s="71">
        <v>4.5999999999999996</v>
      </c>
      <c r="E74" s="72">
        <f>SUM('Prod. GEXCAN'!P7:U7)</f>
        <v>1</v>
      </c>
      <c r="F74" s="73">
        <f t="shared" si="0"/>
        <v>4.5999999999999996</v>
      </c>
      <c r="H74" s="751" t="s">
        <v>87</v>
      </c>
      <c r="I74" s="751"/>
      <c r="J74" s="70">
        <v>0.02</v>
      </c>
      <c r="K74" s="71">
        <v>3.5</v>
      </c>
      <c r="L74" s="72">
        <f>SUM('Prod. GEXNHB'!P7:W7)</f>
        <v>1</v>
      </c>
      <c r="M74" s="73">
        <f t="shared" si="1"/>
        <v>3.5</v>
      </c>
    </row>
    <row r="75" spans="1:15" ht="13.9" customHeight="1" x14ac:dyDescent="0.2">
      <c r="B75" s="74" t="s">
        <v>88</v>
      </c>
      <c r="C75" s="70">
        <v>0.03</v>
      </c>
      <c r="D75" s="71">
        <v>4.5999999999999996</v>
      </c>
      <c r="E75" s="72">
        <f>SUM('Prod. GEXCAN'!P8:U8)</f>
        <v>5</v>
      </c>
      <c r="F75" s="73">
        <f t="shared" si="0"/>
        <v>23</v>
      </c>
      <c r="H75" s="751" t="s">
        <v>89</v>
      </c>
      <c r="I75" s="751"/>
      <c r="J75" s="70">
        <v>2.5000000000000001E-2</v>
      </c>
      <c r="K75" s="71">
        <v>5</v>
      </c>
      <c r="L75" s="72">
        <f>SUM('Prod. GEXNHB'!P8:W8)</f>
        <v>2</v>
      </c>
      <c r="M75" s="73">
        <f t="shared" si="1"/>
        <v>10</v>
      </c>
    </row>
    <row r="76" spans="1:15" ht="13.9" customHeight="1" x14ac:dyDescent="0.2">
      <c r="B76" s="74" t="s">
        <v>90</v>
      </c>
      <c r="C76" s="70">
        <v>0.03</v>
      </c>
      <c r="D76" s="71">
        <v>4.2</v>
      </c>
      <c r="E76" s="72">
        <f>SUM('Prod. GEXCAN'!P9:U9)</f>
        <v>3</v>
      </c>
      <c r="F76" s="73">
        <f t="shared" si="0"/>
        <v>12.600000000000001</v>
      </c>
      <c r="H76" s="751" t="s">
        <v>91</v>
      </c>
      <c r="I76" s="751"/>
      <c r="J76" s="70">
        <v>2.5000000000000001E-2</v>
      </c>
      <c r="K76" s="71">
        <v>2.75</v>
      </c>
      <c r="L76" s="72">
        <f>SUM('Prod. GEXNHB'!P9:W9)</f>
        <v>1</v>
      </c>
      <c r="M76" s="73">
        <f t="shared" si="1"/>
        <v>2.75</v>
      </c>
    </row>
    <row r="77" spans="1:15" ht="13.9" customHeight="1" x14ac:dyDescent="0.2">
      <c r="B77" s="74" t="s">
        <v>92</v>
      </c>
      <c r="C77" s="70">
        <v>0.03</v>
      </c>
      <c r="D77" s="71">
        <v>4.4000000000000004</v>
      </c>
      <c r="E77" s="72">
        <f>SUM('Prod. GEXCAN'!P10:U10)</f>
        <v>4</v>
      </c>
      <c r="F77" s="73">
        <f t="shared" si="0"/>
        <v>17.600000000000001</v>
      </c>
      <c r="H77" s="751" t="s">
        <v>93</v>
      </c>
      <c r="I77" s="751"/>
      <c r="J77" s="70">
        <v>2.5000000000000001E-2</v>
      </c>
      <c r="K77" s="71">
        <v>3.9</v>
      </c>
      <c r="L77" s="72">
        <f>SUM('Prod. GEXNHB'!P10:W10)</f>
        <v>3</v>
      </c>
      <c r="M77" s="73">
        <f t="shared" si="1"/>
        <v>11.7</v>
      </c>
    </row>
    <row r="78" spans="1:15" ht="13.9" customHeight="1" x14ac:dyDescent="0.2">
      <c r="B78" s="74" t="s">
        <v>94</v>
      </c>
      <c r="C78" s="70">
        <v>0.02</v>
      </c>
      <c r="D78" s="71">
        <v>4.5</v>
      </c>
      <c r="E78" s="72">
        <f>SUM('Prod. GEXCAN'!P11:U11)</f>
        <v>3</v>
      </c>
      <c r="F78" s="73">
        <f t="shared" si="0"/>
        <v>13.5</v>
      </c>
      <c r="H78" s="751" t="s">
        <v>95</v>
      </c>
      <c r="I78" s="751"/>
      <c r="J78" s="70">
        <v>3.5000000000000003E-2</v>
      </c>
      <c r="K78" s="71">
        <v>3.95</v>
      </c>
      <c r="L78" s="72">
        <f>SUM('Prod. GEXNHB'!P11:W11)</f>
        <v>3</v>
      </c>
      <c r="M78" s="73">
        <f t="shared" si="1"/>
        <v>11.850000000000001</v>
      </c>
    </row>
    <row r="79" spans="1:15" ht="13.9" customHeight="1" x14ac:dyDescent="0.2">
      <c r="B79" s="74" t="s">
        <v>96</v>
      </c>
      <c r="C79" s="70">
        <v>0.02</v>
      </c>
      <c r="D79" s="71">
        <v>3.38</v>
      </c>
      <c r="E79" s="72">
        <f>SUM('Prod. GEXCAN'!P12:U12)</f>
        <v>3</v>
      </c>
      <c r="F79" s="73">
        <f t="shared" si="0"/>
        <v>10.14</v>
      </c>
      <c r="H79" s="751" t="s">
        <v>97</v>
      </c>
      <c r="I79" s="751"/>
      <c r="J79" s="70">
        <v>0.02</v>
      </c>
      <c r="K79" s="71">
        <v>3.85</v>
      </c>
      <c r="L79" s="72">
        <f>SUM('Prod. GEXNHB'!P12:W12)</f>
        <v>3</v>
      </c>
      <c r="M79" s="73">
        <f t="shared" si="1"/>
        <v>11.55</v>
      </c>
    </row>
    <row r="80" spans="1:15" ht="13.9" customHeight="1" x14ac:dyDescent="0.2">
      <c r="B80" s="74" t="s">
        <v>98</v>
      </c>
      <c r="C80" s="70">
        <v>0.02</v>
      </c>
      <c r="D80" s="71">
        <v>2.35</v>
      </c>
      <c r="E80" s="72">
        <f>SUM('Prod. GEXCAN'!P13:U13)</f>
        <v>1</v>
      </c>
      <c r="F80" s="73">
        <f t="shared" si="0"/>
        <v>2.35</v>
      </c>
      <c r="H80" s="751" t="s">
        <v>99</v>
      </c>
      <c r="I80" s="751"/>
      <c r="J80" s="70">
        <v>0.03</v>
      </c>
      <c r="K80" s="71">
        <v>4.3</v>
      </c>
      <c r="L80" s="72">
        <f>SUM('Prod. GEXNHB'!P13:W13)</f>
        <v>4</v>
      </c>
      <c r="M80" s="73">
        <f t="shared" si="1"/>
        <v>17.2</v>
      </c>
    </row>
    <row r="81" spans="2:13" ht="13.9" customHeight="1" x14ac:dyDescent="0.2">
      <c r="B81" s="74" t="s">
        <v>100</v>
      </c>
      <c r="C81" s="70">
        <v>0.03</v>
      </c>
      <c r="D81" s="71">
        <v>4</v>
      </c>
      <c r="E81" s="72">
        <f>SUM('Prod. GEXCAN'!P15:U15)</f>
        <v>1</v>
      </c>
      <c r="F81" s="73">
        <f t="shared" si="0"/>
        <v>4</v>
      </c>
      <c r="H81" s="751" t="s">
        <v>101</v>
      </c>
      <c r="I81" s="751"/>
      <c r="J81" s="70">
        <v>0.03</v>
      </c>
      <c r="K81" s="71">
        <v>3.9</v>
      </c>
      <c r="L81" s="72">
        <f>SUM('Prod. GEXNHB'!P14:W14)</f>
        <v>2</v>
      </c>
      <c r="M81" s="73">
        <f t="shared" si="1"/>
        <v>7.8</v>
      </c>
    </row>
    <row r="82" spans="2:13" ht="13.9" customHeight="1" x14ac:dyDescent="0.2">
      <c r="B82" s="74" t="s">
        <v>102</v>
      </c>
      <c r="C82" s="70">
        <v>0.03</v>
      </c>
      <c r="D82" s="71">
        <v>3.2</v>
      </c>
      <c r="E82" s="72">
        <f>SUM('Prod. GEXCAN'!P16:U16)</f>
        <v>1</v>
      </c>
      <c r="F82" s="73">
        <f t="shared" si="0"/>
        <v>3.2</v>
      </c>
      <c r="H82" s="751" t="s">
        <v>103</v>
      </c>
      <c r="I82" s="751"/>
      <c r="J82" s="70">
        <v>0.02</v>
      </c>
      <c r="K82" s="71">
        <v>4</v>
      </c>
      <c r="L82" s="72">
        <f>SUM('Prod. GEXNHB'!P15:W15)</f>
        <v>2</v>
      </c>
      <c r="M82" s="73">
        <f t="shared" si="1"/>
        <v>8</v>
      </c>
    </row>
    <row r="83" spans="2:13" ht="13.9" customHeight="1" x14ac:dyDescent="0.2">
      <c r="B83" s="74" t="s">
        <v>104</v>
      </c>
      <c r="C83" s="70">
        <v>0.03</v>
      </c>
      <c r="D83" s="71">
        <v>3.5</v>
      </c>
      <c r="E83" s="72">
        <f>SUM('Prod. GEXCAN'!P16:U16)</f>
        <v>1</v>
      </c>
      <c r="F83" s="73">
        <f t="shared" si="0"/>
        <v>3.5</v>
      </c>
      <c r="H83" s="751" t="s">
        <v>105</v>
      </c>
      <c r="I83" s="751"/>
      <c r="J83" s="70">
        <v>0.03</v>
      </c>
      <c r="K83" s="71">
        <v>3.95</v>
      </c>
      <c r="L83" s="72">
        <f>SUM('Prod. GEXNHB'!P16:W16)</f>
        <v>3</v>
      </c>
      <c r="M83" s="73">
        <f t="shared" si="1"/>
        <v>11.850000000000001</v>
      </c>
    </row>
    <row r="84" spans="2:13" ht="13.9" customHeight="1" x14ac:dyDescent="0.2">
      <c r="B84" s="75" t="s">
        <v>106</v>
      </c>
      <c r="D84" s="76">
        <f>AVERAGE(D71:D83)</f>
        <v>4.0100000000000007</v>
      </c>
      <c r="E84" s="72">
        <f>SUM(E71:E83)</f>
        <v>25</v>
      </c>
      <c r="F84" s="73">
        <f>SUM(F71:F83)</f>
        <v>103.69</v>
      </c>
      <c r="H84" s="751" t="s">
        <v>107</v>
      </c>
      <c r="I84" s="751"/>
      <c r="J84" s="70">
        <v>0.02</v>
      </c>
      <c r="K84" s="71">
        <v>2.85</v>
      </c>
      <c r="L84" s="72">
        <f>SUM('Prod. GEXNHB'!P17:W17)</f>
        <v>1</v>
      </c>
      <c r="M84" s="73">
        <f t="shared" si="1"/>
        <v>2.85</v>
      </c>
    </row>
    <row r="85" spans="2:13" ht="13.9" customHeight="1" x14ac:dyDescent="0.2">
      <c r="B85" s="77" t="s">
        <v>108</v>
      </c>
      <c r="C85" s="78"/>
      <c r="D85" s="79">
        <f>F84/E84</f>
        <v>4.1475999999999997</v>
      </c>
      <c r="E85" s="80"/>
      <c r="F85" s="80"/>
      <c r="H85" s="751" t="s">
        <v>109</v>
      </c>
      <c r="I85" s="751"/>
      <c r="J85" s="70">
        <v>0.03</v>
      </c>
      <c r="K85" s="71">
        <v>3.8</v>
      </c>
      <c r="L85" s="72">
        <f>SUM('Prod. GEXNHB'!P18:W18)</f>
        <v>1</v>
      </c>
      <c r="M85" s="73">
        <f t="shared" si="1"/>
        <v>3.8</v>
      </c>
    </row>
    <row r="86" spans="2:13" ht="13.9" customHeight="1" x14ac:dyDescent="0.2">
      <c r="E86" s="81"/>
      <c r="F86" s="82"/>
      <c r="H86" s="751" t="s">
        <v>110</v>
      </c>
      <c r="I86" s="751"/>
      <c r="J86" s="70">
        <v>2.5000000000000001E-2</v>
      </c>
      <c r="K86" s="71">
        <v>4.5</v>
      </c>
      <c r="L86" s="72">
        <f>SUM('Prod. GEXNHB'!P19:W19)</f>
        <v>1</v>
      </c>
      <c r="M86" s="73">
        <f t="shared" si="1"/>
        <v>4.5</v>
      </c>
    </row>
    <row r="87" spans="2:13" ht="13.9" customHeight="1" x14ac:dyDescent="0.2">
      <c r="E87" s="81"/>
      <c r="F87" s="82"/>
      <c r="H87" s="751" t="s">
        <v>111</v>
      </c>
      <c r="I87" s="751"/>
      <c r="J87" s="70">
        <v>0.03</v>
      </c>
      <c r="K87" s="71">
        <v>4.8</v>
      </c>
      <c r="L87" s="72">
        <f>SUM('Prod. GEXNHB'!P20:W20)</f>
        <v>0</v>
      </c>
      <c r="M87" s="73" t="s">
        <v>112</v>
      </c>
    </row>
    <row r="88" spans="2:13" ht="13.9" customHeight="1" x14ac:dyDescent="0.2">
      <c r="B88" s="65" t="s">
        <v>113</v>
      </c>
      <c r="C88" s="66" t="s">
        <v>75</v>
      </c>
      <c r="D88" s="66" t="s">
        <v>76</v>
      </c>
      <c r="E88" s="67" t="s">
        <v>77</v>
      </c>
      <c r="F88" s="68" t="s">
        <v>78</v>
      </c>
      <c r="H88" s="751" t="s">
        <v>114</v>
      </c>
      <c r="I88" s="751"/>
      <c r="J88" s="70">
        <v>0.02</v>
      </c>
      <c r="K88" s="71">
        <v>5.2</v>
      </c>
      <c r="L88" s="72">
        <f>SUM('Prod. GEXNHB'!P21:W21)</f>
        <v>1</v>
      </c>
      <c r="M88" s="73">
        <f>L88*K88</f>
        <v>5.2</v>
      </c>
    </row>
    <row r="89" spans="2:13" x14ac:dyDescent="0.2">
      <c r="B89" s="83" t="s">
        <v>115</v>
      </c>
      <c r="C89" s="70">
        <v>2.5000000000000001E-2</v>
      </c>
      <c r="D89" s="71">
        <v>4.8499999999999996</v>
      </c>
      <c r="E89" s="72">
        <f>SUM('Prod. GEXPOA'!P4:U4,'Prod. GEXPOA'!Y4)</f>
        <v>19</v>
      </c>
      <c r="F89" s="73">
        <f t="shared" ref="F89:F94" si="2">E89*D89</f>
        <v>92.149999999999991</v>
      </c>
      <c r="H89" s="752" t="s">
        <v>106</v>
      </c>
      <c r="I89" s="752"/>
      <c r="K89" s="76">
        <f>AVERAGE(K71:K88)</f>
        <v>3.9916666666666663</v>
      </c>
      <c r="L89" s="72">
        <f>SUM(L71:L88)</f>
        <v>32</v>
      </c>
      <c r="M89" s="73">
        <f>SUM(M71:M88)</f>
        <v>128</v>
      </c>
    </row>
    <row r="90" spans="2:13" x14ac:dyDescent="0.2">
      <c r="B90" s="83" t="s">
        <v>116</v>
      </c>
      <c r="C90" s="70">
        <v>2.5000000000000001E-2</v>
      </c>
      <c r="D90" s="71">
        <v>4.8499999999999996</v>
      </c>
      <c r="E90" s="72">
        <f>SUM('Prod. GEXPOA'!P5:U5)</f>
        <v>2</v>
      </c>
      <c r="F90" s="73">
        <f t="shared" si="2"/>
        <v>9.6999999999999993</v>
      </c>
      <c r="H90" s="750" t="s">
        <v>108</v>
      </c>
      <c r="I90" s="750"/>
      <c r="J90" s="78"/>
      <c r="K90" s="79">
        <f>M89/L89</f>
        <v>4</v>
      </c>
      <c r="L90" s="84"/>
      <c r="M90" s="85"/>
    </row>
    <row r="91" spans="2:13" x14ac:dyDescent="0.2">
      <c r="B91" s="83" t="s">
        <v>117</v>
      </c>
      <c r="C91" s="70">
        <v>2.5000000000000001E-2</v>
      </c>
      <c r="D91" s="71">
        <v>4.8499999999999996</v>
      </c>
      <c r="E91" s="72">
        <f>SUM('Prod. GEXPOA'!P6:U6)</f>
        <v>20</v>
      </c>
      <c r="F91" s="73">
        <f t="shared" si="2"/>
        <v>97</v>
      </c>
    </row>
    <row r="92" spans="2:13" x14ac:dyDescent="0.2">
      <c r="B92" s="83" t="s">
        <v>118</v>
      </c>
      <c r="C92" s="70">
        <v>2.5000000000000001E-2</v>
      </c>
      <c r="D92" s="71">
        <v>4.8499999999999996</v>
      </c>
      <c r="E92" s="72">
        <f>SUM('Prod. GEXPOA'!P7:U7)</f>
        <v>2</v>
      </c>
      <c r="F92" s="73">
        <f t="shared" si="2"/>
        <v>9.6999999999999993</v>
      </c>
    </row>
    <row r="93" spans="2:13" x14ac:dyDescent="0.2">
      <c r="B93" s="83" t="s">
        <v>119</v>
      </c>
      <c r="C93" s="70">
        <v>0.03</v>
      </c>
      <c r="D93" s="71">
        <v>4.8499999999999996</v>
      </c>
      <c r="E93" s="72">
        <f>SUM('Prod. GEXPOA'!P8:U8)</f>
        <v>2</v>
      </c>
      <c r="F93" s="73">
        <f t="shared" si="2"/>
        <v>9.6999999999999993</v>
      </c>
    </row>
    <row r="94" spans="2:13" x14ac:dyDescent="0.2">
      <c r="B94" s="83" t="s">
        <v>120</v>
      </c>
      <c r="C94" s="70">
        <v>2.5000000000000001E-2</v>
      </c>
      <c r="D94" s="71">
        <v>4.8499999999999996</v>
      </c>
      <c r="E94" s="72">
        <f>SUM('Prod. GEXPOA'!P9:U9)</f>
        <v>3</v>
      </c>
      <c r="F94" s="73">
        <f t="shared" si="2"/>
        <v>14.549999999999999</v>
      </c>
    </row>
    <row r="95" spans="2:13" x14ac:dyDescent="0.2">
      <c r="B95" s="75" t="s">
        <v>106</v>
      </c>
      <c r="D95" s="76">
        <f>AVERAGE(D89:D94)</f>
        <v>4.8500000000000005</v>
      </c>
      <c r="E95" s="72">
        <f>SUM(E89:E94)</f>
        <v>48</v>
      </c>
      <c r="F95" s="73">
        <f>SUM(F89:F94)</f>
        <v>232.79999999999998</v>
      </c>
    </row>
    <row r="96" spans="2:13" x14ac:dyDescent="0.2">
      <c r="B96" s="77" t="s">
        <v>108</v>
      </c>
      <c r="C96" s="78"/>
      <c r="D96" s="79">
        <f>F95/E95</f>
        <v>4.8499999999999996</v>
      </c>
      <c r="E96" s="84"/>
      <c r="F96" s="85"/>
    </row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1048488" ht="12.75" customHeight="1" x14ac:dyDescent="0.2"/>
    <row r="1048489" ht="12.75" customHeight="1" x14ac:dyDescent="0.2"/>
    <row r="1048490" ht="12.75" customHeight="1" x14ac:dyDescent="0.2"/>
    <row r="1048491" ht="12.75" customHeight="1" x14ac:dyDescent="0.2"/>
    <row r="1048492" ht="12.75" customHeight="1" x14ac:dyDescent="0.2"/>
    <row r="1048493" ht="12.75" customHeight="1" x14ac:dyDescent="0.2"/>
    <row r="1048494" ht="12.75" customHeight="1" x14ac:dyDescent="0.2"/>
    <row r="1048495" ht="12.75" customHeight="1" x14ac:dyDescent="0.2"/>
    <row r="1048496" ht="12.75" customHeight="1" x14ac:dyDescent="0.2"/>
    <row r="1048497" ht="12.75" customHeight="1" x14ac:dyDescent="0.2"/>
    <row r="1048498" ht="12.75" customHeight="1" x14ac:dyDescent="0.2"/>
    <row r="1048499" ht="12.75" customHeight="1" x14ac:dyDescent="0.2"/>
    <row r="1048500" ht="12.75" customHeight="1" x14ac:dyDescent="0.2"/>
    <row r="1048501" ht="12.75" customHeight="1" x14ac:dyDescent="0.2"/>
    <row r="1048502" ht="12.75" customHeight="1" x14ac:dyDescent="0.2"/>
  </sheetData>
  <mergeCells count="61">
    <mergeCell ref="B1:M1"/>
    <mergeCell ref="C3:D3"/>
    <mergeCell ref="C4:D4"/>
    <mergeCell ref="B6:M6"/>
    <mergeCell ref="C7:D7"/>
    <mergeCell ref="C8:D8"/>
    <mergeCell ref="C9:F9"/>
    <mergeCell ref="B10:B11"/>
    <mergeCell ref="B17:M17"/>
    <mergeCell ref="B30:M30"/>
    <mergeCell ref="B31:M31"/>
    <mergeCell ref="B32:M32"/>
    <mergeCell ref="B33:M33"/>
    <mergeCell ref="B34:M34"/>
    <mergeCell ref="B35:M35"/>
    <mergeCell ref="B36:M36"/>
    <mergeCell ref="B37:M37"/>
    <mergeCell ref="B38:M38"/>
    <mergeCell ref="B39:M39"/>
    <mergeCell ref="B40:M40"/>
    <mergeCell ref="B42:M42"/>
    <mergeCell ref="B43:M43"/>
    <mergeCell ref="C44:M44"/>
    <mergeCell ref="C45:M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M55"/>
    <mergeCell ref="B56:E56"/>
    <mergeCell ref="C58:M58"/>
    <mergeCell ref="B60:M60"/>
    <mergeCell ref="C61:M61"/>
    <mergeCell ref="B65:M65"/>
    <mergeCell ref="B69:M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90:I90"/>
    <mergeCell ref="H85:I85"/>
    <mergeCell ref="H86:I86"/>
    <mergeCell ref="H87:I87"/>
    <mergeCell ref="H88:I88"/>
    <mergeCell ref="H89:I8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A1:ALY170"/>
  <sheetViews>
    <sheetView zoomScale="75" zoomScaleNormal="75" workbookViewId="0">
      <pane xSplit="1" topLeftCell="B1" activePane="topRight" state="frozen"/>
      <selection pane="topRight" activeCell="Z1" sqref="Z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26" width="9.25" customWidth="1"/>
    <col min="27" max="1014" width="10.625" customWidth="1"/>
    <col min="1015" max="1025" width="10.5" customWidth="1"/>
  </cols>
  <sheetData>
    <row r="1" spans="1:1013" ht="15" customHeight="1" x14ac:dyDescent="0.2">
      <c r="A1" s="313"/>
      <c r="B1" s="313"/>
      <c r="C1" s="817" t="s">
        <v>331</v>
      </c>
      <c r="D1" s="817"/>
      <c r="E1" s="817"/>
      <c r="F1" s="817"/>
      <c r="G1" s="817"/>
      <c r="H1" s="817"/>
      <c r="I1" s="818" t="s">
        <v>332</v>
      </c>
      <c r="J1" s="818"/>
      <c r="K1" s="818"/>
      <c r="L1" s="819" t="s">
        <v>333</v>
      </c>
      <c r="M1" s="819"/>
      <c r="N1" s="819"/>
      <c r="O1" s="313"/>
      <c r="P1" s="313"/>
      <c r="Q1" s="313"/>
      <c r="R1" s="313"/>
      <c r="S1" s="313"/>
      <c r="T1" s="313"/>
      <c r="U1" s="313"/>
      <c r="V1" s="820"/>
      <c r="W1" s="820"/>
      <c r="X1" s="820"/>
      <c r="Y1" s="313"/>
      <c r="Z1" s="80"/>
    </row>
    <row r="2" spans="1:1013" ht="45.95" customHeight="1" x14ac:dyDescent="0.2">
      <c r="A2" s="821" t="s">
        <v>339</v>
      </c>
      <c r="B2" s="821" t="s">
        <v>340</v>
      </c>
      <c r="C2" s="822" t="s">
        <v>428</v>
      </c>
      <c r="D2" s="807" t="s">
        <v>341</v>
      </c>
      <c r="E2" s="807" t="s">
        <v>342</v>
      </c>
      <c r="F2" s="808" t="s">
        <v>343</v>
      </c>
      <c r="G2" s="806" t="s">
        <v>344</v>
      </c>
      <c r="H2" s="823" t="s">
        <v>429</v>
      </c>
      <c r="I2" s="824" t="s">
        <v>346</v>
      </c>
      <c r="J2" s="809" t="s">
        <v>430</v>
      </c>
      <c r="K2" s="825" t="s">
        <v>348</v>
      </c>
      <c r="L2" s="826" t="s">
        <v>349</v>
      </c>
      <c r="M2" s="811" t="s">
        <v>350</v>
      </c>
      <c r="N2" s="813" t="s">
        <v>351</v>
      </c>
      <c r="O2" s="814" t="s">
        <v>431</v>
      </c>
      <c r="P2" s="815" t="s">
        <v>432</v>
      </c>
      <c r="Q2" s="815"/>
      <c r="R2" s="815"/>
      <c r="S2" s="815"/>
      <c r="T2" s="816" t="s">
        <v>433</v>
      </c>
      <c r="U2" s="816"/>
      <c r="V2" s="337" t="s">
        <v>434</v>
      </c>
      <c r="W2" s="338" t="s">
        <v>435</v>
      </c>
      <c r="X2" s="339" t="s">
        <v>436</v>
      </c>
      <c r="Y2" s="722" t="s">
        <v>437</v>
      </c>
      <c r="Z2" s="341"/>
    </row>
    <row r="3" spans="1:1013" x14ac:dyDescent="0.2">
      <c r="A3" s="821"/>
      <c r="B3" s="821"/>
      <c r="C3" s="821"/>
      <c r="D3" s="807"/>
      <c r="E3" s="807"/>
      <c r="F3" s="808"/>
      <c r="G3" s="806"/>
      <c r="H3" s="823"/>
      <c r="I3" s="824"/>
      <c r="J3" s="809"/>
      <c r="K3" s="825"/>
      <c r="L3" s="826"/>
      <c r="M3" s="811"/>
      <c r="N3" s="813"/>
      <c r="O3" s="814"/>
      <c r="P3" s="342" t="s">
        <v>438</v>
      </c>
      <c r="Q3" s="342" t="s">
        <v>439</v>
      </c>
      <c r="R3" s="342" t="s">
        <v>440</v>
      </c>
      <c r="S3" s="343" t="s">
        <v>441</v>
      </c>
      <c r="T3" s="344" t="s">
        <v>442</v>
      </c>
      <c r="U3" s="344" t="s">
        <v>443</v>
      </c>
      <c r="V3" s="345" t="s">
        <v>444</v>
      </c>
      <c r="W3" s="346" t="s">
        <v>444</v>
      </c>
      <c r="X3" s="723" t="s">
        <v>445</v>
      </c>
      <c r="Y3" s="724" t="s">
        <v>442</v>
      </c>
      <c r="Z3" s="341"/>
    </row>
    <row r="4" spans="1:1013" x14ac:dyDescent="0.2">
      <c r="A4" s="725" t="s">
        <v>115</v>
      </c>
      <c r="B4" s="726">
        <f>'Resumo Proposta'!D39</f>
        <v>2.5000000000000001E-2</v>
      </c>
      <c r="C4" s="727">
        <v>13505</v>
      </c>
      <c r="D4" s="728">
        <f>C4-E4-F4-G4-H4</f>
        <v>14874.542307692309</v>
      </c>
      <c r="E4" s="352">
        <f t="shared" ref="E4:E9" si="0">$E$11*(1-H4/$H$11)</f>
        <v>-2560.1923076923076</v>
      </c>
      <c r="F4" s="729">
        <v>0</v>
      </c>
      <c r="G4" s="729">
        <v>265</v>
      </c>
      <c r="H4" s="729">
        <v>925.65</v>
      </c>
      <c r="I4" s="729">
        <v>229</v>
      </c>
      <c r="J4" s="729"/>
      <c r="K4" s="729"/>
      <c r="L4" s="729">
        <v>3572.1</v>
      </c>
      <c r="M4" s="729"/>
      <c r="N4" s="730">
        <v>4291</v>
      </c>
      <c r="O4" s="355">
        <f t="shared" ref="O4:O9" si="1">D4/$D$11+E4/$E$11+F4/$F$11+G4/$G$11+H4/$H$11+I4/$I$11+J4/$J$11+K4/$K$11+M4/$M$11*16*1/188.76+N4/$N$11*16*1/188.76</f>
        <v>17.093184650640872</v>
      </c>
      <c r="P4" s="355">
        <v>5</v>
      </c>
      <c r="Q4" s="355">
        <v>13</v>
      </c>
      <c r="R4" s="355"/>
      <c r="S4" s="355"/>
      <c r="T4" s="356"/>
      <c r="U4" s="356"/>
      <c r="V4" s="357">
        <v>6</v>
      </c>
      <c r="W4" s="358">
        <v>6</v>
      </c>
      <c r="X4" s="731">
        <v>22</v>
      </c>
      <c r="Y4" s="732">
        <v>1</v>
      </c>
      <c r="Z4" s="80"/>
    </row>
    <row r="5" spans="1:1013" x14ac:dyDescent="0.2">
      <c r="A5" s="361" t="s">
        <v>116</v>
      </c>
      <c r="B5" s="726">
        <f>'Resumo Proposta'!D40</f>
        <v>2.5000000000000001E-2</v>
      </c>
      <c r="C5" s="733">
        <v>872.12</v>
      </c>
      <c r="D5" s="734">
        <f>C5-E5-F5-G5-H5</f>
        <v>441.35076923076929</v>
      </c>
      <c r="E5" s="735">
        <f t="shared" si="0"/>
        <v>230.76923076923072</v>
      </c>
      <c r="F5" s="284"/>
      <c r="G5" s="284"/>
      <c r="H5" s="736">
        <v>200</v>
      </c>
      <c r="I5" s="284"/>
      <c r="J5" s="284"/>
      <c r="K5" s="284"/>
      <c r="L5" s="284">
        <v>0</v>
      </c>
      <c r="M5" s="284"/>
      <c r="N5" s="365"/>
      <c r="O5" s="355">
        <f t="shared" si="1"/>
        <v>1.4413507692307692</v>
      </c>
      <c r="P5" s="366">
        <v>1</v>
      </c>
      <c r="Q5" s="367">
        <v>1</v>
      </c>
      <c r="R5" s="367"/>
      <c r="S5" s="367"/>
      <c r="T5" s="368"/>
      <c r="U5" s="368"/>
      <c r="V5" s="369">
        <v>6</v>
      </c>
      <c r="W5" s="370">
        <v>6</v>
      </c>
      <c r="X5" s="737"/>
      <c r="Y5" s="738"/>
      <c r="Z5" s="80"/>
    </row>
    <row r="6" spans="1:1013" x14ac:dyDescent="0.2">
      <c r="A6" s="739" t="s">
        <v>117</v>
      </c>
      <c r="B6" s="726">
        <f>'Resumo Proposta'!D41</f>
        <v>2.5000000000000001E-2</v>
      </c>
      <c r="C6" s="733">
        <v>6242</v>
      </c>
      <c r="D6" s="734">
        <f>C6-E6-F6-G6-H6</f>
        <v>5167.1446153846155</v>
      </c>
      <c r="E6" s="735">
        <f t="shared" si="0"/>
        <v>60.615384615384627</v>
      </c>
      <c r="F6" s="284">
        <v>0</v>
      </c>
      <c r="G6" s="284">
        <v>770</v>
      </c>
      <c r="H6" s="284">
        <v>244.24</v>
      </c>
      <c r="I6" s="284">
        <v>2045</v>
      </c>
      <c r="J6" s="284"/>
      <c r="K6" s="284"/>
      <c r="L6" s="284">
        <v>0</v>
      </c>
      <c r="M6" s="284"/>
      <c r="N6" s="365">
        <v>4627</v>
      </c>
      <c r="O6" s="355">
        <f t="shared" si="1"/>
        <v>8.4699951920629442</v>
      </c>
      <c r="P6" s="367">
        <v>2</v>
      </c>
      <c r="Q6" s="367">
        <v>5</v>
      </c>
      <c r="R6" s="367"/>
      <c r="S6" s="367">
        <v>2</v>
      </c>
      <c r="T6" s="368">
        <v>6</v>
      </c>
      <c r="U6" s="368">
        <v>5</v>
      </c>
      <c r="V6" s="369">
        <v>6</v>
      </c>
      <c r="W6" s="370">
        <v>6</v>
      </c>
      <c r="X6" s="740"/>
      <c r="Y6" s="738"/>
      <c r="Z6" s="80"/>
    </row>
    <row r="7" spans="1:1013" x14ac:dyDescent="0.2">
      <c r="A7" s="361" t="s">
        <v>118</v>
      </c>
      <c r="B7" s="726">
        <f>'Resumo Proposta'!D42</f>
        <v>2.5000000000000001E-2</v>
      </c>
      <c r="C7" s="733">
        <v>825</v>
      </c>
      <c r="D7" s="734">
        <f>C7-E7-F7-G7-H7</f>
        <v>49.230769230769283</v>
      </c>
      <c r="E7" s="735">
        <f t="shared" si="0"/>
        <v>230.76923076923072</v>
      </c>
      <c r="F7" s="284">
        <v>0</v>
      </c>
      <c r="G7" s="284">
        <v>345</v>
      </c>
      <c r="H7" s="284">
        <v>200</v>
      </c>
      <c r="I7" s="284">
        <v>945</v>
      </c>
      <c r="J7" s="284"/>
      <c r="K7" s="284"/>
      <c r="L7" s="284">
        <v>0</v>
      </c>
      <c r="M7" s="284"/>
      <c r="N7" s="365">
        <v>176</v>
      </c>
      <c r="O7" s="355">
        <f t="shared" si="1"/>
        <v>1.6684897558581773</v>
      </c>
      <c r="P7" s="367">
        <v>1</v>
      </c>
      <c r="Q7" s="367"/>
      <c r="R7" s="367"/>
      <c r="S7" s="367">
        <v>1</v>
      </c>
      <c r="T7" s="356"/>
      <c r="U7" s="356"/>
      <c r="V7" s="369">
        <v>6</v>
      </c>
      <c r="W7" s="370">
        <v>6</v>
      </c>
      <c r="X7" s="740"/>
      <c r="Y7" s="738"/>
      <c r="Z7" s="80"/>
    </row>
    <row r="8" spans="1:1013" x14ac:dyDescent="0.2">
      <c r="A8" s="361" t="s">
        <v>119</v>
      </c>
      <c r="B8" s="726">
        <f>'Resumo Proposta'!D43</f>
        <v>0.03</v>
      </c>
      <c r="C8" s="733"/>
      <c r="D8" s="734"/>
      <c r="E8" s="735">
        <f t="shared" si="0"/>
        <v>1000</v>
      </c>
      <c r="F8" s="284"/>
      <c r="G8" s="284"/>
      <c r="H8" s="284"/>
      <c r="I8" s="284"/>
      <c r="J8" s="284"/>
      <c r="K8" s="284"/>
      <c r="L8" s="284"/>
      <c r="M8" s="284"/>
      <c r="N8" s="365"/>
      <c r="O8" s="355">
        <f t="shared" si="1"/>
        <v>1</v>
      </c>
      <c r="P8" s="367">
        <v>1</v>
      </c>
      <c r="Q8" s="367"/>
      <c r="R8" s="367"/>
      <c r="S8" s="367"/>
      <c r="T8" s="368">
        <v>1</v>
      </c>
      <c r="U8" s="368"/>
      <c r="V8" s="369">
        <v>6</v>
      </c>
      <c r="W8" s="370">
        <v>6</v>
      </c>
      <c r="X8" s="740"/>
      <c r="Y8" s="738"/>
      <c r="Z8" s="80"/>
    </row>
    <row r="9" spans="1:1013" x14ac:dyDescent="0.2">
      <c r="A9" s="375" t="s">
        <v>120</v>
      </c>
      <c r="B9" s="726">
        <f>'Resumo Proposta'!D44</f>
        <v>2.5000000000000001E-2</v>
      </c>
      <c r="C9" s="741">
        <v>3440</v>
      </c>
      <c r="D9" s="742">
        <f>C9-E9-F9-G9-H9</f>
        <v>2709.2307692307695</v>
      </c>
      <c r="E9" s="743">
        <f t="shared" si="0"/>
        <v>230.76923076923072</v>
      </c>
      <c r="F9" s="380"/>
      <c r="G9" s="380">
        <v>300</v>
      </c>
      <c r="H9" s="380">
        <v>200</v>
      </c>
      <c r="I9" s="380">
        <v>1570</v>
      </c>
      <c r="J9" s="380"/>
      <c r="K9" s="380"/>
      <c r="L9" s="380">
        <v>0</v>
      </c>
      <c r="M9" s="380"/>
      <c r="N9" s="381">
        <v>250</v>
      </c>
      <c r="O9" s="355">
        <f t="shared" si="1"/>
        <v>4.5464778567170914</v>
      </c>
      <c r="P9" s="367">
        <v>1</v>
      </c>
      <c r="Q9" s="367">
        <v>1</v>
      </c>
      <c r="R9" s="367"/>
      <c r="S9" s="367">
        <v>1</v>
      </c>
      <c r="T9" s="368"/>
      <c r="U9" s="368"/>
      <c r="V9" s="369">
        <v>6</v>
      </c>
      <c r="W9" s="370">
        <v>6</v>
      </c>
      <c r="X9" s="740"/>
      <c r="Y9" s="738"/>
      <c r="Z9" s="80"/>
    </row>
    <row r="10" spans="1:1013" x14ac:dyDescent="0.2">
      <c r="A10" s="382" t="s">
        <v>446</v>
      </c>
      <c r="B10" s="382"/>
      <c r="C10" s="382"/>
      <c r="D10" s="383">
        <f t="shared" ref="D10:Y10" si="2">SUM(D4:D9)</f>
        <v>23241.49923076923</v>
      </c>
      <c r="E10" s="383">
        <f t="shared" si="2"/>
        <v>-807.26923076923094</v>
      </c>
      <c r="F10" s="691">
        <f t="shared" si="2"/>
        <v>0</v>
      </c>
      <c r="G10" s="691">
        <f t="shared" si="2"/>
        <v>1680</v>
      </c>
      <c r="H10" s="691">
        <f t="shared" si="2"/>
        <v>1769.89</v>
      </c>
      <c r="I10" s="691">
        <f t="shared" si="2"/>
        <v>4789</v>
      </c>
      <c r="J10" s="691">
        <f t="shared" si="2"/>
        <v>0</v>
      </c>
      <c r="K10" s="691">
        <f t="shared" si="2"/>
        <v>0</v>
      </c>
      <c r="L10" s="691">
        <f t="shared" si="2"/>
        <v>3572.1</v>
      </c>
      <c r="M10" s="691">
        <f t="shared" si="2"/>
        <v>0</v>
      </c>
      <c r="N10" s="744">
        <f t="shared" si="2"/>
        <v>9344</v>
      </c>
      <c r="O10" s="384">
        <f t="shared" si="2"/>
        <v>34.219498224509856</v>
      </c>
      <c r="P10" s="386">
        <f t="shared" si="2"/>
        <v>11</v>
      </c>
      <c r="Q10" s="386">
        <f t="shared" si="2"/>
        <v>20</v>
      </c>
      <c r="R10" s="386">
        <f t="shared" si="2"/>
        <v>0</v>
      </c>
      <c r="S10" s="386">
        <f t="shared" si="2"/>
        <v>4</v>
      </c>
      <c r="T10" s="387">
        <f t="shared" si="2"/>
        <v>7</v>
      </c>
      <c r="U10" s="388">
        <f t="shared" si="2"/>
        <v>5</v>
      </c>
      <c r="V10" s="389">
        <f t="shared" si="2"/>
        <v>36</v>
      </c>
      <c r="W10" s="390">
        <f t="shared" si="2"/>
        <v>36</v>
      </c>
      <c r="X10" s="745">
        <f t="shared" si="2"/>
        <v>22</v>
      </c>
      <c r="Y10" s="746">
        <f t="shared" si="2"/>
        <v>1</v>
      </c>
      <c r="ALV10" s="272"/>
      <c r="ALW10" s="272"/>
      <c r="ALX10" s="272"/>
      <c r="ALY10" s="272"/>
    </row>
    <row r="11" spans="1:1013" ht="15" x14ac:dyDescent="0.25">
      <c r="A11" s="393" t="s">
        <v>447</v>
      </c>
      <c r="B11" s="393"/>
      <c r="C11" s="393"/>
      <c r="D11" s="394">
        <v>1000</v>
      </c>
      <c r="E11" s="394">
        <v>1000</v>
      </c>
      <c r="F11" s="395">
        <v>2500</v>
      </c>
      <c r="G11" s="395">
        <v>1500</v>
      </c>
      <c r="H11" s="395">
        <v>260</v>
      </c>
      <c r="I11" s="395">
        <v>2700</v>
      </c>
      <c r="J11" s="395">
        <v>100000</v>
      </c>
      <c r="K11" s="395">
        <v>7500</v>
      </c>
      <c r="L11" s="395">
        <v>160</v>
      </c>
      <c r="M11" s="395">
        <v>380</v>
      </c>
      <c r="N11" s="396">
        <v>380</v>
      </c>
      <c r="O11" s="397"/>
      <c r="P11" s="398" t="s">
        <v>448</v>
      </c>
      <c r="Q11" s="399">
        <f>P10+Q10+R10+S10</f>
        <v>35</v>
      </c>
      <c r="R11" s="400"/>
      <c r="S11" s="400"/>
      <c r="T11" s="398" t="s">
        <v>448</v>
      </c>
      <c r="U11" s="401">
        <f>T10+U10</f>
        <v>12</v>
      </c>
      <c r="V11" s="402"/>
      <c r="W11" s="402"/>
      <c r="X11" s="402"/>
      <c r="Y11" s="316"/>
      <c r="Z11" s="317"/>
      <c r="ALY11" s="317"/>
    </row>
    <row r="12" spans="1:1013" ht="15" x14ac:dyDescent="0.25">
      <c r="A12" s="403" t="s">
        <v>449</v>
      </c>
      <c r="B12" s="403"/>
      <c r="C12" s="403"/>
      <c r="D12" s="404">
        <f t="shared" ref="D12:K12" si="3">D10/D11</f>
        <v>23.241499230769229</v>
      </c>
      <c r="E12" s="404">
        <f t="shared" si="3"/>
        <v>-0.80726923076923096</v>
      </c>
      <c r="F12" s="405">
        <f t="shared" si="3"/>
        <v>0</v>
      </c>
      <c r="G12" s="405">
        <f t="shared" si="3"/>
        <v>1.1200000000000001</v>
      </c>
      <c r="H12" s="405">
        <f t="shared" si="3"/>
        <v>6.8072692307692311</v>
      </c>
      <c r="I12" s="405">
        <f t="shared" si="3"/>
        <v>1.7737037037037038</v>
      </c>
      <c r="J12" s="405">
        <f t="shared" si="3"/>
        <v>0</v>
      </c>
      <c r="K12" s="405">
        <f t="shared" si="3"/>
        <v>0</v>
      </c>
      <c r="L12" s="405">
        <f>1/L11*8*1/1132.6*L10</f>
        <v>0.15769468479604451</v>
      </c>
      <c r="M12" s="405">
        <f>1/M11*16*1/188.76*M10</f>
        <v>0</v>
      </c>
      <c r="N12" s="406">
        <f>1/N11*16*1/188.76*N10</f>
        <v>2.0842952900369172</v>
      </c>
      <c r="O12" s="407">
        <f>SUM(D12:N12)-L12</f>
        <v>34.219498224509856</v>
      </c>
      <c r="P12" s="398" t="s">
        <v>450</v>
      </c>
      <c r="Q12" s="401">
        <f>P10+Q10+((R10+S10)*0.75)</f>
        <v>34</v>
      </c>
      <c r="R12" s="316"/>
      <c r="S12" s="316"/>
      <c r="T12" s="408"/>
      <c r="U12" s="316"/>
      <c r="V12" s="316"/>
      <c r="W12" s="316"/>
      <c r="X12" s="316"/>
      <c r="Y12" s="316"/>
      <c r="Z12" s="317"/>
      <c r="ALY12" s="317"/>
    </row>
    <row r="13" spans="1:1013" ht="15" x14ac:dyDescent="0.25">
      <c r="A13" s="409" t="s">
        <v>451</v>
      </c>
      <c r="B13" s="409"/>
      <c r="C13" s="409"/>
      <c r="D13" s="410">
        <f t="shared" ref="D13:K13" si="4">D10/($O12*D11)</f>
        <v>0.67918877939952982</v>
      </c>
      <c r="E13" s="695">
        <f t="shared" si="4"/>
        <v>-2.3590913737917437E-2</v>
      </c>
      <c r="F13" s="696">
        <f t="shared" si="4"/>
        <v>0</v>
      </c>
      <c r="G13" s="696">
        <f t="shared" si="4"/>
        <v>3.2729877938356078E-2</v>
      </c>
      <c r="H13" s="696">
        <f t="shared" si="4"/>
        <v>0.19892954555053927</v>
      </c>
      <c r="I13" s="696">
        <f t="shared" si="4"/>
        <v>5.1833130108064562E-2</v>
      </c>
      <c r="J13" s="696">
        <f t="shared" si="4"/>
        <v>0</v>
      </c>
      <c r="K13" s="696">
        <f t="shared" si="4"/>
        <v>0</v>
      </c>
      <c r="L13" s="696">
        <f>1/$O12*1/L11*16*1/188.76*L10</f>
        <v>5.5301893647830259E-2</v>
      </c>
      <c r="M13" s="696">
        <f>1/$O12*1/M11*16*1/188.76*M10</f>
        <v>0</v>
      </c>
      <c r="N13" s="697">
        <f>1/$O12*1/N11*16*1/188.76*N10</f>
        <v>6.0909580741427466E-2</v>
      </c>
      <c r="O13" s="412">
        <f>SUM(D13:N13)</f>
        <v>1.05530189364783</v>
      </c>
      <c r="P13" s="316"/>
      <c r="Q13" s="316"/>
      <c r="R13" s="316"/>
      <c r="S13" s="316"/>
      <c r="T13" s="316"/>
      <c r="U13" s="316"/>
      <c r="V13" s="316"/>
      <c r="W13" s="316"/>
      <c r="X13" s="316"/>
      <c r="Y13" s="317"/>
      <c r="Z13" s="317"/>
      <c r="ALY13" s="317"/>
    </row>
    <row r="14" spans="1:1013" ht="15" hidden="1" x14ac:dyDescent="0.25">
      <c r="A14" s="413" t="s">
        <v>452</v>
      </c>
      <c r="B14" s="413"/>
      <c r="C14" s="413"/>
      <c r="D14" s="414">
        <f>ROUND(1/D11,9)</f>
        <v>1E-3</v>
      </c>
      <c r="E14" s="414"/>
      <c r="F14" s="415">
        <f t="shared" ref="F14:K14" si="5">ROUND(1/F11,9)</f>
        <v>4.0000000000000002E-4</v>
      </c>
      <c r="G14" s="415">
        <f t="shared" si="5"/>
        <v>6.6666700000000002E-4</v>
      </c>
      <c r="H14" s="415">
        <f t="shared" si="5"/>
        <v>3.8461540000000001E-3</v>
      </c>
      <c r="I14" s="415">
        <f t="shared" si="5"/>
        <v>3.7037000000000002E-4</v>
      </c>
      <c r="J14" s="415">
        <f t="shared" si="5"/>
        <v>1.0000000000000001E-5</v>
      </c>
      <c r="K14" s="415">
        <f t="shared" si="5"/>
        <v>1.3333299999999999E-4</v>
      </c>
      <c r="L14" s="416">
        <f>(1/L11)*(1/N19)*8</f>
        <v>4.8611111111111115E-5</v>
      </c>
      <c r="M14" s="416">
        <f>(1/M11)*(1/N18)*16</f>
        <v>2.4561403508771931E-4</v>
      </c>
      <c r="N14" s="417">
        <f>(1/N11)*(1/N18)*16</f>
        <v>2.4561403508771931E-4</v>
      </c>
      <c r="O14" s="317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LY14" s="317"/>
    </row>
    <row r="15" spans="1:1013" ht="15" hidden="1" x14ac:dyDescent="0.25">
      <c r="A15" s="418" t="s">
        <v>453</v>
      </c>
      <c r="B15" s="418"/>
      <c r="C15" s="418"/>
      <c r="D15" s="419">
        <f>D14/$Y$10</f>
        <v>1E-3</v>
      </c>
      <c r="E15" s="419"/>
      <c r="F15" s="420">
        <f t="shared" ref="F15:N15" si="6">F14/$Y$10</f>
        <v>4.0000000000000002E-4</v>
      </c>
      <c r="G15" s="420">
        <f t="shared" si="6"/>
        <v>6.6666700000000002E-4</v>
      </c>
      <c r="H15" s="420">
        <f t="shared" si="6"/>
        <v>3.8461540000000001E-3</v>
      </c>
      <c r="I15" s="420">
        <f t="shared" si="6"/>
        <v>3.7037000000000002E-4</v>
      </c>
      <c r="J15" s="420">
        <f t="shared" si="6"/>
        <v>1.0000000000000001E-5</v>
      </c>
      <c r="K15" s="420">
        <f t="shared" si="6"/>
        <v>1.3333299999999999E-4</v>
      </c>
      <c r="L15" s="421">
        <f t="shared" si="6"/>
        <v>4.8611111111111115E-5</v>
      </c>
      <c r="M15" s="421">
        <f t="shared" si="6"/>
        <v>2.4561403508771931E-4</v>
      </c>
      <c r="N15" s="422">
        <f t="shared" si="6"/>
        <v>2.4561403508771931E-4</v>
      </c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7"/>
      <c r="ALY15" s="317"/>
    </row>
    <row r="16" spans="1:1013" ht="15" x14ac:dyDescent="0.25">
      <c r="A16" s="423" t="s">
        <v>454</v>
      </c>
      <c r="B16" s="423"/>
      <c r="C16" s="423"/>
      <c r="D16" s="424" t="s">
        <v>455</v>
      </c>
      <c r="E16" s="424" t="s">
        <v>455</v>
      </c>
      <c r="F16" s="425" t="s">
        <v>456</v>
      </c>
      <c r="G16" s="425" t="s">
        <v>457</v>
      </c>
      <c r="H16" s="425" t="s">
        <v>458</v>
      </c>
      <c r="I16" s="426" t="s">
        <v>459</v>
      </c>
      <c r="J16" s="426" t="s">
        <v>459</v>
      </c>
      <c r="K16" s="426" t="s">
        <v>460</v>
      </c>
      <c r="L16" s="427" t="s">
        <v>461</v>
      </c>
      <c r="M16" s="427" t="s">
        <v>462</v>
      </c>
      <c r="N16" s="428" t="s">
        <v>462</v>
      </c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LY16" s="317"/>
    </row>
    <row r="17" spans="1:1013" ht="15" hidden="1" x14ac:dyDescent="0.25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ALV17" s="272"/>
      <c r="ALW17" s="272"/>
      <c r="ALX17" s="272"/>
      <c r="ALY17" s="272"/>
    </row>
    <row r="18" spans="1:1013" ht="15" hidden="1" x14ac:dyDescent="0.25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429">
        <f>30/7</f>
        <v>4.2857142857142856</v>
      </c>
      <c r="M18" s="429">
        <v>40</v>
      </c>
      <c r="N18" s="429">
        <f>L18*M18</f>
        <v>171.42857142857142</v>
      </c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ALV18" s="272"/>
      <c r="ALW18" s="272"/>
      <c r="ALX18" s="272"/>
      <c r="ALY18" s="272"/>
    </row>
    <row r="19" spans="1:1013" ht="15" hidden="1" x14ac:dyDescent="0.25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429"/>
      <c r="M19" s="429"/>
      <c r="N19" s="429">
        <f>N18*6</f>
        <v>1028.5714285714284</v>
      </c>
      <c r="O19" s="429" t="s">
        <v>463</v>
      </c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ALV19" s="272"/>
      <c r="ALW19" s="272"/>
      <c r="ALX19" s="272"/>
      <c r="ALY19" s="272"/>
    </row>
    <row r="170" spans="4:4" x14ac:dyDescent="0.2">
      <c r="D170">
        <f>(1/'Prod. GEXCAN'!L18)*(1/('Prod. GEXCAN'!L19))*8</f>
        <v>12.357074277734135</v>
      </c>
    </row>
  </sheetData>
  <mergeCells count="21"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S2"/>
    <mergeCell ref="T2:U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7EE"/>
  </sheetPr>
  <dimension ref="A1:AMK198"/>
  <sheetViews>
    <sheetView zoomScale="75" zoomScaleNormal="75" workbookViewId="0">
      <pane ySplit="10" topLeftCell="A11" activePane="bottomLeft" state="frozen"/>
      <selection pane="bottomLeft" activeCell="M145" sqref="M145"/>
    </sheetView>
  </sheetViews>
  <sheetFormatPr defaultRowHeight="14.25" x14ac:dyDescent="0.2"/>
  <cols>
    <col min="1" max="1" width="58.125" style="429" customWidth="1"/>
    <col min="2" max="2" width="16.25" style="429" customWidth="1"/>
    <col min="3" max="12" width="14" style="429" customWidth="1"/>
    <col min="13" max="13" width="15.125" style="429" customWidth="1"/>
    <col min="14" max="14" width="10.5" style="429" customWidth="1"/>
    <col min="15" max="15" width="14.25" style="429" customWidth="1"/>
    <col min="16" max="1025" width="10.5" style="429" customWidth="1"/>
  </cols>
  <sheetData>
    <row r="1" spans="1:9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</row>
    <row r="2" spans="1:9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</row>
    <row r="3" spans="1:9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</row>
    <row r="4" spans="1:9" ht="24" x14ac:dyDescent="0.2">
      <c r="A4" s="430"/>
      <c r="B4" s="431"/>
      <c r="C4" s="851" t="s">
        <v>467</v>
      </c>
      <c r="D4" s="851"/>
      <c r="E4" s="852" t="s">
        <v>468</v>
      </c>
      <c r="F4" s="852"/>
      <c r="G4" s="433" t="s">
        <v>469</v>
      </c>
      <c r="H4" s="434" t="s">
        <v>470</v>
      </c>
      <c r="I4" s="435" t="s">
        <v>471</v>
      </c>
    </row>
    <row r="5" spans="1:9" x14ac:dyDescent="0.2">
      <c r="A5" s="436"/>
      <c r="B5" s="437" t="s">
        <v>472</v>
      </c>
      <c r="C5" s="847">
        <f>MC!$D11</f>
        <v>1194.6272727272726</v>
      </c>
      <c r="D5" s="847"/>
      <c r="E5" s="858">
        <f>MC!$E11</f>
        <v>895.97045454545446</v>
      </c>
      <c r="F5" s="858"/>
      <c r="G5" s="698">
        <f>MC!$F11</f>
        <v>597.31363636363631</v>
      </c>
      <c r="H5" s="698">
        <f>MC!$C13</f>
        <v>1669.75</v>
      </c>
      <c r="I5" s="699">
        <f>MC!$D12</f>
        <v>1673.9117345454545</v>
      </c>
    </row>
    <row r="6" spans="1:9" x14ac:dyDescent="0.2">
      <c r="A6" s="436"/>
      <c r="B6" s="437" t="s">
        <v>473</v>
      </c>
      <c r="C6" s="848">
        <f>MC!$E8</f>
        <v>44562</v>
      </c>
      <c r="D6" s="848"/>
      <c r="E6" s="856">
        <f>MC!$E8</f>
        <v>44562</v>
      </c>
      <c r="F6" s="856"/>
      <c r="G6" s="700">
        <f>MC!$E8</f>
        <v>44562</v>
      </c>
      <c r="H6" s="700">
        <f>MC!$E8</f>
        <v>44562</v>
      </c>
      <c r="I6" s="701">
        <f>MC!$E8</f>
        <v>44562</v>
      </c>
    </row>
    <row r="7" spans="1:9" x14ac:dyDescent="0.2">
      <c r="A7" s="436"/>
      <c r="B7" s="437" t="s">
        <v>474</v>
      </c>
      <c r="C7" s="848" t="str">
        <f>MC!$C8</f>
        <v>RS005021/2021</v>
      </c>
      <c r="D7" s="848"/>
      <c r="E7" s="856" t="str">
        <f>MC!$C8</f>
        <v>RS005021/2021</v>
      </c>
      <c r="F7" s="856"/>
      <c r="G7" s="700" t="str">
        <f>MC!$C8</f>
        <v>RS005021/2021</v>
      </c>
      <c r="H7" s="700" t="str">
        <f>MC!$C8</f>
        <v>RS005021/2021</v>
      </c>
      <c r="I7" s="701" t="str">
        <f>MC!$C8</f>
        <v>RS005021/2021</v>
      </c>
    </row>
    <row r="8" spans="1:9" x14ac:dyDescent="0.2">
      <c r="A8" s="436"/>
      <c r="B8" s="437" t="s">
        <v>475</v>
      </c>
      <c r="C8" s="844" t="str">
        <f>MC!$F8</f>
        <v>5143-20</v>
      </c>
      <c r="D8" s="844"/>
      <c r="E8" s="857" t="str">
        <f>MC!$F8</f>
        <v>5143-20</v>
      </c>
      <c r="F8" s="857"/>
      <c r="G8" s="702" t="str">
        <f>MC!$F8</f>
        <v>5143-20</v>
      </c>
      <c r="H8" s="702" t="str">
        <f>MC!$F8</f>
        <v>5143-20</v>
      </c>
      <c r="I8" s="703" t="str">
        <f>MC!$F8</f>
        <v>5143-20</v>
      </c>
    </row>
    <row r="9" spans="1:9" x14ac:dyDescent="0.2">
      <c r="A9" s="846"/>
      <c r="B9" s="846"/>
      <c r="C9" s="846"/>
      <c r="D9" s="846"/>
      <c r="E9" s="846"/>
      <c r="F9" s="846"/>
      <c r="G9" s="846"/>
      <c r="H9" s="846"/>
      <c r="I9" s="846"/>
    </row>
    <row r="10" spans="1:9" ht="56.1" customHeight="1" x14ac:dyDescent="0.2">
      <c r="A10" s="447" t="s">
        <v>476</v>
      </c>
      <c r="B10" s="448" t="s">
        <v>477</v>
      </c>
      <c r="C10" s="449" t="s">
        <v>478</v>
      </c>
      <c r="D10" s="450" t="s">
        <v>479</v>
      </c>
      <c r="E10" s="450" t="s">
        <v>480</v>
      </c>
      <c r="F10" s="450" t="s">
        <v>481</v>
      </c>
      <c r="G10" s="450" t="s">
        <v>482</v>
      </c>
      <c r="H10" s="450" t="s">
        <v>483</v>
      </c>
      <c r="I10" s="451" t="s">
        <v>484</v>
      </c>
    </row>
    <row r="11" spans="1:9" ht="14.25" customHeight="1" x14ac:dyDescent="0.2">
      <c r="A11" s="842" t="s">
        <v>485</v>
      </c>
      <c r="B11" s="842"/>
      <c r="C11" s="842"/>
      <c r="D11" s="842"/>
      <c r="E11" s="842"/>
      <c r="F11" s="842"/>
      <c r="G11" s="842"/>
      <c r="H11" s="842"/>
      <c r="I11" s="842"/>
    </row>
    <row r="12" spans="1:9" ht="15.75" customHeight="1" x14ac:dyDescent="0.2">
      <c r="A12" s="452" t="s">
        <v>486</v>
      </c>
      <c r="B12" s="453" t="s">
        <v>487</v>
      </c>
      <c r="C12" s="453" t="s">
        <v>488</v>
      </c>
      <c r="D12" s="453" t="s">
        <v>488</v>
      </c>
      <c r="E12" s="453" t="s">
        <v>488</v>
      </c>
      <c r="F12" s="453" t="s">
        <v>488</v>
      </c>
      <c r="G12" s="453" t="s">
        <v>488</v>
      </c>
      <c r="H12" s="453" t="s">
        <v>488</v>
      </c>
      <c r="I12" s="454" t="s">
        <v>488</v>
      </c>
    </row>
    <row r="13" spans="1:9" ht="15.75" customHeight="1" x14ac:dyDescent="0.2">
      <c r="A13" s="455" t="s">
        <v>489</v>
      </c>
      <c r="B13" s="456"/>
      <c r="C13" s="457">
        <f>C5</f>
        <v>1194.6272727272726</v>
      </c>
      <c r="D13" s="457">
        <f>C5</f>
        <v>1194.6272727272726</v>
      </c>
      <c r="E13" s="458">
        <f>E5</f>
        <v>895.97045454545446</v>
      </c>
      <c r="F13" s="458">
        <f>E5</f>
        <v>895.97045454545446</v>
      </c>
      <c r="G13" s="458">
        <f>G5</f>
        <v>597.31363636363631</v>
      </c>
      <c r="H13" s="458">
        <f>H5</f>
        <v>1669.75</v>
      </c>
      <c r="I13" s="459">
        <f>I5</f>
        <v>1673.9117345454545</v>
      </c>
    </row>
    <row r="14" spans="1:9" ht="15.75" customHeight="1" x14ac:dyDescent="0.2">
      <c r="A14" s="455" t="s">
        <v>490</v>
      </c>
      <c r="B14" s="460" t="s">
        <v>491</v>
      </c>
      <c r="C14" s="457">
        <f>C5*0.4</f>
        <v>477.85090909090906</v>
      </c>
      <c r="D14" s="457">
        <f>C5*0.2</f>
        <v>238.92545454545453</v>
      </c>
      <c r="E14" s="457">
        <f>E5*0.4</f>
        <v>358.38818181818181</v>
      </c>
      <c r="F14" s="457">
        <f>E5*0.2</f>
        <v>179.1940909090909</v>
      </c>
      <c r="G14" s="457">
        <f>G5*0.2</f>
        <v>119.46272727272726</v>
      </c>
      <c r="H14" s="461" t="s">
        <v>112</v>
      </c>
      <c r="I14" s="462" t="s">
        <v>112</v>
      </c>
    </row>
    <row r="15" spans="1:9" ht="15.75" customHeight="1" x14ac:dyDescent="0.2">
      <c r="A15" s="455" t="s">
        <v>492</v>
      </c>
      <c r="B15" s="463"/>
      <c r="C15" s="461" t="s">
        <v>112</v>
      </c>
      <c r="D15" s="461" t="s">
        <v>112</v>
      </c>
      <c r="E15" s="464" t="s">
        <v>112</v>
      </c>
      <c r="F15" s="464" t="s">
        <v>112</v>
      </c>
      <c r="G15" s="464" t="s">
        <v>112</v>
      </c>
      <c r="H15" s="464" t="s">
        <v>112</v>
      </c>
      <c r="I15" s="462" t="s">
        <v>112</v>
      </c>
    </row>
    <row r="16" spans="1:9" ht="15.75" customHeight="1" x14ac:dyDescent="0.2">
      <c r="A16" s="455" t="s">
        <v>493</v>
      </c>
      <c r="B16" s="463"/>
      <c r="C16" s="461" t="s">
        <v>112</v>
      </c>
      <c r="D16" s="461" t="s">
        <v>112</v>
      </c>
      <c r="E16" s="464" t="s">
        <v>112</v>
      </c>
      <c r="F16" s="464" t="s">
        <v>112</v>
      </c>
      <c r="G16" s="464" t="s">
        <v>112</v>
      </c>
      <c r="H16" s="464" t="s">
        <v>112</v>
      </c>
      <c r="I16" s="462" t="s">
        <v>112</v>
      </c>
    </row>
    <row r="17" spans="1:9" ht="15.75" customHeight="1" x14ac:dyDescent="0.2">
      <c r="A17" s="455" t="s">
        <v>494</v>
      </c>
      <c r="B17" s="463"/>
      <c r="C17" s="461" t="s">
        <v>112</v>
      </c>
      <c r="D17" s="461" t="s">
        <v>112</v>
      </c>
      <c r="E17" s="464" t="s">
        <v>112</v>
      </c>
      <c r="F17" s="464" t="s">
        <v>112</v>
      </c>
      <c r="G17" s="464" t="s">
        <v>112</v>
      </c>
      <c r="H17" s="464" t="s">
        <v>112</v>
      </c>
      <c r="I17" s="462" t="s">
        <v>112</v>
      </c>
    </row>
    <row r="18" spans="1:9" ht="15.75" customHeight="1" x14ac:dyDescent="0.2">
      <c r="A18" s="455" t="s">
        <v>495</v>
      </c>
      <c r="B18" s="465"/>
      <c r="C18" s="461" t="s">
        <v>112</v>
      </c>
      <c r="D18" s="461" t="s">
        <v>112</v>
      </c>
      <c r="E18" s="461" t="s">
        <v>112</v>
      </c>
      <c r="F18" s="461" t="s">
        <v>112</v>
      </c>
      <c r="G18" s="461" t="s">
        <v>112</v>
      </c>
      <c r="H18" s="464" t="s">
        <v>112</v>
      </c>
      <c r="I18" s="462" t="s">
        <v>112</v>
      </c>
    </row>
    <row r="19" spans="1:9" ht="15.75" customHeight="1" x14ac:dyDescent="0.2">
      <c r="A19" s="466" t="s">
        <v>496</v>
      </c>
      <c r="B19" s="467"/>
      <c r="C19" s="468">
        <f t="shared" ref="C19:I19" si="0">SUM(C13:C18)</f>
        <v>1672.4781818181816</v>
      </c>
      <c r="D19" s="469">
        <f t="shared" si="0"/>
        <v>1433.5527272727272</v>
      </c>
      <c r="E19" s="469">
        <f t="shared" si="0"/>
        <v>1254.3586363636364</v>
      </c>
      <c r="F19" s="469">
        <f t="shared" si="0"/>
        <v>1075.1645454545453</v>
      </c>
      <c r="G19" s="469">
        <f t="shared" si="0"/>
        <v>716.77636363636361</v>
      </c>
      <c r="H19" s="469">
        <f t="shared" si="0"/>
        <v>1669.75</v>
      </c>
      <c r="I19" s="470">
        <f t="shared" si="0"/>
        <v>1673.9117345454545</v>
      </c>
    </row>
    <row r="20" spans="1:9" ht="15.75" customHeight="1" x14ac:dyDescent="0.2">
      <c r="A20" s="837"/>
      <c r="B20" s="837"/>
      <c r="C20" s="472"/>
      <c r="D20" s="472"/>
      <c r="E20" s="473"/>
      <c r="F20" s="473"/>
      <c r="G20" s="473"/>
      <c r="H20" s="473"/>
      <c r="I20" s="474"/>
    </row>
    <row r="21" spans="1:9" ht="14.25" customHeight="1" x14ac:dyDescent="0.2">
      <c r="A21" s="842" t="s">
        <v>497</v>
      </c>
      <c r="B21" s="842"/>
      <c r="C21" s="842"/>
      <c r="D21" s="842"/>
      <c r="E21" s="842"/>
      <c r="F21" s="842"/>
      <c r="G21" s="842"/>
      <c r="H21" s="842"/>
      <c r="I21" s="842"/>
    </row>
    <row r="22" spans="1:9" ht="28.3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6" t="s">
        <v>488</v>
      </c>
      <c r="F22" s="476" t="s">
        <v>488</v>
      </c>
      <c r="G22" s="476" t="s">
        <v>488</v>
      </c>
      <c r="H22" s="476" t="s">
        <v>488</v>
      </c>
      <c r="I22" s="477" t="s">
        <v>488</v>
      </c>
    </row>
    <row r="23" spans="1:9" ht="15.75" customHeight="1" x14ac:dyDescent="0.2">
      <c r="A23" s="478" t="s">
        <v>499</v>
      </c>
      <c r="B23" s="479">
        <f>1/12</f>
        <v>8.3333333333333329E-2</v>
      </c>
      <c r="C23" s="457">
        <f t="shared" ref="C23:I23" si="1">ROUND($B23*C$19,2)</f>
        <v>139.37</v>
      </c>
      <c r="D23" s="457">
        <f t="shared" si="1"/>
        <v>119.46</v>
      </c>
      <c r="E23" s="457">
        <f t="shared" si="1"/>
        <v>104.53</v>
      </c>
      <c r="F23" s="457">
        <f t="shared" si="1"/>
        <v>89.6</v>
      </c>
      <c r="G23" s="457">
        <f t="shared" si="1"/>
        <v>59.73</v>
      </c>
      <c r="H23" s="457">
        <f t="shared" si="1"/>
        <v>139.15</v>
      </c>
      <c r="I23" s="459">
        <f t="shared" si="1"/>
        <v>139.49</v>
      </c>
    </row>
    <row r="24" spans="1:9" x14ac:dyDescent="0.2">
      <c r="A24" s="478" t="s">
        <v>500</v>
      </c>
      <c r="B24" s="479">
        <f>1/3*1/12</f>
        <v>2.7777777777777776E-2</v>
      </c>
      <c r="C24" s="457">
        <f t="shared" ref="C24:I24" si="2">C$19*$B$24</f>
        <v>46.457727272727261</v>
      </c>
      <c r="D24" s="457">
        <f t="shared" si="2"/>
        <v>39.82090909090909</v>
      </c>
      <c r="E24" s="457">
        <f t="shared" si="2"/>
        <v>34.843295454545455</v>
      </c>
      <c r="F24" s="457">
        <f t="shared" si="2"/>
        <v>29.865681818181812</v>
      </c>
      <c r="G24" s="457">
        <f t="shared" si="2"/>
        <v>19.910454545454545</v>
      </c>
      <c r="H24" s="457">
        <f t="shared" si="2"/>
        <v>46.381944444444443</v>
      </c>
      <c r="I24" s="459">
        <f t="shared" si="2"/>
        <v>46.497548181818175</v>
      </c>
    </row>
    <row r="25" spans="1:9" ht="14.25" customHeight="1" x14ac:dyDescent="0.2">
      <c r="A25" s="466" t="s">
        <v>496</v>
      </c>
      <c r="B25" s="480">
        <f t="shared" ref="B25:I25" si="3">SUM(B23:B24)</f>
        <v>0.1111111111111111</v>
      </c>
      <c r="C25" s="481">
        <f t="shared" si="3"/>
        <v>185.82772727272726</v>
      </c>
      <c r="D25" s="481">
        <f t="shared" si="3"/>
        <v>159.28090909090909</v>
      </c>
      <c r="E25" s="481">
        <f t="shared" si="3"/>
        <v>139.37329545454546</v>
      </c>
      <c r="F25" s="481">
        <f t="shared" si="3"/>
        <v>119.46568181818181</v>
      </c>
      <c r="G25" s="481">
        <f t="shared" si="3"/>
        <v>79.640454545454546</v>
      </c>
      <c r="H25" s="481">
        <f t="shared" si="3"/>
        <v>185.53194444444443</v>
      </c>
      <c r="I25" s="482">
        <f t="shared" si="3"/>
        <v>185.98754818181817</v>
      </c>
    </row>
    <row r="26" spans="1:9" x14ac:dyDescent="0.2">
      <c r="A26" s="475" t="s">
        <v>501</v>
      </c>
      <c r="B26" s="476" t="s">
        <v>487</v>
      </c>
      <c r="C26" s="476" t="s">
        <v>488</v>
      </c>
      <c r="D26" s="476" t="s">
        <v>488</v>
      </c>
      <c r="E26" s="476" t="s">
        <v>488</v>
      </c>
      <c r="F26" s="476" t="s">
        <v>488</v>
      </c>
      <c r="G26" s="476" t="s">
        <v>488</v>
      </c>
      <c r="H26" s="476" t="s">
        <v>488</v>
      </c>
      <c r="I26" s="477" t="s">
        <v>488</v>
      </c>
    </row>
    <row r="27" spans="1:9" ht="15.75" customHeight="1" x14ac:dyDescent="0.2">
      <c r="A27" s="475" t="s">
        <v>502</v>
      </c>
      <c r="B27" s="483"/>
      <c r="C27" s="483"/>
      <c r="D27" s="483"/>
      <c r="E27" s="483"/>
      <c r="F27" s="483"/>
      <c r="G27" s="483"/>
      <c r="H27" s="484"/>
      <c r="I27" s="485"/>
    </row>
    <row r="28" spans="1:9" ht="14.25" customHeight="1" x14ac:dyDescent="0.2">
      <c r="A28" s="478" t="s">
        <v>503</v>
      </c>
      <c r="B28" s="479">
        <v>0.2</v>
      </c>
      <c r="C28" s="486">
        <f>ROUND(($C$19+$C$25)*B28,2)</f>
        <v>371.66</v>
      </c>
      <c r="D28" s="486">
        <f t="shared" ref="D28:I35" si="4">ROUND((D$19+D$25)*$B28,2)</f>
        <v>318.57</v>
      </c>
      <c r="E28" s="486">
        <f t="shared" si="4"/>
        <v>278.75</v>
      </c>
      <c r="F28" s="486">
        <f t="shared" si="4"/>
        <v>238.93</v>
      </c>
      <c r="G28" s="486">
        <f t="shared" si="4"/>
        <v>159.28</v>
      </c>
      <c r="H28" s="486">
        <f t="shared" si="4"/>
        <v>371.06</v>
      </c>
      <c r="I28" s="487">
        <f t="shared" si="4"/>
        <v>371.98</v>
      </c>
    </row>
    <row r="29" spans="1:9" ht="15.75" customHeight="1" x14ac:dyDescent="0.2">
      <c r="A29" s="478" t="s">
        <v>504</v>
      </c>
      <c r="B29" s="479">
        <v>2.5000000000000001E-2</v>
      </c>
      <c r="C29" s="486">
        <f t="shared" ref="C29:C35" si="5">ROUND((C$19+C$25)*$B29,2)</f>
        <v>46.46</v>
      </c>
      <c r="D29" s="486">
        <f t="shared" si="4"/>
        <v>39.82</v>
      </c>
      <c r="E29" s="486">
        <f t="shared" si="4"/>
        <v>34.840000000000003</v>
      </c>
      <c r="F29" s="486">
        <f t="shared" si="4"/>
        <v>29.87</v>
      </c>
      <c r="G29" s="486">
        <f t="shared" si="4"/>
        <v>19.91</v>
      </c>
      <c r="H29" s="486">
        <f t="shared" si="4"/>
        <v>46.38</v>
      </c>
      <c r="I29" s="487">
        <f t="shared" si="4"/>
        <v>46.5</v>
      </c>
    </row>
    <row r="30" spans="1:9" ht="15.75" customHeight="1" x14ac:dyDescent="0.2">
      <c r="A30" s="478" t="s">
        <v>505</v>
      </c>
      <c r="B30" s="479">
        <v>0.03</v>
      </c>
      <c r="C30" s="486">
        <f t="shared" si="5"/>
        <v>55.75</v>
      </c>
      <c r="D30" s="486">
        <f t="shared" si="4"/>
        <v>47.79</v>
      </c>
      <c r="E30" s="486">
        <f t="shared" si="4"/>
        <v>41.81</v>
      </c>
      <c r="F30" s="486">
        <f t="shared" si="4"/>
        <v>35.840000000000003</v>
      </c>
      <c r="G30" s="486">
        <f t="shared" si="4"/>
        <v>23.89</v>
      </c>
      <c r="H30" s="486">
        <f t="shared" si="4"/>
        <v>55.66</v>
      </c>
      <c r="I30" s="487">
        <f t="shared" si="4"/>
        <v>55.8</v>
      </c>
    </row>
    <row r="31" spans="1:9" ht="15.75" customHeight="1" x14ac:dyDescent="0.2">
      <c r="A31" s="478" t="s">
        <v>506</v>
      </c>
      <c r="B31" s="479">
        <v>1.4999999999999999E-2</v>
      </c>
      <c r="C31" s="486">
        <f t="shared" si="5"/>
        <v>27.87</v>
      </c>
      <c r="D31" s="486">
        <f t="shared" si="4"/>
        <v>23.89</v>
      </c>
      <c r="E31" s="486">
        <f t="shared" si="4"/>
        <v>20.91</v>
      </c>
      <c r="F31" s="486">
        <f t="shared" si="4"/>
        <v>17.920000000000002</v>
      </c>
      <c r="G31" s="486">
        <f t="shared" si="4"/>
        <v>11.95</v>
      </c>
      <c r="H31" s="486">
        <f t="shared" si="4"/>
        <v>27.83</v>
      </c>
      <c r="I31" s="487">
        <f t="shared" si="4"/>
        <v>27.9</v>
      </c>
    </row>
    <row r="32" spans="1:9" ht="15.75" customHeight="1" x14ac:dyDescent="0.2">
      <c r="A32" s="478" t="s">
        <v>507</v>
      </c>
      <c r="B32" s="479">
        <v>0.01</v>
      </c>
      <c r="C32" s="486">
        <f t="shared" si="5"/>
        <v>18.579999999999998</v>
      </c>
      <c r="D32" s="486">
        <f t="shared" si="4"/>
        <v>15.93</v>
      </c>
      <c r="E32" s="486">
        <f t="shared" si="4"/>
        <v>13.94</v>
      </c>
      <c r="F32" s="486">
        <f t="shared" si="4"/>
        <v>11.95</v>
      </c>
      <c r="G32" s="486">
        <f t="shared" si="4"/>
        <v>7.96</v>
      </c>
      <c r="H32" s="486">
        <f t="shared" si="4"/>
        <v>18.55</v>
      </c>
      <c r="I32" s="487">
        <f t="shared" si="4"/>
        <v>18.600000000000001</v>
      </c>
    </row>
    <row r="33" spans="1:9" ht="15.75" customHeight="1" x14ac:dyDescent="0.2">
      <c r="A33" s="478" t="s">
        <v>508</v>
      </c>
      <c r="B33" s="479">
        <v>6.0000000000000001E-3</v>
      </c>
      <c r="C33" s="486">
        <f t="shared" si="5"/>
        <v>11.15</v>
      </c>
      <c r="D33" s="486">
        <f t="shared" si="4"/>
        <v>9.56</v>
      </c>
      <c r="E33" s="486">
        <f t="shared" si="4"/>
        <v>8.36</v>
      </c>
      <c r="F33" s="486">
        <f t="shared" si="4"/>
        <v>7.17</v>
      </c>
      <c r="G33" s="486">
        <f t="shared" si="4"/>
        <v>4.78</v>
      </c>
      <c r="H33" s="486">
        <f t="shared" si="4"/>
        <v>11.13</v>
      </c>
      <c r="I33" s="487">
        <f t="shared" si="4"/>
        <v>11.16</v>
      </c>
    </row>
    <row r="34" spans="1:9" ht="15.75" customHeight="1" x14ac:dyDescent="0.2">
      <c r="A34" s="478" t="s">
        <v>509</v>
      </c>
      <c r="B34" s="479">
        <v>2E-3</v>
      </c>
      <c r="C34" s="486">
        <f t="shared" si="5"/>
        <v>3.72</v>
      </c>
      <c r="D34" s="486">
        <f t="shared" si="4"/>
        <v>3.19</v>
      </c>
      <c r="E34" s="486">
        <f t="shared" si="4"/>
        <v>2.79</v>
      </c>
      <c r="F34" s="486">
        <f t="shared" si="4"/>
        <v>2.39</v>
      </c>
      <c r="G34" s="486">
        <f t="shared" si="4"/>
        <v>1.59</v>
      </c>
      <c r="H34" s="486">
        <f t="shared" si="4"/>
        <v>3.71</v>
      </c>
      <c r="I34" s="487">
        <f t="shared" si="4"/>
        <v>3.72</v>
      </c>
    </row>
    <row r="35" spans="1:9" ht="15.75" customHeight="1" x14ac:dyDescent="0.2">
      <c r="A35" s="478" t="s">
        <v>510</v>
      </c>
      <c r="B35" s="479">
        <v>0.08</v>
      </c>
      <c r="C35" s="486">
        <f t="shared" si="5"/>
        <v>148.66</v>
      </c>
      <c r="D35" s="486">
        <f t="shared" si="4"/>
        <v>127.43</v>
      </c>
      <c r="E35" s="486">
        <f t="shared" si="4"/>
        <v>111.5</v>
      </c>
      <c r="F35" s="486">
        <f t="shared" si="4"/>
        <v>95.57</v>
      </c>
      <c r="G35" s="486">
        <f t="shared" si="4"/>
        <v>63.71</v>
      </c>
      <c r="H35" s="486">
        <f t="shared" si="4"/>
        <v>148.41999999999999</v>
      </c>
      <c r="I35" s="487">
        <f t="shared" si="4"/>
        <v>148.79</v>
      </c>
    </row>
    <row r="36" spans="1:9" ht="15.75" customHeight="1" x14ac:dyDescent="0.2">
      <c r="A36" s="466" t="s">
        <v>496</v>
      </c>
      <c r="B36" s="480">
        <f t="shared" ref="B36:I36" si="6">SUM(B28:B35)</f>
        <v>0.36800000000000005</v>
      </c>
      <c r="C36" s="481">
        <f t="shared" si="6"/>
        <v>683.85</v>
      </c>
      <c r="D36" s="481">
        <f t="shared" si="6"/>
        <v>586.18000000000006</v>
      </c>
      <c r="E36" s="481">
        <f t="shared" si="6"/>
        <v>512.90000000000009</v>
      </c>
      <c r="F36" s="481">
        <f t="shared" si="6"/>
        <v>439.64</v>
      </c>
      <c r="G36" s="481">
        <f t="shared" si="6"/>
        <v>293.07</v>
      </c>
      <c r="H36" s="481">
        <f t="shared" si="6"/>
        <v>682.74</v>
      </c>
      <c r="I36" s="482">
        <f t="shared" si="6"/>
        <v>684.44999999999993</v>
      </c>
    </row>
    <row r="37" spans="1:9" ht="15.75" customHeight="1" x14ac:dyDescent="0.2">
      <c r="A37" s="475" t="s">
        <v>511</v>
      </c>
      <c r="B37" s="476" t="s">
        <v>512</v>
      </c>
      <c r="C37" s="476" t="s">
        <v>488</v>
      </c>
      <c r="D37" s="476" t="s">
        <v>488</v>
      </c>
      <c r="E37" s="476" t="s">
        <v>488</v>
      </c>
      <c r="F37" s="476" t="s">
        <v>488</v>
      </c>
      <c r="G37" s="476" t="s">
        <v>488</v>
      </c>
      <c r="H37" s="476" t="s">
        <v>488</v>
      </c>
      <c r="I37" s="477" t="s">
        <v>488</v>
      </c>
    </row>
    <row r="38" spans="1:9" ht="15.75" customHeight="1" x14ac:dyDescent="0.2">
      <c r="A38" s="478" t="s">
        <v>513</v>
      </c>
      <c r="B38" s="488">
        <f>MC!D96</f>
        <v>4.8499999999999996</v>
      </c>
      <c r="C38" s="457">
        <f t="shared" ref="C38:I38" si="7">ROUND(((2*22*$B$38)-0.06*C$13),2)</f>
        <v>141.72</v>
      </c>
      <c r="D38" s="457">
        <f t="shared" si="7"/>
        <v>141.72</v>
      </c>
      <c r="E38" s="457">
        <f t="shared" si="7"/>
        <v>159.63999999999999</v>
      </c>
      <c r="F38" s="457">
        <f t="shared" si="7"/>
        <v>159.63999999999999</v>
      </c>
      <c r="G38" s="457">
        <f t="shared" si="7"/>
        <v>177.56</v>
      </c>
      <c r="H38" s="457">
        <f t="shared" si="7"/>
        <v>113.22</v>
      </c>
      <c r="I38" s="459">
        <f t="shared" si="7"/>
        <v>112.97</v>
      </c>
    </row>
    <row r="39" spans="1:9" ht="15.75" customHeight="1" x14ac:dyDescent="0.2">
      <c r="A39" s="478" t="s">
        <v>514</v>
      </c>
      <c r="B39" s="489"/>
      <c r="C39" s="486">
        <f>MC!$E$19</f>
        <v>359.61</v>
      </c>
      <c r="D39" s="486">
        <f>MC!$E$19</f>
        <v>359.61</v>
      </c>
      <c r="E39" s="486">
        <f>MC!$E$20</f>
        <v>179.8</v>
      </c>
      <c r="F39" s="486">
        <f>MC!$E$20</f>
        <v>179.8</v>
      </c>
      <c r="G39" s="486">
        <f>MC!$E$20</f>
        <v>179.8</v>
      </c>
      <c r="H39" s="486">
        <f>MC!$E$19</f>
        <v>359.61</v>
      </c>
      <c r="I39" s="486">
        <f>MC!$E$19</f>
        <v>359.61</v>
      </c>
    </row>
    <row r="40" spans="1:9" ht="15.75" customHeight="1" x14ac:dyDescent="0.2">
      <c r="A40" s="478" t="s">
        <v>515</v>
      </c>
      <c r="B40" s="479"/>
      <c r="C40" s="490" t="s">
        <v>112</v>
      </c>
      <c r="D40" s="490" t="s">
        <v>112</v>
      </c>
      <c r="E40" s="490" t="s">
        <v>112</v>
      </c>
      <c r="F40" s="490" t="s">
        <v>112</v>
      </c>
      <c r="G40" s="490" t="s">
        <v>112</v>
      </c>
      <c r="H40" s="490" t="s">
        <v>112</v>
      </c>
      <c r="I40" s="491" t="s">
        <v>112</v>
      </c>
    </row>
    <row r="41" spans="1:9" ht="15.75" customHeight="1" x14ac:dyDescent="0.2">
      <c r="A41" s="478" t="s">
        <v>516</v>
      </c>
      <c r="B41" s="492"/>
      <c r="C41" s="490" t="s">
        <v>112</v>
      </c>
      <c r="D41" s="490" t="s">
        <v>112</v>
      </c>
      <c r="E41" s="490" t="s">
        <v>112</v>
      </c>
      <c r="F41" s="490" t="s">
        <v>112</v>
      </c>
      <c r="G41" s="490" t="s">
        <v>112</v>
      </c>
      <c r="H41" s="493" t="s">
        <v>112</v>
      </c>
      <c r="I41" s="491" t="s">
        <v>112</v>
      </c>
    </row>
    <row r="42" spans="1:9" ht="15.75" customHeight="1" x14ac:dyDescent="0.2">
      <c r="A42" s="478" t="s">
        <v>517</v>
      </c>
      <c r="B42" s="494">
        <f>MC!E27</f>
        <v>17.32</v>
      </c>
      <c r="C42" s="486">
        <f t="shared" ref="C42:I42" si="8">$B42</f>
        <v>17.32</v>
      </c>
      <c r="D42" s="486">
        <f t="shared" si="8"/>
        <v>17.32</v>
      </c>
      <c r="E42" s="486">
        <f t="shared" si="8"/>
        <v>17.32</v>
      </c>
      <c r="F42" s="486">
        <f t="shared" si="8"/>
        <v>17.32</v>
      </c>
      <c r="G42" s="486">
        <f t="shared" si="8"/>
        <v>17.32</v>
      </c>
      <c r="H42" s="486">
        <f t="shared" si="8"/>
        <v>17.32</v>
      </c>
      <c r="I42" s="487">
        <f t="shared" si="8"/>
        <v>17.32</v>
      </c>
    </row>
    <row r="43" spans="1:9" ht="15.75" customHeight="1" x14ac:dyDescent="0.2">
      <c r="A43" s="478" t="s">
        <v>518</v>
      </c>
      <c r="B43" s="479"/>
      <c r="C43" s="490" t="s">
        <v>112</v>
      </c>
      <c r="D43" s="490" t="s">
        <v>112</v>
      </c>
      <c r="E43" s="490" t="s">
        <v>112</v>
      </c>
      <c r="F43" s="490" t="s">
        <v>112</v>
      </c>
      <c r="G43" s="490" t="s">
        <v>112</v>
      </c>
      <c r="H43" s="493" t="s">
        <v>112</v>
      </c>
      <c r="I43" s="491" t="s">
        <v>112</v>
      </c>
    </row>
    <row r="44" spans="1:9" ht="15.75" customHeight="1" x14ac:dyDescent="0.2">
      <c r="A44" s="466" t="s">
        <v>496</v>
      </c>
      <c r="B44" s="467"/>
      <c r="C44" s="481">
        <f t="shared" ref="C44:I44" si="9">SUM(C38:C43)</f>
        <v>518.65000000000009</v>
      </c>
      <c r="D44" s="481">
        <f t="shared" si="9"/>
        <v>518.65000000000009</v>
      </c>
      <c r="E44" s="481">
        <f t="shared" si="9"/>
        <v>356.76</v>
      </c>
      <c r="F44" s="481">
        <f t="shared" si="9"/>
        <v>356.76</v>
      </c>
      <c r="G44" s="481">
        <f t="shared" si="9"/>
        <v>374.68</v>
      </c>
      <c r="H44" s="481">
        <f t="shared" si="9"/>
        <v>490.15000000000003</v>
      </c>
      <c r="I44" s="482">
        <f t="shared" si="9"/>
        <v>489.90000000000003</v>
      </c>
    </row>
    <row r="45" spans="1:9" x14ac:dyDescent="0.2">
      <c r="A45" s="452" t="s">
        <v>519</v>
      </c>
      <c r="B45" s="453" t="s">
        <v>487</v>
      </c>
      <c r="C45" s="453" t="s">
        <v>488</v>
      </c>
      <c r="D45" s="453" t="s">
        <v>488</v>
      </c>
      <c r="E45" s="453" t="s">
        <v>488</v>
      </c>
      <c r="F45" s="453" t="s">
        <v>488</v>
      </c>
      <c r="G45" s="453" t="s">
        <v>488</v>
      </c>
      <c r="H45" s="453" t="s">
        <v>488</v>
      </c>
      <c r="I45" s="454" t="s">
        <v>488</v>
      </c>
    </row>
    <row r="46" spans="1:9" ht="15.75" customHeight="1" x14ac:dyDescent="0.2">
      <c r="A46" s="478" t="s">
        <v>498</v>
      </c>
      <c r="B46" s="495">
        <f t="shared" ref="B46:I46" si="10">B25</f>
        <v>0.1111111111111111</v>
      </c>
      <c r="C46" s="496">
        <f t="shared" si="10"/>
        <v>185.82772727272726</v>
      </c>
      <c r="D46" s="496">
        <f t="shared" si="10"/>
        <v>159.28090909090909</v>
      </c>
      <c r="E46" s="496">
        <f t="shared" si="10"/>
        <v>139.37329545454546</v>
      </c>
      <c r="F46" s="496">
        <f t="shared" si="10"/>
        <v>119.46568181818181</v>
      </c>
      <c r="G46" s="496">
        <f t="shared" si="10"/>
        <v>79.640454545454546</v>
      </c>
      <c r="H46" s="496">
        <f t="shared" si="10"/>
        <v>185.53194444444443</v>
      </c>
      <c r="I46" s="497">
        <f t="shared" si="10"/>
        <v>185.98754818181817</v>
      </c>
    </row>
    <row r="47" spans="1:9" ht="15.75" customHeight="1" x14ac:dyDescent="0.2">
      <c r="A47" s="478" t="s">
        <v>520</v>
      </c>
      <c r="B47" s="495">
        <f t="shared" ref="B47:I47" si="11">B36</f>
        <v>0.36800000000000005</v>
      </c>
      <c r="C47" s="496">
        <f t="shared" si="11"/>
        <v>683.85</v>
      </c>
      <c r="D47" s="496">
        <f t="shared" si="11"/>
        <v>586.18000000000006</v>
      </c>
      <c r="E47" s="496">
        <f t="shared" si="11"/>
        <v>512.90000000000009</v>
      </c>
      <c r="F47" s="496">
        <f t="shared" si="11"/>
        <v>439.64</v>
      </c>
      <c r="G47" s="496">
        <f t="shared" si="11"/>
        <v>293.07</v>
      </c>
      <c r="H47" s="496">
        <f t="shared" si="11"/>
        <v>682.74</v>
      </c>
      <c r="I47" s="497">
        <f t="shared" si="11"/>
        <v>684.44999999999993</v>
      </c>
    </row>
    <row r="48" spans="1:9" ht="15.75" customHeight="1" x14ac:dyDescent="0.2">
      <c r="A48" s="478" t="s">
        <v>511</v>
      </c>
      <c r="B48" s="495"/>
      <c r="C48" s="496">
        <f t="shared" ref="C48:I48" si="12">C44</f>
        <v>518.65000000000009</v>
      </c>
      <c r="D48" s="496">
        <f t="shared" si="12"/>
        <v>518.65000000000009</v>
      </c>
      <c r="E48" s="496">
        <f t="shared" si="12"/>
        <v>356.76</v>
      </c>
      <c r="F48" s="496">
        <f t="shared" si="12"/>
        <v>356.76</v>
      </c>
      <c r="G48" s="496">
        <f t="shared" si="12"/>
        <v>374.68</v>
      </c>
      <c r="H48" s="496">
        <f t="shared" si="12"/>
        <v>490.15000000000003</v>
      </c>
      <c r="I48" s="497">
        <f t="shared" si="12"/>
        <v>489.90000000000003</v>
      </c>
    </row>
    <row r="49" spans="1:9" ht="15.75" customHeight="1" x14ac:dyDescent="0.2">
      <c r="A49" s="466" t="s">
        <v>496</v>
      </c>
      <c r="B49" s="467"/>
      <c r="C49" s="481">
        <f t="shared" ref="C49:I49" si="13">SUM(C46:C48)</f>
        <v>1388.3277272727273</v>
      </c>
      <c r="D49" s="468">
        <f t="shared" si="13"/>
        <v>1264.1109090909092</v>
      </c>
      <c r="E49" s="468">
        <f t="shared" si="13"/>
        <v>1009.0332954545455</v>
      </c>
      <c r="F49" s="481">
        <f t="shared" si="13"/>
        <v>915.86568181818177</v>
      </c>
      <c r="G49" s="481">
        <f t="shared" si="13"/>
        <v>747.39045454545453</v>
      </c>
      <c r="H49" s="481">
        <f t="shared" si="13"/>
        <v>1358.4219444444445</v>
      </c>
      <c r="I49" s="482">
        <f t="shared" si="13"/>
        <v>1360.3375481818182</v>
      </c>
    </row>
    <row r="50" spans="1:9" ht="14.25" customHeight="1" x14ac:dyDescent="0.2">
      <c r="A50" s="837"/>
      <c r="B50" s="837"/>
      <c r="C50" s="837"/>
      <c r="D50" s="837"/>
      <c r="E50" s="837"/>
      <c r="F50" s="837"/>
      <c r="G50" s="837"/>
      <c r="H50" s="837"/>
      <c r="I50" s="837"/>
    </row>
    <row r="51" spans="1:9" s="498" customFormat="1" ht="12.75" customHeight="1" x14ac:dyDescent="0.2">
      <c r="A51" s="842" t="s">
        <v>521</v>
      </c>
      <c r="B51" s="842"/>
      <c r="C51" s="842"/>
      <c r="D51" s="842"/>
      <c r="E51" s="842"/>
      <c r="F51" s="842"/>
      <c r="G51" s="842"/>
      <c r="H51" s="842"/>
      <c r="I51" s="842"/>
    </row>
    <row r="52" spans="1:9" ht="15.75" customHeight="1" x14ac:dyDescent="0.2">
      <c r="A52" s="452" t="s">
        <v>522</v>
      </c>
      <c r="B52" s="453" t="s">
        <v>487</v>
      </c>
      <c r="C52" s="453" t="s">
        <v>488</v>
      </c>
      <c r="D52" s="453" t="s">
        <v>488</v>
      </c>
      <c r="E52" s="453" t="s">
        <v>488</v>
      </c>
      <c r="F52" s="453" t="s">
        <v>488</v>
      </c>
      <c r="G52" s="453" t="s">
        <v>488</v>
      </c>
      <c r="H52" s="453" t="s">
        <v>488</v>
      </c>
      <c r="I52" s="454" t="s">
        <v>488</v>
      </c>
    </row>
    <row r="53" spans="1:9" ht="15.75" customHeight="1" x14ac:dyDescent="0.2">
      <c r="A53" s="475" t="s">
        <v>523</v>
      </c>
      <c r="B53" s="499"/>
      <c r="C53" s="499"/>
      <c r="D53" s="499"/>
      <c r="E53" s="499"/>
      <c r="F53" s="499"/>
      <c r="G53" s="499"/>
      <c r="H53" s="500"/>
      <c r="I53" s="501"/>
    </row>
    <row r="54" spans="1:9" ht="15.75" customHeight="1" x14ac:dyDescent="0.2">
      <c r="A54" s="478" t="s">
        <v>524</v>
      </c>
      <c r="B54" s="495">
        <f>1/12*0.05</f>
        <v>4.1666666666666666E-3</v>
      </c>
      <c r="C54" s="502">
        <f t="shared" ref="C54:I54" si="14">C19*$B54</f>
        <v>6.9686590909090897</v>
      </c>
      <c r="D54" s="502">
        <f t="shared" si="14"/>
        <v>5.973136363636363</v>
      </c>
      <c r="E54" s="502">
        <f t="shared" si="14"/>
        <v>5.2264943181818184</v>
      </c>
      <c r="F54" s="502">
        <f t="shared" si="14"/>
        <v>4.479852272727272</v>
      </c>
      <c r="G54" s="502">
        <f t="shared" si="14"/>
        <v>2.9865681818181815</v>
      </c>
      <c r="H54" s="502">
        <f t="shared" si="14"/>
        <v>6.9572916666666664</v>
      </c>
      <c r="I54" s="503">
        <f t="shared" si="14"/>
        <v>6.9746322272727266</v>
      </c>
    </row>
    <row r="55" spans="1:9" x14ac:dyDescent="0.2">
      <c r="A55" s="478" t="s">
        <v>525</v>
      </c>
      <c r="B55" s="495">
        <f>B35*B54</f>
        <v>3.3333333333333332E-4</v>
      </c>
      <c r="C55" s="502">
        <f t="shared" ref="C55:I55" si="15">$B$55*C19</f>
        <v>0.55749272727272714</v>
      </c>
      <c r="D55" s="502">
        <f t="shared" si="15"/>
        <v>0.47785090909090905</v>
      </c>
      <c r="E55" s="502">
        <f t="shared" si="15"/>
        <v>0.41811954545454544</v>
      </c>
      <c r="F55" s="502">
        <f t="shared" si="15"/>
        <v>0.35838818181818177</v>
      </c>
      <c r="G55" s="502">
        <f t="shared" si="15"/>
        <v>0.23892545454545452</v>
      </c>
      <c r="H55" s="502">
        <f t="shared" si="15"/>
        <v>0.55658333333333332</v>
      </c>
      <c r="I55" s="503">
        <f t="shared" si="15"/>
        <v>0.55797057818181817</v>
      </c>
    </row>
    <row r="56" spans="1:9" x14ac:dyDescent="0.2">
      <c r="A56" s="478" t="s">
        <v>526</v>
      </c>
      <c r="B56" s="495">
        <v>0</v>
      </c>
      <c r="C56" s="502">
        <f t="shared" ref="C56:I56" si="16">C35*$B56</f>
        <v>0</v>
      </c>
      <c r="D56" s="502">
        <f t="shared" si="16"/>
        <v>0</v>
      </c>
      <c r="E56" s="502">
        <f t="shared" si="16"/>
        <v>0</v>
      </c>
      <c r="F56" s="502">
        <f t="shared" si="16"/>
        <v>0</v>
      </c>
      <c r="G56" s="502">
        <f t="shared" si="16"/>
        <v>0</v>
      </c>
      <c r="H56" s="502">
        <f t="shared" si="16"/>
        <v>0</v>
      </c>
      <c r="I56" s="503">
        <f t="shared" si="16"/>
        <v>0</v>
      </c>
    </row>
    <row r="57" spans="1:9" x14ac:dyDescent="0.2">
      <c r="A57" s="478" t="s">
        <v>527</v>
      </c>
      <c r="B57" s="495">
        <f>1/12*1/30*7</f>
        <v>1.9444444444444441E-2</v>
      </c>
      <c r="C57" s="496">
        <f t="shared" ref="C57:I57" si="17">C19*$B57</f>
        <v>32.520409090909084</v>
      </c>
      <c r="D57" s="496">
        <f t="shared" si="17"/>
        <v>27.874636363636359</v>
      </c>
      <c r="E57" s="496">
        <f t="shared" si="17"/>
        <v>24.390306818181813</v>
      </c>
      <c r="F57" s="496">
        <f t="shared" si="17"/>
        <v>20.905977272727267</v>
      </c>
      <c r="G57" s="496">
        <f t="shared" si="17"/>
        <v>13.937318181818179</v>
      </c>
      <c r="H57" s="496">
        <f t="shared" si="17"/>
        <v>32.467361111111103</v>
      </c>
      <c r="I57" s="497">
        <f t="shared" si="17"/>
        <v>32.548283727272718</v>
      </c>
    </row>
    <row r="58" spans="1:9" x14ac:dyDescent="0.2">
      <c r="A58" s="478" t="s">
        <v>528</v>
      </c>
      <c r="B58" s="495">
        <f>B36*B57</f>
        <v>7.1555555555555556E-3</v>
      </c>
      <c r="C58" s="496">
        <f t="shared" ref="C58:I58" si="18">$B58*C19</f>
        <v>11.967510545454545</v>
      </c>
      <c r="D58" s="496">
        <f t="shared" si="18"/>
        <v>10.257866181818182</v>
      </c>
      <c r="E58" s="496">
        <f t="shared" si="18"/>
        <v>8.9756329090909102</v>
      </c>
      <c r="F58" s="496">
        <f t="shared" si="18"/>
        <v>7.693399636363635</v>
      </c>
      <c r="G58" s="496">
        <f t="shared" si="18"/>
        <v>5.1289330909090909</v>
      </c>
      <c r="H58" s="496">
        <f t="shared" si="18"/>
        <v>11.947988888888888</v>
      </c>
      <c r="I58" s="497">
        <f t="shared" si="18"/>
        <v>11.977768411636363</v>
      </c>
    </row>
    <row r="59" spans="1:9" x14ac:dyDescent="0.2">
      <c r="A59" s="478" t="s">
        <v>529</v>
      </c>
      <c r="B59" s="495">
        <f>B35*40/100*90/100*(1+1/12+1/12+1/3*1/12)</f>
        <v>3.4399999999999993E-2</v>
      </c>
      <c r="C59" s="496">
        <f t="shared" ref="C59:I59" si="19">C19*$B59</f>
        <v>57.533249454545434</v>
      </c>
      <c r="D59" s="496">
        <f t="shared" si="19"/>
        <v>49.314213818181805</v>
      </c>
      <c r="E59" s="496">
        <f t="shared" si="19"/>
        <v>43.149937090909084</v>
      </c>
      <c r="F59" s="496">
        <f t="shared" si="19"/>
        <v>36.985660363636349</v>
      </c>
      <c r="G59" s="496">
        <f t="shared" si="19"/>
        <v>24.657106909090903</v>
      </c>
      <c r="H59" s="496">
        <f t="shared" si="19"/>
        <v>57.439399999999985</v>
      </c>
      <c r="I59" s="497">
        <f t="shared" si="19"/>
        <v>57.582563668363619</v>
      </c>
    </row>
    <row r="60" spans="1:9" ht="14.25" customHeight="1" x14ac:dyDescent="0.2">
      <c r="A60" s="466" t="s">
        <v>496</v>
      </c>
      <c r="B60" s="480">
        <f t="shared" ref="B60:I60" si="20">SUM(B54:B59)</f>
        <v>6.5499999999999989E-2</v>
      </c>
      <c r="C60" s="468">
        <f t="shared" si="20"/>
        <v>109.54732090909087</v>
      </c>
      <c r="D60" s="468">
        <f t="shared" si="20"/>
        <v>93.897703636363616</v>
      </c>
      <c r="E60" s="468">
        <f t="shared" si="20"/>
        <v>82.160490681818175</v>
      </c>
      <c r="F60" s="468">
        <f t="shared" si="20"/>
        <v>70.423277727272705</v>
      </c>
      <c r="G60" s="468">
        <f t="shared" si="20"/>
        <v>46.948851818181808</v>
      </c>
      <c r="H60" s="469">
        <f t="shared" si="20"/>
        <v>109.36862499999998</v>
      </c>
      <c r="I60" s="470">
        <f t="shared" si="20"/>
        <v>109.64121861272724</v>
      </c>
    </row>
    <row r="61" spans="1:9" ht="14.25" customHeight="1" x14ac:dyDescent="0.2">
      <c r="A61" s="843"/>
      <c r="B61" s="843"/>
      <c r="C61" s="843"/>
      <c r="D61" s="843"/>
      <c r="E61" s="843"/>
      <c r="F61" s="843"/>
      <c r="G61" s="843"/>
      <c r="H61" s="843"/>
      <c r="I61" s="843"/>
    </row>
    <row r="62" spans="1:9" ht="15.75" customHeight="1" x14ac:dyDescent="0.2">
      <c r="A62" s="842" t="s">
        <v>530</v>
      </c>
      <c r="B62" s="842"/>
      <c r="C62" s="842"/>
      <c r="D62" s="842"/>
      <c r="E62" s="842"/>
      <c r="F62" s="842"/>
      <c r="G62" s="842"/>
      <c r="H62" s="842"/>
      <c r="I62" s="842"/>
    </row>
    <row r="63" spans="1:9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6" t="s">
        <v>488</v>
      </c>
      <c r="F63" s="476" t="s">
        <v>488</v>
      </c>
      <c r="G63" s="476" t="s">
        <v>488</v>
      </c>
      <c r="H63" s="476" t="s">
        <v>488</v>
      </c>
      <c r="I63" s="476" t="s">
        <v>488</v>
      </c>
    </row>
    <row r="64" spans="1:9" ht="14.25" customHeight="1" x14ac:dyDescent="0.2">
      <c r="A64" s="478" t="s">
        <v>44</v>
      </c>
      <c r="B64" s="479">
        <f>1/12</f>
        <v>8.3333333333333329E-2</v>
      </c>
      <c r="C64" s="486">
        <f t="shared" ref="C64:I67" si="21">$B64*(C$19+C$49+C$60)</f>
        <v>264.19610249999999</v>
      </c>
      <c r="D64" s="486">
        <f t="shared" si="21"/>
        <v>232.63011166666664</v>
      </c>
      <c r="E64" s="486">
        <f t="shared" si="21"/>
        <v>195.46270187500002</v>
      </c>
      <c r="F64" s="486">
        <f t="shared" si="21"/>
        <v>171.78779208333333</v>
      </c>
      <c r="G64" s="486">
        <f t="shared" si="21"/>
        <v>125.92630583333332</v>
      </c>
      <c r="H64" s="486">
        <f t="shared" si="21"/>
        <v>261.46171412037035</v>
      </c>
      <c r="I64" s="487">
        <f t="shared" si="21"/>
        <v>261.99087511166664</v>
      </c>
    </row>
    <row r="65" spans="1:9" x14ac:dyDescent="0.2">
      <c r="A65" s="478" t="s">
        <v>531</v>
      </c>
      <c r="B65" s="479">
        <f>MC!E54/30/12</f>
        <v>1.3538888888888885E-2</v>
      </c>
      <c r="C65" s="486">
        <f t="shared" si="21"/>
        <v>42.923060119499993</v>
      </c>
      <c r="D65" s="486">
        <f t="shared" si="21"/>
        <v>37.794638808777762</v>
      </c>
      <c r="E65" s="486">
        <f t="shared" si="21"/>
        <v>31.756173631291663</v>
      </c>
      <c r="F65" s="486">
        <f t="shared" si="21"/>
        <v>27.909789953805547</v>
      </c>
      <c r="G65" s="486">
        <f t="shared" si="21"/>
        <v>20.458827154388882</v>
      </c>
      <c r="H65" s="486">
        <f t="shared" si="21"/>
        <v>42.478813154089494</v>
      </c>
      <c r="I65" s="487">
        <f t="shared" si="21"/>
        <v>42.564784176475428</v>
      </c>
    </row>
    <row r="66" spans="1:9" x14ac:dyDescent="0.2">
      <c r="A66" s="478" t="s">
        <v>532</v>
      </c>
      <c r="B66" s="504">
        <f>(5/30)/12*MC!F56*MC!C57</f>
        <v>1.0764583333333333E-4</v>
      </c>
      <c r="C66" s="486">
        <f t="shared" si="21"/>
        <v>0.341275315404375</v>
      </c>
      <c r="D66" s="486">
        <f t="shared" si="21"/>
        <v>0.30049994674541664</v>
      </c>
      <c r="E66" s="486">
        <f t="shared" si="21"/>
        <v>0.2524889451470313</v>
      </c>
      <c r="F66" s="486">
        <f t="shared" si="21"/>
        <v>0.22190688042364581</v>
      </c>
      <c r="G66" s="486">
        <f t="shared" si="21"/>
        <v>0.16266530556020833</v>
      </c>
      <c r="H66" s="486">
        <f t="shared" si="21"/>
        <v>0.33774316921498843</v>
      </c>
      <c r="I66" s="487">
        <f t="shared" si="21"/>
        <v>0.33842671292549542</v>
      </c>
    </row>
    <row r="67" spans="1:9" ht="14.25" customHeight="1" x14ac:dyDescent="0.2">
      <c r="A67" s="478" t="s">
        <v>533</v>
      </c>
      <c r="B67" s="504">
        <f>MC!C59/30/12</f>
        <v>2.6830555555555553E-3</v>
      </c>
      <c r="C67" s="486">
        <f t="shared" si="21"/>
        <v>8.5062338468249994</v>
      </c>
      <c r="D67" s="486">
        <f t="shared" si="21"/>
        <v>7.48991416196111</v>
      </c>
      <c r="E67" s="486">
        <f t="shared" si="21"/>
        <v>6.2932474580354167</v>
      </c>
      <c r="F67" s="486">
        <f t="shared" si="21"/>
        <v>5.5309942791097217</v>
      </c>
      <c r="G67" s="486">
        <f t="shared" si="21"/>
        <v>4.0544072934805548</v>
      </c>
      <c r="H67" s="486">
        <f t="shared" si="21"/>
        <v>8.4181956556288569</v>
      </c>
      <c r="I67" s="487">
        <f t="shared" si="21"/>
        <v>8.4352328756786275</v>
      </c>
    </row>
    <row r="68" spans="1:9" ht="14.25" customHeight="1" x14ac:dyDescent="0.2">
      <c r="A68" s="478" t="s">
        <v>495</v>
      </c>
      <c r="B68" s="479"/>
      <c r="C68" s="490" t="s">
        <v>112</v>
      </c>
      <c r="D68" s="490" t="s">
        <v>112</v>
      </c>
      <c r="E68" s="490" t="s">
        <v>112</v>
      </c>
      <c r="F68" s="490" t="s">
        <v>112</v>
      </c>
      <c r="G68" s="490" t="s">
        <v>112</v>
      </c>
      <c r="H68" s="493" t="s">
        <v>112</v>
      </c>
      <c r="I68" s="491" t="s">
        <v>112</v>
      </c>
    </row>
    <row r="69" spans="1:9" ht="14.25" customHeight="1" x14ac:dyDescent="0.2">
      <c r="A69" s="505" t="s">
        <v>534</v>
      </c>
      <c r="B69" s="506">
        <f t="shared" ref="B69:I69" si="22">SUM(B64:B68)</f>
        <v>9.9662923611111107E-2</v>
      </c>
      <c r="C69" s="507">
        <f t="shared" si="22"/>
        <v>315.96667178172942</v>
      </c>
      <c r="D69" s="507">
        <f t="shared" si="22"/>
        <v>278.2151645841509</v>
      </c>
      <c r="E69" s="507">
        <f t="shared" si="22"/>
        <v>233.76461190947413</v>
      </c>
      <c r="F69" s="507">
        <f t="shared" si="22"/>
        <v>205.45048319667228</v>
      </c>
      <c r="G69" s="507">
        <f t="shared" si="22"/>
        <v>150.60220558676295</v>
      </c>
      <c r="H69" s="507">
        <f t="shared" si="22"/>
        <v>312.69646609930368</v>
      </c>
      <c r="I69" s="508">
        <f t="shared" si="22"/>
        <v>313.32931887674619</v>
      </c>
    </row>
    <row r="70" spans="1:9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6" t="s">
        <v>488</v>
      </c>
      <c r="F70" s="476" t="s">
        <v>488</v>
      </c>
      <c r="G70" s="476" t="s">
        <v>488</v>
      </c>
      <c r="H70" s="476" t="s">
        <v>488</v>
      </c>
      <c r="I70" s="477" t="s">
        <v>488</v>
      </c>
    </row>
    <row r="71" spans="1:9" ht="14.25" customHeight="1" x14ac:dyDescent="0.2">
      <c r="A71" s="478" t="s">
        <v>536</v>
      </c>
      <c r="B71" s="479"/>
      <c r="C71" s="490" t="s">
        <v>112</v>
      </c>
      <c r="D71" s="490" t="s">
        <v>112</v>
      </c>
      <c r="E71" s="490" t="s">
        <v>112</v>
      </c>
      <c r="F71" s="490" t="s">
        <v>112</v>
      </c>
      <c r="G71" s="490" t="s">
        <v>112</v>
      </c>
      <c r="H71" s="493" t="s">
        <v>112</v>
      </c>
      <c r="I71" s="491" t="s">
        <v>112</v>
      </c>
    </row>
    <row r="72" spans="1:9" ht="14.25" customHeight="1" x14ac:dyDescent="0.2">
      <c r="A72" s="505" t="s">
        <v>534</v>
      </c>
      <c r="B72" s="506"/>
      <c r="C72" s="509" t="str">
        <f t="shared" ref="C72:I72" si="23">C71</f>
        <v>-</v>
      </c>
      <c r="D72" s="509" t="str">
        <f t="shared" si="23"/>
        <v>-</v>
      </c>
      <c r="E72" s="509" t="str">
        <f t="shared" si="23"/>
        <v>-</v>
      </c>
      <c r="F72" s="509" t="str">
        <f t="shared" si="23"/>
        <v>-</v>
      </c>
      <c r="G72" s="509" t="str">
        <f t="shared" si="23"/>
        <v>-</v>
      </c>
      <c r="H72" s="509" t="str">
        <f t="shared" si="23"/>
        <v>-</v>
      </c>
      <c r="I72" s="510" t="str">
        <f t="shared" si="23"/>
        <v>-</v>
      </c>
    </row>
    <row r="73" spans="1:9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6" t="s">
        <v>488</v>
      </c>
      <c r="F73" s="476" t="s">
        <v>488</v>
      </c>
      <c r="G73" s="476" t="s">
        <v>488</v>
      </c>
      <c r="H73" s="476" t="s">
        <v>488</v>
      </c>
      <c r="I73" s="477" t="s">
        <v>488</v>
      </c>
    </row>
    <row r="74" spans="1:9" ht="14.25" customHeight="1" x14ac:dyDescent="0.2">
      <c r="A74" s="478" t="s">
        <v>66</v>
      </c>
      <c r="B74" s="479">
        <f>120/30*MC!C62*MC!C63</f>
        <v>6.18624E-3</v>
      </c>
      <c r="C74" s="486">
        <f t="shared" ref="C74:I74" si="24">(((C19*2)+ (C19*1/3))+(C36)+(C44-C38-C39))*$B$74</f>
        <v>28.47909256494545</v>
      </c>
      <c r="D74" s="486">
        <f t="shared" si="24"/>
        <v>24.426098694981821</v>
      </c>
      <c r="E74" s="486">
        <f t="shared" si="24"/>
        <v>21.386183170909092</v>
      </c>
      <c r="F74" s="486">
        <f t="shared" si="24"/>
        <v>18.346391371636361</v>
      </c>
      <c r="G74" s="486">
        <f t="shared" si="24"/>
        <v>12.266498461090908</v>
      </c>
      <c r="H74" s="486">
        <f t="shared" si="24"/>
        <v>28.432845734400001</v>
      </c>
      <c r="I74" s="487">
        <f t="shared" si="24"/>
        <v>28.50349701180043</v>
      </c>
    </row>
    <row r="75" spans="1:9" ht="15.75" customHeight="1" x14ac:dyDescent="0.2">
      <c r="A75" s="505" t="s">
        <v>496</v>
      </c>
      <c r="B75" s="506"/>
      <c r="C75" s="509">
        <f t="shared" ref="C75:I75" si="25">C74</f>
        <v>28.47909256494545</v>
      </c>
      <c r="D75" s="509">
        <f t="shared" si="25"/>
        <v>24.426098694981821</v>
      </c>
      <c r="E75" s="509">
        <f t="shared" si="25"/>
        <v>21.386183170909092</v>
      </c>
      <c r="F75" s="509">
        <f t="shared" si="25"/>
        <v>18.346391371636361</v>
      </c>
      <c r="G75" s="509">
        <f t="shared" si="25"/>
        <v>12.266498461090908</v>
      </c>
      <c r="H75" s="509">
        <f t="shared" si="25"/>
        <v>28.432845734400001</v>
      </c>
      <c r="I75" s="510">
        <f t="shared" si="25"/>
        <v>28.50349701180043</v>
      </c>
    </row>
    <row r="76" spans="1:9" x14ac:dyDescent="0.2">
      <c r="A76" s="452" t="s">
        <v>537</v>
      </c>
      <c r="B76" s="453" t="s">
        <v>487</v>
      </c>
      <c r="C76" s="453" t="s">
        <v>488</v>
      </c>
      <c r="D76" s="453" t="s">
        <v>488</v>
      </c>
      <c r="E76" s="453" t="s">
        <v>488</v>
      </c>
      <c r="F76" s="453" t="s">
        <v>488</v>
      </c>
      <c r="G76" s="453" t="s">
        <v>488</v>
      </c>
      <c r="H76" s="453" t="s">
        <v>488</v>
      </c>
      <c r="I76" s="454" t="s">
        <v>488</v>
      </c>
    </row>
    <row r="77" spans="1:9" x14ac:dyDescent="0.2">
      <c r="A77" s="478" t="s">
        <v>43</v>
      </c>
      <c r="B77" s="495">
        <f t="shared" ref="B77:I77" si="26">B69</f>
        <v>9.9662923611111107E-2</v>
      </c>
      <c r="C77" s="496">
        <f t="shared" si="26"/>
        <v>315.96667178172942</v>
      </c>
      <c r="D77" s="496">
        <f t="shared" si="26"/>
        <v>278.2151645841509</v>
      </c>
      <c r="E77" s="496">
        <f t="shared" si="26"/>
        <v>233.76461190947413</v>
      </c>
      <c r="F77" s="496">
        <f t="shared" si="26"/>
        <v>205.45048319667228</v>
      </c>
      <c r="G77" s="496">
        <f t="shared" si="26"/>
        <v>150.60220558676295</v>
      </c>
      <c r="H77" s="496">
        <f t="shared" si="26"/>
        <v>312.69646609930368</v>
      </c>
      <c r="I77" s="497">
        <f t="shared" si="26"/>
        <v>313.32931887674619</v>
      </c>
    </row>
    <row r="78" spans="1:9" ht="15.75" customHeight="1" x14ac:dyDescent="0.2">
      <c r="A78" s="478" t="s">
        <v>535</v>
      </c>
      <c r="B78" s="495">
        <f t="shared" ref="B78:I78" si="27">B72</f>
        <v>0</v>
      </c>
      <c r="C78" s="496" t="str">
        <f t="shared" si="27"/>
        <v>-</v>
      </c>
      <c r="D78" s="496" t="str">
        <f t="shared" si="27"/>
        <v>-</v>
      </c>
      <c r="E78" s="496" t="str">
        <f t="shared" si="27"/>
        <v>-</v>
      </c>
      <c r="F78" s="496" t="str">
        <f t="shared" si="27"/>
        <v>-</v>
      </c>
      <c r="G78" s="496" t="str">
        <f t="shared" si="27"/>
        <v>-</v>
      </c>
      <c r="H78" s="496" t="str">
        <f t="shared" si="27"/>
        <v>-</v>
      </c>
      <c r="I78" s="497" t="str">
        <f t="shared" si="27"/>
        <v>-</v>
      </c>
    </row>
    <row r="79" spans="1:9" ht="15.75" customHeight="1" x14ac:dyDescent="0.2">
      <c r="A79" s="478" t="s">
        <v>65</v>
      </c>
      <c r="B79" s="495">
        <f t="shared" ref="B79:I79" si="28">B74</f>
        <v>6.18624E-3</v>
      </c>
      <c r="C79" s="496">
        <f t="shared" si="28"/>
        <v>28.47909256494545</v>
      </c>
      <c r="D79" s="496">
        <f t="shared" si="28"/>
        <v>24.426098694981821</v>
      </c>
      <c r="E79" s="496">
        <f t="shared" si="28"/>
        <v>21.386183170909092</v>
      </c>
      <c r="F79" s="496">
        <f t="shared" si="28"/>
        <v>18.346391371636361</v>
      </c>
      <c r="G79" s="496">
        <f t="shared" si="28"/>
        <v>12.266498461090908</v>
      </c>
      <c r="H79" s="496">
        <f t="shared" si="28"/>
        <v>28.432845734400001</v>
      </c>
      <c r="I79" s="497">
        <f t="shared" si="28"/>
        <v>28.50349701180043</v>
      </c>
    </row>
    <row r="80" spans="1:9" ht="15.75" customHeight="1" x14ac:dyDescent="0.2">
      <c r="A80" s="466" t="s">
        <v>496</v>
      </c>
      <c r="B80" s="467"/>
      <c r="C80" s="481">
        <f t="shared" ref="C80:I80" si="29">SUM(C77:C79)</f>
        <v>344.44576434667488</v>
      </c>
      <c r="D80" s="481">
        <f t="shared" si="29"/>
        <v>302.64126327913272</v>
      </c>
      <c r="E80" s="481">
        <f t="shared" si="29"/>
        <v>255.1507950803832</v>
      </c>
      <c r="F80" s="481">
        <f t="shared" si="29"/>
        <v>223.79687456830865</v>
      </c>
      <c r="G80" s="481">
        <f t="shared" si="29"/>
        <v>162.86870404785387</v>
      </c>
      <c r="H80" s="481">
        <f t="shared" si="29"/>
        <v>341.1293118337037</v>
      </c>
      <c r="I80" s="482">
        <f t="shared" si="29"/>
        <v>341.83281588854663</v>
      </c>
    </row>
    <row r="81" spans="1:9" ht="15.75" customHeight="1" x14ac:dyDescent="0.2">
      <c r="A81" s="471"/>
      <c r="B81" s="472"/>
      <c r="C81" s="472"/>
      <c r="D81" s="472"/>
      <c r="E81" s="472"/>
      <c r="F81" s="472"/>
      <c r="G81" s="472"/>
      <c r="H81" s="473"/>
      <c r="I81" s="474"/>
    </row>
    <row r="82" spans="1:9" ht="15.75" customHeight="1" x14ac:dyDescent="0.2">
      <c r="A82" s="511" t="s">
        <v>538</v>
      </c>
      <c r="B82" s="512"/>
      <c r="C82" s="512"/>
      <c r="D82" s="512"/>
      <c r="E82" s="512"/>
      <c r="F82" s="512"/>
      <c r="G82" s="512"/>
      <c r="H82" s="512"/>
      <c r="I82" s="513"/>
    </row>
    <row r="83" spans="1:9" ht="15.75" customHeight="1" x14ac:dyDescent="0.2">
      <c r="A83" s="452" t="s">
        <v>539</v>
      </c>
      <c r="B83" s="453" t="s">
        <v>540</v>
      </c>
      <c r="C83" s="453" t="s">
        <v>488</v>
      </c>
      <c r="D83" s="453" t="s">
        <v>488</v>
      </c>
      <c r="E83" s="453" t="s">
        <v>488</v>
      </c>
      <c r="F83" s="453" t="s">
        <v>488</v>
      </c>
      <c r="G83" s="453" t="s">
        <v>488</v>
      </c>
      <c r="H83" s="453" t="s">
        <v>488</v>
      </c>
      <c r="I83" s="454" t="s">
        <v>488</v>
      </c>
    </row>
    <row r="84" spans="1:9" ht="15.75" customHeight="1" x14ac:dyDescent="0.2">
      <c r="A84" s="478" t="s">
        <v>541</v>
      </c>
      <c r="B84" s="514"/>
      <c r="C84" s="457">
        <f>Insumos!$K119</f>
        <v>34.030416666666667</v>
      </c>
      <c r="D84" s="457">
        <f>Insumos!$K119</f>
        <v>34.030416666666667</v>
      </c>
      <c r="E84" s="457">
        <f>Insumos!$K119</f>
        <v>34.030416666666667</v>
      </c>
      <c r="F84" s="457">
        <f>Insumos!$K119</f>
        <v>34.030416666666667</v>
      </c>
      <c r="G84" s="457">
        <f>Insumos!$K119</f>
        <v>34.030416666666667</v>
      </c>
      <c r="H84" s="457">
        <f>Insumos!$K119</f>
        <v>34.030416666666667</v>
      </c>
      <c r="I84" s="459">
        <f>Insumos!$K118</f>
        <v>27.875416666666666</v>
      </c>
    </row>
    <row r="85" spans="1:9" x14ac:dyDescent="0.2">
      <c r="A85" s="515" t="s">
        <v>542</v>
      </c>
      <c r="B85" s="514"/>
      <c r="C85" s="457">
        <f>Insumos!$G60</f>
        <v>461.23111666666665</v>
      </c>
      <c r="D85" s="457">
        <f>Insumos!$G60</f>
        <v>461.23111666666665</v>
      </c>
      <c r="E85" s="457">
        <f>Insumos!$G60</f>
        <v>461.23111666666665</v>
      </c>
      <c r="F85" s="457">
        <f>Insumos!$G60</f>
        <v>461.23111666666665</v>
      </c>
      <c r="G85" s="457">
        <f>Insumos!$G60</f>
        <v>461.23111666666665</v>
      </c>
      <c r="H85" s="461" t="s">
        <v>112</v>
      </c>
      <c r="I85" s="462" t="s">
        <v>112</v>
      </c>
    </row>
    <row r="86" spans="1:9" x14ac:dyDescent="0.2">
      <c r="A86" s="515" t="s">
        <v>543</v>
      </c>
      <c r="B86" s="516"/>
      <c r="C86" s="457">
        <f>Insumos!$K100</f>
        <v>7.9932714285714281</v>
      </c>
      <c r="D86" s="457">
        <f>Insumos!$K100</f>
        <v>7.9932714285714281</v>
      </c>
      <c r="E86" s="457">
        <f>Insumos!$K100</f>
        <v>7.9932714285714281</v>
      </c>
      <c r="F86" s="457">
        <f>Insumos!$K100</f>
        <v>7.9932714285714281</v>
      </c>
      <c r="G86" s="457">
        <f>Insumos!$K100</f>
        <v>7.9932714285714281</v>
      </c>
      <c r="H86" s="461" t="s">
        <v>112</v>
      </c>
      <c r="I86" s="462" t="s">
        <v>112</v>
      </c>
    </row>
    <row r="87" spans="1:9" ht="15.75" customHeight="1" x14ac:dyDescent="0.2">
      <c r="A87" s="515" t="s">
        <v>544</v>
      </c>
      <c r="B87" s="514"/>
      <c r="C87" s="457">
        <f>Insumos!$I130</f>
        <v>36.666666666666671</v>
      </c>
      <c r="D87" s="457">
        <f>Insumos!$I130</f>
        <v>36.666666666666671</v>
      </c>
      <c r="E87" s="457">
        <f>Insumos!$H130</f>
        <v>25.446666666666665</v>
      </c>
      <c r="F87" s="457">
        <f>Insumos!$H130</f>
        <v>25.446666666666665</v>
      </c>
      <c r="G87" s="457">
        <f>Insumos!$H130</f>
        <v>25.446666666666665</v>
      </c>
      <c r="H87" s="461" t="s">
        <v>112</v>
      </c>
      <c r="I87" s="462" t="s">
        <v>112</v>
      </c>
    </row>
    <row r="88" spans="1:9" ht="15.75" customHeight="1" x14ac:dyDescent="0.2">
      <c r="A88" s="515" t="s">
        <v>545</v>
      </c>
      <c r="B88" s="479">
        <v>0.12</v>
      </c>
      <c r="C88" s="461" t="s">
        <v>112</v>
      </c>
      <c r="D88" s="461" t="s">
        <v>112</v>
      </c>
      <c r="E88" s="461" t="s">
        <v>112</v>
      </c>
      <c r="F88" s="461" t="s">
        <v>112</v>
      </c>
      <c r="G88" s="461" t="s">
        <v>112</v>
      </c>
      <c r="H88" s="458">
        <f>B88*(H123+H124+H84)</f>
        <v>367.4642833333333</v>
      </c>
      <c r="I88" s="462" t="s">
        <v>112</v>
      </c>
    </row>
    <row r="89" spans="1:9" ht="15.75" customHeight="1" x14ac:dyDescent="0.2">
      <c r="A89" s="517" t="s">
        <v>546</v>
      </c>
      <c r="B89" s="518"/>
      <c r="C89" s="519"/>
      <c r="D89" s="519"/>
      <c r="E89" s="519"/>
      <c r="F89" s="519"/>
      <c r="G89" s="519"/>
      <c r="H89" s="520"/>
      <c r="I89" s="521">
        <f>Insumos!H146</f>
        <v>50.323333333333331</v>
      </c>
    </row>
    <row r="90" spans="1:9" ht="15.75" customHeight="1" x14ac:dyDescent="0.2">
      <c r="A90" s="515" t="s">
        <v>547</v>
      </c>
      <c r="B90" s="479"/>
      <c r="C90" s="461"/>
      <c r="D90" s="461"/>
      <c r="E90" s="461"/>
      <c r="F90" s="461"/>
      <c r="G90" s="461"/>
      <c r="H90" s="458"/>
      <c r="I90" s="462"/>
    </row>
    <row r="91" spans="1:9" ht="15.75" customHeight="1" x14ac:dyDescent="0.2">
      <c r="A91" s="505" t="s">
        <v>496</v>
      </c>
      <c r="B91" s="522"/>
      <c r="C91" s="507">
        <f t="shared" ref="C91:I91" si="30">SUM(C84:C90)</f>
        <v>539.92147142857141</v>
      </c>
      <c r="D91" s="507">
        <f t="shared" si="30"/>
        <v>539.92147142857141</v>
      </c>
      <c r="E91" s="507">
        <f t="shared" si="30"/>
        <v>528.70147142857138</v>
      </c>
      <c r="F91" s="507">
        <f t="shared" si="30"/>
        <v>528.70147142857138</v>
      </c>
      <c r="G91" s="507">
        <f t="shared" si="30"/>
        <v>528.70147142857138</v>
      </c>
      <c r="H91" s="507">
        <f t="shared" si="30"/>
        <v>401.49469999999997</v>
      </c>
      <c r="I91" s="507">
        <f t="shared" si="30"/>
        <v>78.19874999999999</v>
      </c>
    </row>
    <row r="92" spans="1:9" ht="15.75" customHeight="1" x14ac:dyDescent="0.2">
      <c r="A92" s="837"/>
      <c r="B92" s="837"/>
      <c r="C92" s="523"/>
      <c r="D92" s="523"/>
      <c r="E92" s="523"/>
      <c r="F92" s="523"/>
      <c r="G92" s="523"/>
      <c r="H92" s="524"/>
      <c r="I92" s="525"/>
    </row>
    <row r="93" spans="1:9" ht="15.75" customHeight="1" x14ac:dyDescent="0.2">
      <c r="A93" s="511" t="s">
        <v>548</v>
      </c>
      <c r="B93" s="512"/>
      <c r="C93" s="512"/>
      <c r="D93" s="512"/>
      <c r="E93" s="512"/>
      <c r="F93" s="512"/>
      <c r="G93" s="512"/>
      <c r="H93" s="512"/>
      <c r="I93" s="513"/>
    </row>
    <row r="94" spans="1:9" ht="15.75" customHeight="1" x14ac:dyDescent="0.2">
      <c r="A94" s="452" t="s">
        <v>549</v>
      </c>
      <c r="B94" s="453" t="s">
        <v>487</v>
      </c>
      <c r="C94" s="453" t="s">
        <v>488</v>
      </c>
      <c r="D94" s="453" t="s">
        <v>488</v>
      </c>
      <c r="E94" s="453" t="s">
        <v>488</v>
      </c>
      <c r="F94" s="453" t="s">
        <v>488</v>
      </c>
      <c r="G94" s="453" t="s">
        <v>488</v>
      </c>
      <c r="H94" s="453" t="s">
        <v>488</v>
      </c>
      <c r="I94" s="454" t="s">
        <v>488</v>
      </c>
    </row>
    <row r="95" spans="1:9" ht="15.75" customHeight="1" x14ac:dyDescent="0.2">
      <c r="A95" s="455" t="s">
        <v>71</v>
      </c>
      <c r="B95" s="479">
        <f>MC!C66</f>
        <v>0.03</v>
      </c>
      <c r="C95" s="486">
        <f t="shared" ref="C95:I95" si="31">(C$19+C$49+C$60+C$80+C$91)*$B$95</f>
        <v>121.64161397325739</v>
      </c>
      <c r="D95" s="486">
        <f t="shared" si="31"/>
        <v>109.0237222412311</v>
      </c>
      <c r="E95" s="486">
        <f t="shared" si="31"/>
        <v>93.88214067026864</v>
      </c>
      <c r="F95" s="486">
        <f t="shared" si="31"/>
        <v>84.418555529906399</v>
      </c>
      <c r="G95" s="486">
        <f t="shared" si="31"/>
        <v>66.080575364292756</v>
      </c>
      <c r="H95" s="486">
        <f t="shared" si="31"/>
        <v>116.40493743834443</v>
      </c>
      <c r="I95" s="487">
        <f t="shared" si="31"/>
        <v>106.91766201685638</v>
      </c>
    </row>
    <row r="96" spans="1:9" x14ac:dyDescent="0.2">
      <c r="A96" s="455" t="s">
        <v>72</v>
      </c>
      <c r="B96" s="479">
        <f>MC!C67</f>
        <v>6.7900000000000002E-2</v>
      </c>
      <c r="C96" s="486">
        <f t="shared" ref="C96:I96" si="32">(C$19+C$49+C$60+C$80+C$91+C95)*$B$96</f>
        <v>283.5749852149234</v>
      </c>
      <c r="D96" s="486">
        <f t="shared" si="32"/>
        <v>254.15973541283267</v>
      </c>
      <c r="E96" s="486">
        <f t="shared" si="32"/>
        <v>218.86117573521929</v>
      </c>
      <c r="F96" s="486">
        <f t="shared" si="32"/>
        <v>196.79935060316882</v>
      </c>
      <c r="G96" s="486">
        <f t="shared" si="32"/>
        <v>154.04923997508473</v>
      </c>
      <c r="H96" s="486">
        <f t="shared" si="32"/>
        <v>271.36707032084985</v>
      </c>
      <c r="I96" s="487">
        <f t="shared" si="32"/>
        <v>249.25001761576286</v>
      </c>
    </row>
    <row r="97" spans="1:10" x14ac:dyDescent="0.2">
      <c r="A97" s="526" t="s">
        <v>550</v>
      </c>
      <c r="B97" s="527">
        <f>B98+B99</f>
        <v>0.1125</v>
      </c>
      <c r="C97" s="528">
        <f t="shared" ref="C97:I97" si="33">((C19+C49+C60+C80+C91+C95+C96)/(1-($B$97)))*$B$97</f>
        <v>565.34413499536413</v>
      </c>
      <c r="D97" s="528">
        <f t="shared" si="33"/>
        <v>506.70095480642118</v>
      </c>
      <c r="E97" s="528">
        <f t="shared" si="33"/>
        <v>436.32862040464772</v>
      </c>
      <c r="F97" s="528">
        <f t="shared" si="33"/>
        <v>392.34546217140286</v>
      </c>
      <c r="G97" s="528">
        <f t="shared" si="33"/>
        <v>307.11747813158064</v>
      </c>
      <c r="H97" s="528">
        <f t="shared" si="33"/>
        <v>541.00604649769127</v>
      </c>
      <c r="I97" s="529">
        <f t="shared" si="33"/>
        <v>496.91278481338725</v>
      </c>
    </row>
    <row r="98" spans="1:10" x14ac:dyDescent="0.2">
      <c r="A98" s="455" t="s">
        <v>551</v>
      </c>
      <c r="B98" s="479">
        <f>0.0165+0.076</f>
        <v>9.2499999999999999E-2</v>
      </c>
      <c r="C98" s="530">
        <f t="shared" ref="C98:I98" si="34">((C$19+C$49+C$60+C$80+C$91+C$95+C$96)/(1-($B$97)))*$B$98</f>
        <v>464.83851099618823</v>
      </c>
      <c r="D98" s="530">
        <f t="shared" si="34"/>
        <v>416.62078506305744</v>
      </c>
      <c r="E98" s="530">
        <f t="shared" si="34"/>
        <v>358.75908788826587</v>
      </c>
      <c r="F98" s="530">
        <f t="shared" si="34"/>
        <v>322.59515778537565</v>
      </c>
      <c r="G98" s="530">
        <f t="shared" si="34"/>
        <v>252.51881535263294</v>
      </c>
      <c r="H98" s="530">
        <f t="shared" si="34"/>
        <v>444.82719378699056</v>
      </c>
      <c r="I98" s="531">
        <f t="shared" si="34"/>
        <v>408.57273417989614</v>
      </c>
    </row>
    <row r="99" spans="1:10" x14ac:dyDescent="0.2">
      <c r="A99" s="455" t="s">
        <v>552</v>
      </c>
      <c r="B99" s="479">
        <v>0.02</v>
      </c>
      <c r="C99" s="532">
        <f t="shared" ref="C99:I99" si="35">((C$19+C$49+C$60+C$80+C$91+C$95+C$96)/(1-($B$97)))*$B$99</f>
        <v>100.50562399917584</v>
      </c>
      <c r="D99" s="532">
        <f t="shared" si="35"/>
        <v>90.080169743363768</v>
      </c>
      <c r="E99" s="532">
        <f t="shared" si="35"/>
        <v>77.569532516381813</v>
      </c>
      <c r="F99" s="532">
        <f t="shared" si="35"/>
        <v>69.750304386027182</v>
      </c>
      <c r="G99" s="532">
        <f t="shared" si="35"/>
        <v>54.598662778947663</v>
      </c>
      <c r="H99" s="532">
        <f t="shared" si="35"/>
        <v>96.178852710700667</v>
      </c>
      <c r="I99" s="533">
        <f t="shared" si="35"/>
        <v>88.34005063349106</v>
      </c>
    </row>
    <row r="100" spans="1:10" x14ac:dyDescent="0.2">
      <c r="A100" s="526" t="s">
        <v>553</v>
      </c>
      <c r="B100" s="527">
        <f>B101+B102</f>
        <v>0.11749999999999999</v>
      </c>
      <c r="C100" s="528">
        <f t="shared" ref="C100:I100" si="36">((C19+C49+C60+C80+C91+C95+C96)/(1-($B$100)))*$B$100</f>
        <v>593.81598315377073</v>
      </c>
      <c r="D100" s="528">
        <f t="shared" si="36"/>
        <v>532.21941649009364</v>
      </c>
      <c r="E100" s="528">
        <f t="shared" si="36"/>
        <v>458.30299222231946</v>
      </c>
      <c r="F100" s="528">
        <f t="shared" si="36"/>
        <v>412.10475519860591</v>
      </c>
      <c r="G100" s="528">
        <f t="shared" si="36"/>
        <v>322.58452141173569</v>
      </c>
      <c r="H100" s="528">
        <f t="shared" si="36"/>
        <v>568.25218041007099</v>
      </c>
      <c r="I100" s="529">
        <f t="shared" si="36"/>
        <v>521.9382949078605</v>
      </c>
    </row>
    <row r="101" spans="1:10" x14ac:dyDescent="0.2">
      <c r="A101" s="455" t="s">
        <v>551</v>
      </c>
      <c r="B101" s="479">
        <f>0.0165+0.076</f>
        <v>9.2499999999999999E-2</v>
      </c>
      <c r="C101" s="530">
        <f t="shared" ref="C101:I101" si="37">((C19+C49+C60+C80+C91+C95+C96)/(1-($B$100)))*$B$101</f>
        <v>467.47215695084083</v>
      </c>
      <c r="D101" s="530">
        <f t="shared" si="37"/>
        <v>418.98124276879713</v>
      </c>
      <c r="E101" s="530">
        <f t="shared" si="37"/>
        <v>360.79171728140045</v>
      </c>
      <c r="F101" s="530">
        <f t="shared" si="37"/>
        <v>324.42289239039189</v>
      </c>
      <c r="G101" s="530">
        <f t="shared" si="37"/>
        <v>253.94951685604727</v>
      </c>
      <c r="H101" s="530">
        <f t="shared" si="37"/>
        <v>447.34746117388568</v>
      </c>
      <c r="I101" s="531">
        <f t="shared" si="37"/>
        <v>410.88759386363483</v>
      </c>
    </row>
    <row r="102" spans="1:10" x14ac:dyDescent="0.2">
      <c r="A102" s="455" t="s">
        <v>552</v>
      </c>
      <c r="B102" s="479">
        <v>2.5000000000000001E-2</v>
      </c>
      <c r="C102" s="532">
        <f t="shared" ref="C102:I102" si="38">((C$19+C$49+C$60+C$80+C$91+C$95+C$96)/(1-($B$100)))*$B$102</f>
        <v>126.34382620292996</v>
      </c>
      <c r="D102" s="532">
        <f t="shared" si="38"/>
        <v>113.23817372129652</v>
      </c>
      <c r="E102" s="532">
        <f t="shared" si="38"/>
        <v>97.511274940919051</v>
      </c>
      <c r="F102" s="532">
        <f t="shared" si="38"/>
        <v>87.681862808214035</v>
      </c>
      <c r="G102" s="532">
        <f t="shared" si="38"/>
        <v>68.635004555688454</v>
      </c>
      <c r="H102" s="532">
        <f t="shared" si="38"/>
        <v>120.90471923618531</v>
      </c>
      <c r="I102" s="533">
        <f t="shared" si="38"/>
        <v>111.05070104422565</v>
      </c>
    </row>
    <row r="103" spans="1:10" x14ac:dyDescent="0.2">
      <c r="A103" s="526" t="s">
        <v>554</v>
      </c>
      <c r="B103" s="527">
        <f>B104+B105</f>
        <v>0.1225</v>
      </c>
      <c r="C103" s="528">
        <f t="shared" ref="C103:I103" si="39">((C19+C49+C60+C80+C91+C95+C96)/(1-($B$103)))*$B$103</f>
        <v>622.61229681825625</v>
      </c>
      <c r="D103" s="528">
        <f t="shared" si="39"/>
        <v>558.02868685392195</v>
      </c>
      <c r="E103" s="528">
        <f t="shared" si="39"/>
        <v>480.52778423164585</v>
      </c>
      <c r="F103" s="528">
        <f t="shared" si="39"/>
        <v>432.0892253543243</v>
      </c>
      <c r="G103" s="528">
        <f t="shared" si="39"/>
        <v>338.22782729337416</v>
      </c>
      <c r="H103" s="528">
        <f t="shared" si="39"/>
        <v>595.80881157501358</v>
      </c>
      <c r="I103" s="529">
        <f t="shared" si="39"/>
        <v>547.24899600056153</v>
      </c>
    </row>
    <row r="104" spans="1:10" x14ac:dyDescent="0.2">
      <c r="A104" s="455" t="s">
        <v>551</v>
      </c>
      <c r="B104" s="479">
        <f>0.0165+0.076</f>
        <v>9.2499999999999999E-2</v>
      </c>
      <c r="C104" s="530">
        <f t="shared" ref="C104:I104" si="40">((C19+C49+C60+C80+C91+C95+C96)/(1-($B$103)))*$B$104</f>
        <v>470.13581596480572</v>
      </c>
      <c r="D104" s="530">
        <f t="shared" si="40"/>
        <v>421.36860027745126</v>
      </c>
      <c r="E104" s="530">
        <f t="shared" si="40"/>
        <v>362.84751054226319</v>
      </c>
      <c r="F104" s="530">
        <f t="shared" si="40"/>
        <v>326.27145587979589</v>
      </c>
      <c r="G104" s="530">
        <f t="shared" si="40"/>
        <v>255.39652265009886</v>
      </c>
      <c r="H104" s="530">
        <f t="shared" si="40"/>
        <v>449.89644955664295</v>
      </c>
      <c r="I104" s="531">
        <f t="shared" si="40"/>
        <v>413.22883371470976</v>
      </c>
    </row>
    <row r="105" spans="1:10" x14ac:dyDescent="0.2">
      <c r="A105" s="455" t="s">
        <v>552</v>
      </c>
      <c r="B105" s="479">
        <v>0.03</v>
      </c>
      <c r="C105" s="532">
        <f t="shared" ref="C105:I105" si="41">((C19+C49+C60+C80+C91+C95+C96)/(1-($B$103)))*$B$105</f>
        <v>152.47648085345051</v>
      </c>
      <c r="D105" s="532">
        <f t="shared" si="41"/>
        <v>136.66008657647066</v>
      </c>
      <c r="E105" s="532">
        <f t="shared" si="41"/>
        <v>117.68027368938266</v>
      </c>
      <c r="F105" s="532">
        <f t="shared" si="41"/>
        <v>105.81776947452839</v>
      </c>
      <c r="G105" s="532">
        <f t="shared" si="41"/>
        <v>82.831304643275303</v>
      </c>
      <c r="H105" s="532">
        <f t="shared" si="41"/>
        <v>145.91236201837069</v>
      </c>
      <c r="I105" s="533">
        <f t="shared" si="41"/>
        <v>134.0201622858518</v>
      </c>
      <c r="J105" s="534"/>
    </row>
    <row r="106" spans="1:10" x14ac:dyDescent="0.2">
      <c r="A106" s="526" t="s">
        <v>555</v>
      </c>
      <c r="B106" s="527">
        <f>B107+B108</f>
        <v>0.13250000000000001</v>
      </c>
      <c r="C106" s="528">
        <f t="shared" ref="C106:I106" si="42">((C19+C49+C60+C80+C91+C95+C96)/(1-($B$106)))*$B$106</f>
        <v>681.20076208375121</v>
      </c>
      <c r="D106" s="528">
        <f t="shared" si="42"/>
        <v>610.53976719070226</v>
      </c>
      <c r="E106" s="528">
        <f t="shared" si="42"/>
        <v>525.74594895379107</v>
      </c>
      <c r="F106" s="528">
        <f t="shared" si="42"/>
        <v>472.74927126192409</v>
      </c>
      <c r="G106" s="528">
        <f t="shared" si="42"/>
        <v>370.0554179344021</v>
      </c>
      <c r="H106" s="528">
        <f t="shared" si="42"/>
        <v>651.8750409768852</v>
      </c>
      <c r="I106" s="529">
        <f t="shared" si="42"/>
        <v>598.74569620646048</v>
      </c>
    </row>
    <row r="107" spans="1:10" x14ac:dyDescent="0.2">
      <c r="A107" s="455" t="s">
        <v>551</v>
      </c>
      <c r="B107" s="479">
        <f>0.0165+0.076</f>
        <v>9.2499999999999999E-2</v>
      </c>
      <c r="C107" s="530">
        <f t="shared" ref="C107:I107" si="43">((C19+C49+C60+C80+C91+C95+C96)/(1-($B$106)))*$B$107</f>
        <v>475.55524900186401</v>
      </c>
      <c r="D107" s="530">
        <f t="shared" si="43"/>
        <v>426.22587520860344</v>
      </c>
      <c r="E107" s="530">
        <f t="shared" si="43"/>
        <v>367.03019077906163</v>
      </c>
      <c r="F107" s="530">
        <f t="shared" si="43"/>
        <v>330.03251012624889</v>
      </c>
      <c r="G107" s="530">
        <f t="shared" si="43"/>
        <v>258.34057478439394</v>
      </c>
      <c r="H107" s="530">
        <f t="shared" si="43"/>
        <v>455.08257577631605</v>
      </c>
      <c r="I107" s="531">
        <f t="shared" si="43"/>
        <v>417.99227848375546</v>
      </c>
    </row>
    <row r="108" spans="1:10" x14ac:dyDescent="0.2">
      <c r="A108" s="455" t="s">
        <v>552</v>
      </c>
      <c r="B108" s="479">
        <v>0.04</v>
      </c>
      <c r="C108" s="532">
        <f t="shared" ref="C108:I108" si="44">((C19+C49+C60+C80+C91+C95+C96)/(1-($B$106)))*$B$108</f>
        <v>205.64551308188715</v>
      </c>
      <c r="D108" s="532">
        <f t="shared" si="44"/>
        <v>184.3138919820988</v>
      </c>
      <c r="E108" s="532">
        <f t="shared" si="44"/>
        <v>158.71575817472936</v>
      </c>
      <c r="F108" s="532">
        <f t="shared" si="44"/>
        <v>142.7167611356752</v>
      </c>
      <c r="G108" s="532">
        <f t="shared" si="44"/>
        <v>111.71484315000818</v>
      </c>
      <c r="H108" s="532">
        <f t="shared" si="44"/>
        <v>196.7924652005691</v>
      </c>
      <c r="I108" s="533">
        <f t="shared" si="44"/>
        <v>180.75341772270505</v>
      </c>
    </row>
    <row r="109" spans="1:10" x14ac:dyDescent="0.2">
      <c r="A109" s="526" t="s">
        <v>556</v>
      </c>
      <c r="B109" s="527">
        <f>B110+B111</f>
        <v>0.14250000000000002</v>
      </c>
      <c r="C109" s="528">
        <f t="shared" ref="C109:I109" si="45">((C19+C49+C60+C80+C91+C95+C96)/(1-($B$109)))*$B$109</f>
        <v>741.15572216593409</v>
      </c>
      <c r="D109" s="528">
        <f t="shared" si="45"/>
        <v>664.27559575691191</v>
      </c>
      <c r="E109" s="528">
        <f t="shared" si="45"/>
        <v>572.01876474817277</v>
      </c>
      <c r="F109" s="528">
        <f t="shared" si="45"/>
        <v>514.35765643267496</v>
      </c>
      <c r="G109" s="528">
        <f t="shared" si="45"/>
        <v>402.62534305102264</v>
      </c>
      <c r="H109" s="528">
        <f t="shared" si="45"/>
        <v>709.24893753681783</v>
      </c>
      <c r="I109" s="529">
        <f t="shared" si="45"/>
        <v>651.44348562998982</v>
      </c>
    </row>
    <row r="110" spans="1:10" x14ac:dyDescent="0.2">
      <c r="A110" s="455" t="s">
        <v>551</v>
      </c>
      <c r="B110" s="479">
        <f>0.0165+0.076</f>
        <v>9.2499999999999999E-2</v>
      </c>
      <c r="C110" s="535">
        <f t="shared" ref="C110:I110" si="46">((C19+C49+C60+C80+C91+C95+C96)/(1-($B$109)))*$B$110</f>
        <v>481.10108280946594</v>
      </c>
      <c r="D110" s="535">
        <f t="shared" si="46"/>
        <v>431.19643935097781</v>
      </c>
      <c r="E110" s="535">
        <f t="shared" si="46"/>
        <v>371.31042624004192</v>
      </c>
      <c r="F110" s="535">
        <f t="shared" si="46"/>
        <v>333.88128575454334</v>
      </c>
      <c r="G110" s="535">
        <f t="shared" si="46"/>
        <v>261.35329285768131</v>
      </c>
      <c r="H110" s="535">
        <f t="shared" si="46"/>
        <v>460.38966120810977</v>
      </c>
      <c r="I110" s="536">
        <f t="shared" si="46"/>
        <v>422.86682400543191</v>
      </c>
    </row>
    <row r="111" spans="1:10" x14ac:dyDescent="0.2">
      <c r="A111" s="455" t="s">
        <v>552</v>
      </c>
      <c r="B111" s="537">
        <v>0.05</v>
      </c>
      <c r="C111" s="538">
        <f t="shared" ref="C111:I111" si="47">((C19+C49+C60+C80+C91+C95+C96)/(1-($B$109)))*$B$111</f>
        <v>260.0546393564681</v>
      </c>
      <c r="D111" s="538">
        <f t="shared" si="47"/>
        <v>233.07915640593399</v>
      </c>
      <c r="E111" s="538">
        <f t="shared" si="47"/>
        <v>200.70833850813079</v>
      </c>
      <c r="F111" s="538">
        <f t="shared" si="47"/>
        <v>180.47637067813153</v>
      </c>
      <c r="G111" s="538">
        <f t="shared" si="47"/>
        <v>141.27205019334127</v>
      </c>
      <c r="H111" s="538">
        <f t="shared" si="47"/>
        <v>248.85927632870801</v>
      </c>
      <c r="I111" s="539">
        <f t="shared" si="47"/>
        <v>228.5766616245578</v>
      </c>
    </row>
    <row r="112" spans="1:10" x14ac:dyDescent="0.2">
      <c r="A112" s="838" t="s">
        <v>557</v>
      </c>
      <c r="B112" s="540">
        <v>0.02</v>
      </c>
      <c r="C112" s="541">
        <f t="shared" ref="C112:I112" si="48">C95+C96+C97</f>
        <v>970.56073418354492</v>
      </c>
      <c r="D112" s="541">
        <f t="shared" si="48"/>
        <v>869.88441246048501</v>
      </c>
      <c r="E112" s="541">
        <f t="shared" si="48"/>
        <v>749.07193681013564</v>
      </c>
      <c r="F112" s="541">
        <f t="shared" si="48"/>
        <v>673.56336830447799</v>
      </c>
      <c r="G112" s="541">
        <f t="shared" si="48"/>
        <v>527.24729347095808</v>
      </c>
      <c r="H112" s="541">
        <f t="shared" si="48"/>
        <v>928.77805425688553</v>
      </c>
      <c r="I112" s="542">
        <f t="shared" si="48"/>
        <v>853.08046444600654</v>
      </c>
    </row>
    <row r="113" spans="1:10" x14ac:dyDescent="0.2">
      <c r="A113" s="838"/>
      <c r="B113" s="543">
        <v>2.5000000000000001E-2</v>
      </c>
      <c r="C113" s="544">
        <f t="shared" ref="C113:I113" si="49">C95+C96+C100</f>
        <v>999.03258234195152</v>
      </c>
      <c r="D113" s="544">
        <f t="shared" si="49"/>
        <v>895.40287414415741</v>
      </c>
      <c r="E113" s="544">
        <f t="shared" si="49"/>
        <v>771.04630862780732</v>
      </c>
      <c r="F113" s="544">
        <f t="shared" si="49"/>
        <v>693.32266133168105</v>
      </c>
      <c r="G113" s="544">
        <f t="shared" si="49"/>
        <v>542.71433675111325</v>
      </c>
      <c r="H113" s="544">
        <f t="shared" si="49"/>
        <v>956.02418816926524</v>
      </c>
      <c r="I113" s="545">
        <f t="shared" si="49"/>
        <v>878.10597454047979</v>
      </c>
    </row>
    <row r="114" spans="1:10" ht="15.75" customHeight="1" x14ac:dyDescent="0.2">
      <c r="A114" s="838"/>
      <c r="B114" s="543">
        <v>0.03</v>
      </c>
      <c r="C114" s="544">
        <f t="shared" ref="C114:I114" si="50">C95+C96+C103</f>
        <v>1027.8288960064369</v>
      </c>
      <c r="D114" s="544">
        <f t="shared" si="50"/>
        <v>921.21214450798573</v>
      </c>
      <c r="E114" s="544">
        <f t="shared" si="50"/>
        <v>793.27110063713371</v>
      </c>
      <c r="F114" s="544">
        <f t="shared" si="50"/>
        <v>713.30713148739949</v>
      </c>
      <c r="G114" s="544">
        <f t="shared" si="50"/>
        <v>558.35764263275166</v>
      </c>
      <c r="H114" s="544">
        <f t="shared" si="50"/>
        <v>983.58081933420783</v>
      </c>
      <c r="I114" s="545">
        <f t="shared" si="50"/>
        <v>903.41667563318083</v>
      </c>
      <c r="J114" s="534"/>
    </row>
    <row r="115" spans="1:10" ht="15.75" customHeight="1" x14ac:dyDescent="0.2">
      <c r="A115" s="838"/>
      <c r="B115" s="543">
        <v>0.04</v>
      </c>
      <c r="C115" s="544">
        <f t="shared" ref="C115:I115" si="51">C95+C96+C106</f>
        <v>1086.4173612719319</v>
      </c>
      <c r="D115" s="544">
        <f t="shared" si="51"/>
        <v>973.72322484476604</v>
      </c>
      <c r="E115" s="544">
        <f t="shared" si="51"/>
        <v>838.48926535927899</v>
      </c>
      <c r="F115" s="544">
        <f t="shared" si="51"/>
        <v>753.96717739499923</v>
      </c>
      <c r="G115" s="544">
        <f t="shared" si="51"/>
        <v>590.18523327377966</v>
      </c>
      <c r="H115" s="544">
        <f t="shared" si="51"/>
        <v>1039.6470487360793</v>
      </c>
      <c r="I115" s="545">
        <f t="shared" si="51"/>
        <v>954.91337583907966</v>
      </c>
    </row>
    <row r="116" spans="1:10" ht="15.75" customHeight="1" x14ac:dyDescent="0.2">
      <c r="A116" s="838"/>
      <c r="B116" s="546">
        <v>0.05</v>
      </c>
      <c r="C116" s="547">
        <f t="shared" ref="C116:I116" si="52">C95+C96+C109</f>
        <v>1146.3723213541148</v>
      </c>
      <c r="D116" s="547">
        <f t="shared" si="52"/>
        <v>1027.4590534109757</v>
      </c>
      <c r="E116" s="547">
        <f t="shared" si="52"/>
        <v>884.76208115366069</v>
      </c>
      <c r="F116" s="547">
        <f t="shared" si="52"/>
        <v>795.57556256575015</v>
      </c>
      <c r="G116" s="547">
        <f t="shared" si="52"/>
        <v>622.75515839040008</v>
      </c>
      <c r="H116" s="547">
        <f t="shared" si="52"/>
        <v>1097.0209452960121</v>
      </c>
      <c r="I116" s="548">
        <f t="shared" si="52"/>
        <v>1007.6111652626091</v>
      </c>
    </row>
    <row r="117" spans="1:10" ht="15.75" customHeight="1" x14ac:dyDescent="0.2">
      <c r="A117" s="455" t="s">
        <v>558</v>
      </c>
      <c r="B117" s="549"/>
      <c r="C117" s="550"/>
      <c r="D117" s="550"/>
      <c r="E117" s="550"/>
      <c r="F117" s="550"/>
      <c r="G117" s="550"/>
      <c r="H117" s="551"/>
      <c r="I117" s="552"/>
    </row>
    <row r="118" spans="1:10" ht="24.75" customHeight="1" x14ac:dyDescent="0.2">
      <c r="A118" s="553"/>
      <c r="B118" s="554"/>
      <c r="C118" s="555"/>
      <c r="D118" s="555"/>
      <c r="E118" s="555"/>
      <c r="F118" s="555"/>
      <c r="G118" s="555"/>
      <c r="H118" s="556"/>
      <c r="I118" s="557"/>
    </row>
    <row r="119" spans="1:10" ht="15.75" customHeight="1" x14ac:dyDescent="0.2">
      <c r="A119" s="839"/>
      <c r="B119" s="839"/>
      <c r="C119" s="839"/>
      <c r="D119" s="839"/>
      <c r="E119" s="839"/>
      <c r="F119" s="839"/>
      <c r="G119" s="839"/>
      <c r="H119" s="839"/>
      <c r="I119" s="839"/>
    </row>
    <row r="120" spans="1:10" ht="15.75" customHeight="1" x14ac:dyDescent="0.2">
      <c r="A120" s="840"/>
      <c r="B120" s="840"/>
      <c r="C120" s="840"/>
      <c r="D120" s="840"/>
      <c r="E120" s="840"/>
      <c r="F120" s="840"/>
      <c r="G120" s="840"/>
      <c r="H120" s="840"/>
      <c r="I120" s="840"/>
    </row>
    <row r="121" spans="1:10" ht="54.75" customHeight="1" x14ac:dyDescent="0.2">
      <c r="A121" s="841" t="s">
        <v>559</v>
      </c>
      <c r="B121" s="841"/>
      <c r="C121" s="558" t="str">
        <f t="shared" ref="C121:I121" si="53">C10</f>
        <v>Servente 40h (banheirista)
(insalubridade 40%)</v>
      </c>
      <c r="D121" s="558" t="str">
        <f t="shared" si="53"/>
        <v>Servente 40h
(insalubridade 20%)</v>
      </c>
      <c r="E121" s="558" t="str">
        <f t="shared" si="53"/>
        <v>Servente 30h (banheirista)
(insalubridade 40%)</v>
      </c>
      <c r="F121" s="558" t="str">
        <f t="shared" si="53"/>
        <v>Servente 30h
(insalubridade 20%)</v>
      </c>
      <c r="G121" s="558" t="str">
        <f t="shared" si="53"/>
        <v>Servente 20h
(insalubridade 20%)</v>
      </c>
      <c r="H121" s="559" t="str">
        <f t="shared" si="53"/>
        <v>Limpador alpinista 44h (limpeza de esquadrias com risco)</v>
      </c>
      <c r="I121" s="560" t="str">
        <f t="shared" si="53"/>
        <v>Encarregada 40h</v>
      </c>
    </row>
    <row r="122" spans="1:10" ht="15.75" customHeight="1" x14ac:dyDescent="0.2">
      <c r="A122" s="835" t="s">
        <v>560</v>
      </c>
      <c r="B122" s="835"/>
      <c r="C122" s="561" t="s">
        <v>488</v>
      </c>
      <c r="D122" s="561" t="s">
        <v>488</v>
      </c>
      <c r="E122" s="561" t="s">
        <v>488</v>
      </c>
      <c r="F122" s="561" t="s">
        <v>488</v>
      </c>
      <c r="G122" s="561" t="s">
        <v>488</v>
      </c>
      <c r="H122" s="561" t="s">
        <v>488</v>
      </c>
      <c r="I122" s="562" t="s">
        <v>488</v>
      </c>
    </row>
    <row r="123" spans="1:10" ht="14.25" customHeight="1" x14ac:dyDescent="0.2">
      <c r="A123" s="836" t="s">
        <v>561</v>
      </c>
      <c r="B123" s="836"/>
      <c r="C123" s="563">
        <f t="shared" ref="C123:I123" si="54">C19</f>
        <v>1672.4781818181816</v>
      </c>
      <c r="D123" s="563">
        <f t="shared" si="54"/>
        <v>1433.5527272727272</v>
      </c>
      <c r="E123" s="563">
        <f t="shared" si="54"/>
        <v>1254.3586363636364</v>
      </c>
      <c r="F123" s="563">
        <f t="shared" si="54"/>
        <v>1075.1645454545453</v>
      </c>
      <c r="G123" s="563">
        <f t="shared" si="54"/>
        <v>716.77636363636361</v>
      </c>
      <c r="H123" s="563">
        <f t="shared" si="54"/>
        <v>1669.75</v>
      </c>
      <c r="I123" s="564">
        <f t="shared" si="54"/>
        <v>1673.9117345454545</v>
      </c>
    </row>
    <row r="124" spans="1:10" ht="14.25" customHeight="1" x14ac:dyDescent="0.2">
      <c r="A124" s="832" t="s">
        <v>562</v>
      </c>
      <c r="B124" s="832"/>
      <c r="C124" s="565">
        <f t="shared" ref="C124:I124" si="55">C49</f>
        <v>1388.3277272727273</v>
      </c>
      <c r="D124" s="565">
        <f t="shared" si="55"/>
        <v>1264.1109090909092</v>
      </c>
      <c r="E124" s="565">
        <f t="shared" si="55"/>
        <v>1009.0332954545455</v>
      </c>
      <c r="F124" s="565">
        <f t="shared" si="55"/>
        <v>915.86568181818177</v>
      </c>
      <c r="G124" s="565">
        <f t="shared" si="55"/>
        <v>747.39045454545453</v>
      </c>
      <c r="H124" s="565">
        <f t="shared" si="55"/>
        <v>1358.4219444444445</v>
      </c>
      <c r="I124" s="566">
        <f t="shared" si="55"/>
        <v>1360.3375481818182</v>
      </c>
    </row>
    <row r="125" spans="1:10" ht="14.25" customHeight="1" x14ac:dyDescent="0.2">
      <c r="A125" s="832" t="s">
        <v>563</v>
      </c>
      <c r="B125" s="832"/>
      <c r="C125" s="565">
        <f t="shared" ref="C125:I125" si="56">C60</f>
        <v>109.54732090909087</v>
      </c>
      <c r="D125" s="565">
        <f t="shared" si="56"/>
        <v>93.897703636363616</v>
      </c>
      <c r="E125" s="565">
        <f t="shared" si="56"/>
        <v>82.160490681818175</v>
      </c>
      <c r="F125" s="565">
        <f t="shared" si="56"/>
        <v>70.423277727272705</v>
      </c>
      <c r="G125" s="565">
        <f t="shared" si="56"/>
        <v>46.948851818181808</v>
      </c>
      <c r="H125" s="565">
        <f t="shared" si="56"/>
        <v>109.36862499999998</v>
      </c>
      <c r="I125" s="566">
        <f t="shared" si="56"/>
        <v>109.64121861272724</v>
      </c>
    </row>
    <row r="126" spans="1:10" ht="14.25" customHeight="1" x14ac:dyDescent="0.2">
      <c r="A126" s="832" t="s">
        <v>564</v>
      </c>
      <c r="B126" s="832"/>
      <c r="C126" s="565">
        <f t="shared" ref="C126:H126" si="57">C80</f>
        <v>344.44576434667488</v>
      </c>
      <c r="D126" s="565">
        <f t="shared" si="57"/>
        <v>302.64126327913272</v>
      </c>
      <c r="E126" s="565">
        <f t="shared" si="57"/>
        <v>255.1507950803832</v>
      </c>
      <c r="F126" s="565">
        <f t="shared" si="57"/>
        <v>223.79687456830865</v>
      </c>
      <c r="G126" s="565">
        <f t="shared" si="57"/>
        <v>162.86870404785387</v>
      </c>
      <c r="H126" s="565">
        <f t="shared" si="57"/>
        <v>341.1293118337037</v>
      </c>
      <c r="I126" s="566">
        <f>I69</f>
        <v>313.32931887674619</v>
      </c>
    </row>
    <row r="127" spans="1:10" ht="15.75" customHeight="1" x14ac:dyDescent="0.2">
      <c r="A127" s="832" t="s">
        <v>565</v>
      </c>
      <c r="B127" s="832"/>
      <c r="C127" s="565">
        <f t="shared" ref="C127:I127" si="58">C91</f>
        <v>539.92147142857141</v>
      </c>
      <c r="D127" s="565">
        <f t="shared" si="58"/>
        <v>539.92147142857141</v>
      </c>
      <c r="E127" s="565">
        <f t="shared" si="58"/>
        <v>528.70147142857138</v>
      </c>
      <c r="F127" s="565">
        <f t="shared" si="58"/>
        <v>528.70147142857138</v>
      </c>
      <c r="G127" s="565">
        <f t="shared" si="58"/>
        <v>528.70147142857138</v>
      </c>
      <c r="H127" s="565">
        <f t="shared" si="58"/>
        <v>401.49469999999997</v>
      </c>
      <c r="I127" s="566">
        <f t="shared" si="58"/>
        <v>78.19874999999999</v>
      </c>
    </row>
    <row r="128" spans="1:10" ht="15.75" customHeight="1" x14ac:dyDescent="0.2">
      <c r="A128" s="834" t="s">
        <v>566</v>
      </c>
      <c r="B128" s="834"/>
      <c r="C128" s="567">
        <f t="shared" ref="C128:I128" si="59">SUM(C123:C127)</f>
        <v>4054.7204657752463</v>
      </c>
      <c r="D128" s="567">
        <f t="shared" si="59"/>
        <v>3634.1240747077036</v>
      </c>
      <c r="E128" s="567">
        <f t="shared" si="59"/>
        <v>3129.4046890089548</v>
      </c>
      <c r="F128" s="567">
        <f t="shared" si="59"/>
        <v>2813.9518509968802</v>
      </c>
      <c r="G128" s="567">
        <f t="shared" si="59"/>
        <v>2202.6858454764251</v>
      </c>
      <c r="H128" s="568">
        <f t="shared" si="59"/>
        <v>3880.164581278148</v>
      </c>
      <c r="I128" s="569">
        <f t="shared" si="59"/>
        <v>3535.418570216746</v>
      </c>
    </row>
    <row r="129" spans="1:9" ht="15.75" customHeight="1" x14ac:dyDescent="0.2">
      <c r="A129" s="833" t="s">
        <v>567</v>
      </c>
      <c r="B129" s="833"/>
      <c r="C129" s="570">
        <f t="shared" ref="C129:I133" si="60">C112</f>
        <v>970.56073418354492</v>
      </c>
      <c r="D129" s="570">
        <f t="shared" si="60"/>
        <v>869.88441246048501</v>
      </c>
      <c r="E129" s="570">
        <f t="shared" si="60"/>
        <v>749.07193681013564</v>
      </c>
      <c r="F129" s="570">
        <f t="shared" si="60"/>
        <v>673.56336830447799</v>
      </c>
      <c r="G129" s="570">
        <f t="shared" si="60"/>
        <v>527.24729347095808</v>
      </c>
      <c r="H129" s="570">
        <f t="shared" si="60"/>
        <v>928.77805425688553</v>
      </c>
      <c r="I129" s="571">
        <f t="shared" si="60"/>
        <v>853.08046444600654</v>
      </c>
    </row>
    <row r="130" spans="1:9" ht="15.75" customHeight="1" x14ac:dyDescent="0.2">
      <c r="A130" s="832" t="s">
        <v>568</v>
      </c>
      <c r="B130" s="832"/>
      <c r="C130" s="572">
        <f t="shared" si="60"/>
        <v>999.03258234195152</v>
      </c>
      <c r="D130" s="572">
        <f t="shared" si="60"/>
        <v>895.40287414415741</v>
      </c>
      <c r="E130" s="572">
        <f t="shared" si="60"/>
        <v>771.04630862780732</v>
      </c>
      <c r="F130" s="572">
        <f t="shared" si="60"/>
        <v>693.32266133168105</v>
      </c>
      <c r="G130" s="572">
        <f t="shared" si="60"/>
        <v>542.71433675111325</v>
      </c>
      <c r="H130" s="572">
        <f t="shared" si="60"/>
        <v>956.02418816926524</v>
      </c>
      <c r="I130" s="573">
        <f t="shared" si="60"/>
        <v>878.10597454047979</v>
      </c>
    </row>
    <row r="131" spans="1:9" ht="15.75" customHeight="1" x14ac:dyDescent="0.2">
      <c r="A131" s="832" t="s">
        <v>569</v>
      </c>
      <c r="B131" s="832"/>
      <c r="C131" s="572">
        <f t="shared" si="60"/>
        <v>1027.8288960064369</v>
      </c>
      <c r="D131" s="572">
        <f t="shared" si="60"/>
        <v>921.21214450798573</v>
      </c>
      <c r="E131" s="572">
        <f t="shared" si="60"/>
        <v>793.27110063713371</v>
      </c>
      <c r="F131" s="572">
        <f t="shared" si="60"/>
        <v>713.30713148739949</v>
      </c>
      <c r="G131" s="572">
        <f t="shared" si="60"/>
        <v>558.35764263275166</v>
      </c>
      <c r="H131" s="572">
        <f t="shared" si="60"/>
        <v>983.58081933420783</v>
      </c>
      <c r="I131" s="573">
        <f t="shared" si="60"/>
        <v>903.41667563318083</v>
      </c>
    </row>
    <row r="132" spans="1:9" ht="15.75" customHeight="1" x14ac:dyDescent="0.2">
      <c r="A132" s="832" t="s">
        <v>570</v>
      </c>
      <c r="B132" s="832"/>
      <c r="C132" s="572">
        <f t="shared" si="60"/>
        <v>1086.4173612719319</v>
      </c>
      <c r="D132" s="572">
        <f t="shared" si="60"/>
        <v>973.72322484476604</v>
      </c>
      <c r="E132" s="572">
        <f t="shared" si="60"/>
        <v>838.48926535927899</v>
      </c>
      <c r="F132" s="572">
        <f t="shared" si="60"/>
        <v>753.96717739499923</v>
      </c>
      <c r="G132" s="572">
        <f t="shared" si="60"/>
        <v>590.18523327377966</v>
      </c>
      <c r="H132" s="572">
        <f t="shared" si="60"/>
        <v>1039.6470487360793</v>
      </c>
      <c r="I132" s="573">
        <f t="shared" si="60"/>
        <v>954.91337583907966</v>
      </c>
    </row>
    <row r="133" spans="1:9" ht="15.75" customHeight="1" x14ac:dyDescent="0.2">
      <c r="A133" s="833" t="s">
        <v>571</v>
      </c>
      <c r="B133" s="833"/>
      <c r="C133" s="572">
        <f t="shared" si="60"/>
        <v>1146.3723213541148</v>
      </c>
      <c r="D133" s="572">
        <f t="shared" si="60"/>
        <v>1027.4590534109757</v>
      </c>
      <c r="E133" s="572">
        <f t="shared" si="60"/>
        <v>884.76208115366069</v>
      </c>
      <c r="F133" s="572">
        <f t="shared" si="60"/>
        <v>795.57556256575015</v>
      </c>
      <c r="G133" s="572">
        <f t="shared" si="60"/>
        <v>622.75515839040008</v>
      </c>
      <c r="H133" s="572">
        <f t="shared" si="60"/>
        <v>1097.0209452960121</v>
      </c>
      <c r="I133" s="573">
        <f t="shared" si="60"/>
        <v>1007.6111652626091</v>
      </c>
    </row>
    <row r="134" spans="1:9" ht="15.75" customHeight="1" x14ac:dyDescent="0.2">
      <c r="A134" s="574" t="s">
        <v>572</v>
      </c>
      <c r="B134" s="575"/>
      <c r="C134" s="576">
        <f t="shared" ref="C134:I134" si="61">C128+C129</f>
        <v>5025.2811999587911</v>
      </c>
      <c r="D134" s="576">
        <f t="shared" si="61"/>
        <v>4504.0084871681884</v>
      </c>
      <c r="E134" s="576">
        <f t="shared" si="61"/>
        <v>3878.4766258190903</v>
      </c>
      <c r="F134" s="576">
        <f t="shared" si="61"/>
        <v>3487.5152193013582</v>
      </c>
      <c r="G134" s="576">
        <f t="shared" si="61"/>
        <v>2729.9331389473832</v>
      </c>
      <c r="H134" s="576">
        <f t="shared" si="61"/>
        <v>4808.9426355350333</v>
      </c>
      <c r="I134" s="577">
        <f t="shared" si="61"/>
        <v>4388.4990346627528</v>
      </c>
    </row>
    <row r="135" spans="1:9" ht="15.75" customHeight="1" x14ac:dyDescent="0.2">
      <c r="A135" s="578" t="s">
        <v>573</v>
      </c>
      <c r="B135" s="579"/>
      <c r="C135" s="580">
        <f t="shared" ref="C135:I135" si="62">C128+C130</f>
        <v>5053.753048117198</v>
      </c>
      <c r="D135" s="580">
        <f t="shared" si="62"/>
        <v>4529.5269488518607</v>
      </c>
      <c r="E135" s="580">
        <f t="shared" si="62"/>
        <v>3900.4509976367622</v>
      </c>
      <c r="F135" s="580">
        <f t="shared" si="62"/>
        <v>3507.2745123285613</v>
      </c>
      <c r="G135" s="580">
        <f t="shared" si="62"/>
        <v>2745.4001822275386</v>
      </c>
      <c r="H135" s="580">
        <f t="shared" si="62"/>
        <v>4836.1887694474135</v>
      </c>
      <c r="I135" s="581">
        <f t="shared" si="62"/>
        <v>4413.5245447572261</v>
      </c>
    </row>
    <row r="136" spans="1:9" ht="15.75" customHeight="1" x14ac:dyDescent="0.2">
      <c r="A136" s="578" t="s">
        <v>574</v>
      </c>
      <c r="B136" s="579"/>
      <c r="C136" s="580">
        <f t="shared" ref="C136:I136" si="63">C128+C131</f>
        <v>5082.5493617816828</v>
      </c>
      <c r="D136" s="580">
        <f t="shared" si="63"/>
        <v>4555.3362192156892</v>
      </c>
      <c r="E136" s="580">
        <f t="shared" si="63"/>
        <v>3922.6757896460886</v>
      </c>
      <c r="F136" s="580">
        <f t="shared" si="63"/>
        <v>3527.2589824842798</v>
      </c>
      <c r="G136" s="580">
        <f t="shared" si="63"/>
        <v>2761.0434881091769</v>
      </c>
      <c r="H136" s="580">
        <f t="shared" si="63"/>
        <v>4863.7454006123562</v>
      </c>
      <c r="I136" s="581">
        <f t="shared" si="63"/>
        <v>4438.8352458499267</v>
      </c>
    </row>
    <row r="137" spans="1:9" ht="15.75" customHeight="1" x14ac:dyDescent="0.2">
      <c r="A137" s="578" t="s">
        <v>575</v>
      </c>
      <c r="B137" s="579"/>
      <c r="C137" s="580">
        <f t="shared" ref="C137:I137" si="64">C128+C132</f>
        <v>5141.1378270471778</v>
      </c>
      <c r="D137" s="580">
        <f t="shared" si="64"/>
        <v>4607.8472995524698</v>
      </c>
      <c r="E137" s="580">
        <f t="shared" si="64"/>
        <v>3967.8939543682336</v>
      </c>
      <c r="F137" s="580">
        <f t="shared" si="64"/>
        <v>3567.9190283918797</v>
      </c>
      <c r="G137" s="580">
        <f t="shared" si="64"/>
        <v>2792.871078750205</v>
      </c>
      <c r="H137" s="580">
        <f t="shared" si="64"/>
        <v>4919.8116300142274</v>
      </c>
      <c r="I137" s="581">
        <f t="shared" si="64"/>
        <v>4490.3319460558259</v>
      </c>
    </row>
    <row r="138" spans="1:9" ht="15.75" customHeight="1" x14ac:dyDescent="0.2">
      <c r="A138" s="578" t="s">
        <v>576</v>
      </c>
      <c r="B138" s="579"/>
      <c r="C138" s="580">
        <f t="shared" ref="C138:I138" si="65">C128+C133</f>
        <v>5201.0927871293607</v>
      </c>
      <c r="D138" s="580">
        <f t="shared" si="65"/>
        <v>4661.5831281186793</v>
      </c>
      <c r="E138" s="580">
        <f t="shared" si="65"/>
        <v>4014.1667701626156</v>
      </c>
      <c r="F138" s="580">
        <f t="shared" si="65"/>
        <v>3609.5274135626305</v>
      </c>
      <c r="G138" s="580">
        <f t="shared" si="65"/>
        <v>2825.4410038668252</v>
      </c>
      <c r="H138" s="580">
        <f t="shared" si="65"/>
        <v>4977.1855265741597</v>
      </c>
      <c r="I138" s="581">
        <f t="shared" si="65"/>
        <v>4543.0297354793547</v>
      </c>
    </row>
    <row r="139" spans="1:9" ht="15.75" customHeight="1" x14ac:dyDescent="0.2">
      <c r="A139" s="582" t="s">
        <v>577</v>
      </c>
      <c r="B139" s="583"/>
      <c r="C139" s="584">
        <f>C134/200</f>
        <v>25.126405999793956</v>
      </c>
      <c r="D139" s="584"/>
      <c r="E139" s="584"/>
      <c r="F139" s="584"/>
      <c r="G139" s="584"/>
      <c r="H139" s="585"/>
      <c r="I139" s="586"/>
    </row>
    <row r="140" spans="1:9" ht="15.75" customHeight="1" x14ac:dyDescent="0.2">
      <c r="A140" s="587" t="s">
        <v>578</v>
      </c>
      <c r="B140" s="588"/>
      <c r="C140" s="589">
        <f>C135/200</f>
        <v>25.268765240585989</v>
      </c>
      <c r="D140" s="589"/>
      <c r="E140" s="589"/>
      <c r="F140" s="589"/>
      <c r="G140" s="589"/>
      <c r="H140" s="590"/>
      <c r="I140" s="591"/>
    </row>
    <row r="141" spans="1:9" ht="15.75" customHeight="1" x14ac:dyDescent="0.2">
      <c r="A141" s="587" t="s">
        <v>579</v>
      </c>
      <c r="B141" s="588"/>
      <c r="C141" s="589">
        <f>C136/200</f>
        <v>25.412746808908413</v>
      </c>
      <c r="D141" s="589"/>
      <c r="E141" s="589"/>
      <c r="F141" s="589"/>
      <c r="G141" s="589"/>
      <c r="H141" s="590"/>
      <c r="I141" s="591"/>
    </row>
    <row r="142" spans="1:9" ht="15.75" customHeight="1" x14ac:dyDescent="0.2">
      <c r="A142" s="587" t="s">
        <v>580</v>
      </c>
      <c r="B142" s="588"/>
      <c r="C142" s="589">
        <f>C137/200</f>
        <v>25.70568913523589</v>
      </c>
      <c r="D142" s="589"/>
      <c r="E142" s="589"/>
      <c r="F142" s="589"/>
      <c r="G142" s="589"/>
      <c r="H142" s="590"/>
      <c r="I142" s="591"/>
    </row>
    <row r="143" spans="1:9" ht="15.75" customHeight="1" x14ac:dyDescent="0.2">
      <c r="A143" s="592" t="s">
        <v>581</v>
      </c>
      <c r="B143" s="593"/>
      <c r="C143" s="594">
        <f>C138/200</f>
        <v>26.005463935646802</v>
      </c>
      <c r="D143" s="594"/>
      <c r="E143" s="594"/>
      <c r="F143" s="594"/>
      <c r="G143" s="594"/>
      <c r="H143" s="595"/>
      <c r="I143" s="596"/>
    </row>
    <row r="144" spans="1:9" x14ac:dyDescent="0.2">
      <c r="A144" s="597"/>
    </row>
    <row r="145" spans="1:15" ht="14.25" customHeight="1" x14ac:dyDescent="0.2">
      <c r="A145" s="831" t="s">
        <v>582</v>
      </c>
      <c r="B145" s="831"/>
      <c r="C145" s="831" t="s">
        <v>583</v>
      </c>
      <c r="D145" s="831"/>
      <c r="E145" s="830" t="s">
        <v>584</v>
      </c>
      <c r="F145" s="830"/>
      <c r="G145" s="831" t="s">
        <v>585</v>
      </c>
      <c r="H145" s="831"/>
      <c r="I145" s="831" t="s">
        <v>586</v>
      </c>
      <c r="J145" s="831"/>
      <c r="K145" s="831" t="s">
        <v>587</v>
      </c>
      <c r="L145" s="831"/>
    </row>
    <row r="146" spans="1:15" ht="25.5" x14ac:dyDescent="0.2">
      <c r="A146" s="598" t="s">
        <v>588</v>
      </c>
      <c r="B146" s="599" t="s">
        <v>589</v>
      </c>
      <c r="C146" s="599" t="s">
        <v>590</v>
      </c>
      <c r="D146" s="599" t="s">
        <v>591</v>
      </c>
      <c r="E146" s="599" t="s">
        <v>590</v>
      </c>
      <c r="F146" s="599" t="s">
        <v>591</v>
      </c>
      <c r="G146" s="599" t="s">
        <v>590</v>
      </c>
      <c r="H146" s="599" t="s">
        <v>591</v>
      </c>
      <c r="I146" s="599" t="s">
        <v>590</v>
      </c>
      <c r="J146" s="599" t="s">
        <v>591</v>
      </c>
      <c r="K146" s="599" t="s">
        <v>590</v>
      </c>
      <c r="L146" s="599" t="s">
        <v>591</v>
      </c>
    </row>
    <row r="147" spans="1:15" x14ac:dyDescent="0.2">
      <c r="A147" s="600" t="s">
        <v>592</v>
      </c>
      <c r="B147" s="601">
        <f>1/'Prod. GEXPOA'!D11</f>
        <v>1E-3</v>
      </c>
      <c r="C147" s="602">
        <f>D134</f>
        <v>4504.0084871681884</v>
      </c>
      <c r="D147" s="602">
        <f>B147*C147</f>
        <v>4.5040084871681882</v>
      </c>
      <c r="E147" s="602">
        <f>D135</f>
        <v>4529.5269488518607</v>
      </c>
      <c r="F147" s="602">
        <f>B147*E147</f>
        <v>4.5295269488518608</v>
      </c>
      <c r="G147" s="602">
        <f>D136</f>
        <v>4555.3362192156892</v>
      </c>
      <c r="H147" s="602">
        <f>B147*G147</f>
        <v>4.5553362192156897</v>
      </c>
      <c r="I147" s="602">
        <f>D137</f>
        <v>4607.8472995524698</v>
      </c>
      <c r="J147" s="602">
        <f>B147*I147</f>
        <v>4.6078472995524695</v>
      </c>
      <c r="K147" s="602">
        <f>D138</f>
        <v>4661.5831281186793</v>
      </c>
      <c r="L147" s="602">
        <f>B147*K147</f>
        <v>4.6615831281186795</v>
      </c>
    </row>
    <row r="148" spans="1:15" x14ac:dyDescent="0.2">
      <c r="A148" s="603" t="s">
        <v>593</v>
      </c>
      <c r="B148" s="601">
        <f>B147/'Prod. GEXPOA'!Q11</f>
        <v>2.8571428571428571E-5</v>
      </c>
      <c r="C148" s="602">
        <f>I135</f>
        <v>4413.5245447572261</v>
      </c>
      <c r="D148" s="602">
        <f>C148*B148</f>
        <v>0.12610070127877787</v>
      </c>
      <c r="E148" s="602">
        <f>I135</f>
        <v>4413.5245447572261</v>
      </c>
      <c r="F148" s="602">
        <f>B148*E148</f>
        <v>0.12610070127877787</v>
      </c>
      <c r="G148" s="602">
        <f>I135</f>
        <v>4413.5245447572261</v>
      </c>
      <c r="H148" s="602">
        <f>B148*G148</f>
        <v>0.12610070127877787</v>
      </c>
      <c r="I148" s="602">
        <f>I135</f>
        <v>4413.5245447572261</v>
      </c>
      <c r="J148" s="602">
        <f>B148*I148</f>
        <v>0.12610070127877787</v>
      </c>
      <c r="K148" s="602">
        <f>I135</f>
        <v>4413.5245447572261</v>
      </c>
      <c r="L148" s="602">
        <f>B148*K148</f>
        <v>0.12610070127877787</v>
      </c>
      <c r="M148" s="827"/>
      <c r="N148" s="827"/>
      <c r="O148" s="604"/>
    </row>
    <row r="149" spans="1:15" x14ac:dyDescent="0.2">
      <c r="A149" s="605" t="s">
        <v>594</v>
      </c>
      <c r="B149" s="606"/>
      <c r="C149" s="607"/>
      <c r="D149" s="607">
        <f>SUM(D147:D148)</f>
        <v>4.6301091884469665</v>
      </c>
      <c r="E149" s="607"/>
      <c r="F149" s="607">
        <f>SUM(F147:F148)</f>
        <v>4.6556276501306391</v>
      </c>
      <c r="G149" s="607"/>
      <c r="H149" s="607">
        <f>SUM(H147:H148)</f>
        <v>4.6814369204944679</v>
      </c>
      <c r="I149" s="607"/>
      <c r="J149" s="607">
        <f>SUM(J147:J148)</f>
        <v>4.7339480008312478</v>
      </c>
      <c r="K149" s="607"/>
      <c r="L149" s="607">
        <f>SUM(L147:L148)</f>
        <v>4.7876838293974577</v>
      </c>
      <c r="M149" s="608"/>
      <c r="N149" s="609"/>
    </row>
    <row r="150" spans="1:15" x14ac:dyDescent="0.2">
      <c r="A150" s="597"/>
    </row>
    <row r="151" spans="1:15" ht="14.25" customHeight="1" x14ac:dyDescent="0.2">
      <c r="A151" s="831" t="s">
        <v>595</v>
      </c>
      <c r="B151" s="831"/>
      <c r="C151" s="831" t="s">
        <v>583</v>
      </c>
      <c r="D151" s="831"/>
      <c r="E151" s="830" t="s">
        <v>584</v>
      </c>
      <c r="F151" s="830"/>
      <c r="G151" s="831" t="s">
        <v>585</v>
      </c>
      <c r="H151" s="831"/>
      <c r="I151" s="831" t="s">
        <v>586</v>
      </c>
      <c r="J151" s="831"/>
      <c r="K151" s="831" t="s">
        <v>587</v>
      </c>
      <c r="L151" s="831"/>
    </row>
    <row r="152" spans="1:15" ht="25.5" x14ac:dyDescent="0.2">
      <c r="A152" s="598" t="s">
        <v>588</v>
      </c>
      <c r="B152" s="599" t="s">
        <v>589</v>
      </c>
      <c r="C152" s="599" t="s">
        <v>590</v>
      </c>
      <c r="D152" s="599" t="s">
        <v>591</v>
      </c>
      <c r="E152" s="599" t="s">
        <v>590</v>
      </c>
      <c r="F152" s="599" t="s">
        <v>591</v>
      </c>
      <c r="G152" s="599" t="s">
        <v>590</v>
      </c>
      <c r="H152" s="599" t="s">
        <v>591</v>
      </c>
      <c r="I152" s="599" t="s">
        <v>590</v>
      </c>
      <c r="J152" s="599" t="s">
        <v>591</v>
      </c>
      <c r="K152" s="599" t="s">
        <v>590</v>
      </c>
      <c r="L152" s="599" t="s">
        <v>591</v>
      </c>
    </row>
    <row r="153" spans="1:15" x14ac:dyDescent="0.2">
      <c r="A153" s="600" t="s">
        <v>592</v>
      </c>
      <c r="B153" s="601">
        <f>1/'Prod. GEXPOA'!E11</f>
        <v>1E-3</v>
      </c>
      <c r="C153" s="610">
        <f>C134</f>
        <v>5025.2811999587911</v>
      </c>
      <c r="D153" s="602">
        <f>B153*C153</f>
        <v>5.0252811999587914</v>
      </c>
      <c r="E153" s="610">
        <f>C135</f>
        <v>5053.753048117198</v>
      </c>
      <c r="F153" s="602">
        <f>B153*E153</f>
        <v>5.0537530481171977</v>
      </c>
      <c r="G153" s="610">
        <f>C136</f>
        <v>5082.5493617816828</v>
      </c>
      <c r="H153" s="602">
        <f>B153*G153</f>
        <v>5.082549361781683</v>
      </c>
      <c r="I153" s="610">
        <f>C137</f>
        <v>5141.1378270471778</v>
      </c>
      <c r="J153" s="602">
        <f>B153*I153</f>
        <v>5.1411378270471779</v>
      </c>
      <c r="K153" s="610">
        <f>C138</f>
        <v>5201.0927871293607</v>
      </c>
      <c r="L153" s="602">
        <f>B153*K153</f>
        <v>5.2010927871293609</v>
      </c>
    </row>
    <row r="154" spans="1:15" x14ac:dyDescent="0.2">
      <c r="A154" s="603" t="s">
        <v>593</v>
      </c>
      <c r="B154" s="601">
        <f>B153/'Prod. GEXPOA'!Q11</f>
        <v>2.8571428571428571E-5</v>
      </c>
      <c r="C154" s="602">
        <f>I135</f>
        <v>4413.5245447572261</v>
      </c>
      <c r="D154" s="602">
        <f>C154*B154</f>
        <v>0.12610070127877787</v>
      </c>
      <c r="E154" s="602">
        <f>I135</f>
        <v>4413.5245447572261</v>
      </c>
      <c r="F154" s="602">
        <f>B154*E154</f>
        <v>0.12610070127877787</v>
      </c>
      <c r="G154" s="602">
        <f>I135</f>
        <v>4413.5245447572261</v>
      </c>
      <c r="H154" s="602">
        <f>B154*G154</f>
        <v>0.12610070127877787</v>
      </c>
      <c r="I154" s="602">
        <f>I135</f>
        <v>4413.5245447572261</v>
      </c>
      <c r="J154" s="602">
        <f>B154*I154</f>
        <v>0.12610070127877787</v>
      </c>
      <c r="K154" s="602">
        <f>I135</f>
        <v>4413.5245447572261</v>
      </c>
      <c r="L154" s="602">
        <f>B154*K154</f>
        <v>0.12610070127877787</v>
      </c>
      <c r="M154" s="827"/>
      <c r="N154" s="827"/>
      <c r="O154" s="604"/>
    </row>
    <row r="155" spans="1:15" x14ac:dyDescent="0.2">
      <c r="A155" s="605" t="s">
        <v>594</v>
      </c>
      <c r="B155" s="606"/>
      <c r="C155" s="607"/>
      <c r="D155" s="607">
        <f>SUM(D153:D154)</f>
        <v>5.1513819012375697</v>
      </c>
      <c r="E155" s="607"/>
      <c r="F155" s="607">
        <f>SUM(F153:F154)</f>
        <v>5.179853749395976</v>
      </c>
      <c r="G155" s="607"/>
      <c r="H155" s="607">
        <f>SUM(H153:H154)</f>
        <v>5.2086500630604613</v>
      </c>
      <c r="I155" s="607"/>
      <c r="J155" s="607">
        <f>SUM(J153:J154)</f>
        <v>5.2672385283259562</v>
      </c>
      <c r="K155" s="607"/>
      <c r="L155" s="607">
        <f>SUM(L153:L154)</f>
        <v>5.3271934884081391</v>
      </c>
      <c r="M155" s="608"/>
      <c r="N155" s="609"/>
    </row>
    <row r="156" spans="1:15" x14ac:dyDescent="0.2">
      <c r="A156" s="611"/>
      <c r="B156" s="612"/>
      <c r="C156" s="612"/>
      <c r="D156" s="612"/>
      <c r="E156" s="613"/>
      <c r="F156" s="613"/>
      <c r="G156" s="613"/>
      <c r="H156" s="613"/>
    </row>
    <row r="157" spans="1:15" ht="14.25" customHeight="1" x14ac:dyDescent="0.2">
      <c r="A157" s="830" t="s">
        <v>596</v>
      </c>
      <c r="B157" s="830"/>
      <c r="C157" s="830" t="s">
        <v>583</v>
      </c>
      <c r="D157" s="830"/>
      <c r="E157" s="830" t="s">
        <v>584</v>
      </c>
      <c r="F157" s="830"/>
      <c r="G157" s="830" t="s">
        <v>585</v>
      </c>
      <c r="H157" s="830"/>
      <c r="I157" s="830" t="s">
        <v>586</v>
      </c>
      <c r="J157" s="830"/>
      <c r="K157" s="830" t="s">
        <v>587</v>
      </c>
      <c r="L157" s="830"/>
    </row>
    <row r="158" spans="1:15" ht="25.5" x14ac:dyDescent="0.2">
      <c r="A158" s="598" t="s">
        <v>588</v>
      </c>
      <c r="B158" s="599" t="s">
        <v>597</v>
      </c>
      <c r="C158" s="599" t="s">
        <v>590</v>
      </c>
      <c r="D158" s="599" t="s">
        <v>591</v>
      </c>
      <c r="E158" s="599" t="s">
        <v>590</v>
      </c>
      <c r="F158" s="599" t="s">
        <v>591</v>
      </c>
      <c r="G158" s="599" t="s">
        <v>590</v>
      </c>
      <c r="H158" s="599" t="s">
        <v>591</v>
      </c>
      <c r="I158" s="599" t="s">
        <v>590</v>
      </c>
      <c r="J158" s="599" t="s">
        <v>591</v>
      </c>
      <c r="K158" s="599" t="s">
        <v>590</v>
      </c>
      <c r="L158" s="599" t="s">
        <v>591</v>
      </c>
    </row>
    <row r="159" spans="1:15" x14ac:dyDescent="0.2">
      <c r="A159" s="600" t="s">
        <v>592</v>
      </c>
      <c r="B159" s="614">
        <f>1/'Prod. GEXPOA'!F11</f>
        <v>4.0000000000000002E-4</v>
      </c>
      <c r="C159" s="615">
        <f>D134</f>
        <v>4504.0084871681884</v>
      </c>
      <c r="D159" s="602">
        <f>B159*C159</f>
        <v>1.8016033948672754</v>
      </c>
      <c r="E159" s="602">
        <f>D135</f>
        <v>4529.5269488518607</v>
      </c>
      <c r="F159" s="602">
        <f>B159*E159</f>
        <v>1.8118107795407443</v>
      </c>
      <c r="G159" s="602">
        <f>D136</f>
        <v>4555.3362192156892</v>
      </c>
      <c r="H159" s="602">
        <f>B159*G159</f>
        <v>1.8221344876862757</v>
      </c>
      <c r="I159" s="602">
        <f>D137</f>
        <v>4607.8472995524698</v>
      </c>
      <c r="J159" s="602">
        <f>B159*I159</f>
        <v>1.843138919820988</v>
      </c>
      <c r="K159" s="602">
        <f>D138</f>
        <v>4661.5831281186793</v>
      </c>
      <c r="L159" s="602">
        <f>B159*K159</f>
        <v>1.8646332512474717</v>
      </c>
    </row>
    <row r="160" spans="1:15" x14ac:dyDescent="0.2">
      <c r="A160" s="603" t="s">
        <v>593</v>
      </c>
      <c r="B160" s="601">
        <f>B159/'Prod. GEXPOA'!Q11</f>
        <v>1.1428571428571429E-5</v>
      </c>
      <c r="C160" s="602">
        <f>I135</f>
        <v>4413.5245447572261</v>
      </c>
      <c r="D160" s="602">
        <f>B160*C160</f>
        <v>5.0440280511511157E-2</v>
      </c>
      <c r="E160" s="602">
        <f>I135</f>
        <v>4413.5245447572261</v>
      </c>
      <c r="F160" s="602">
        <f>B160*E160</f>
        <v>5.0440280511511157E-2</v>
      </c>
      <c r="G160" s="602">
        <f>I135</f>
        <v>4413.5245447572261</v>
      </c>
      <c r="H160" s="602">
        <f>B160*G160</f>
        <v>5.0440280511511157E-2</v>
      </c>
      <c r="I160" s="602">
        <f>I135</f>
        <v>4413.5245447572261</v>
      </c>
      <c r="J160" s="602">
        <f>B160*I160</f>
        <v>5.0440280511511157E-2</v>
      </c>
      <c r="K160" s="602">
        <f>I135</f>
        <v>4413.5245447572261</v>
      </c>
      <c r="L160" s="602">
        <f>B160*K160</f>
        <v>5.0440280511511157E-2</v>
      </c>
    </row>
    <row r="161" spans="1:12" x14ac:dyDescent="0.2">
      <c r="A161" s="605" t="s">
        <v>598</v>
      </c>
      <c r="B161" s="606"/>
      <c r="C161" s="607"/>
      <c r="D161" s="607">
        <f>SUM(D159:D160)</f>
        <v>1.8520436753787866</v>
      </c>
      <c r="E161" s="607"/>
      <c r="F161" s="607">
        <f>SUM(F159:F160)</f>
        <v>1.8622510600522555</v>
      </c>
      <c r="G161" s="607"/>
      <c r="H161" s="607">
        <f>SUM(H159:H160)</f>
        <v>1.8725747681977869</v>
      </c>
      <c r="I161" s="607"/>
      <c r="J161" s="607">
        <f>SUM(J159:J160)</f>
        <v>1.8935792003324992</v>
      </c>
      <c r="K161" s="607"/>
      <c r="L161" s="607">
        <f>SUM(L159:L160)</f>
        <v>1.9150735317589829</v>
      </c>
    </row>
    <row r="162" spans="1:12" x14ac:dyDescent="0.2">
      <c r="A162" s="611"/>
      <c r="B162" s="616"/>
      <c r="C162" s="616"/>
      <c r="D162" s="616"/>
      <c r="E162" s="616"/>
      <c r="F162" s="616"/>
      <c r="G162" s="616"/>
      <c r="H162" s="616"/>
    </row>
    <row r="163" spans="1:12" ht="14.25" customHeight="1" x14ac:dyDescent="0.2">
      <c r="A163" s="830" t="s">
        <v>599</v>
      </c>
      <c r="B163" s="830"/>
      <c r="C163" s="830" t="s">
        <v>583</v>
      </c>
      <c r="D163" s="830"/>
      <c r="E163" s="830" t="s">
        <v>584</v>
      </c>
      <c r="F163" s="830"/>
      <c r="G163" s="830" t="s">
        <v>585</v>
      </c>
      <c r="H163" s="830"/>
      <c r="I163" s="830" t="s">
        <v>586</v>
      </c>
      <c r="J163" s="830"/>
      <c r="K163" s="830" t="s">
        <v>587</v>
      </c>
      <c r="L163" s="830"/>
    </row>
    <row r="164" spans="1:12" ht="25.5" x14ac:dyDescent="0.2">
      <c r="A164" s="598" t="s">
        <v>588</v>
      </c>
      <c r="B164" s="599" t="s">
        <v>597</v>
      </c>
      <c r="C164" s="599" t="s">
        <v>590</v>
      </c>
      <c r="D164" s="599" t="s">
        <v>591</v>
      </c>
      <c r="E164" s="599" t="s">
        <v>590</v>
      </c>
      <c r="F164" s="599" t="s">
        <v>591</v>
      </c>
      <c r="G164" s="599" t="s">
        <v>590</v>
      </c>
      <c r="H164" s="599" t="s">
        <v>591</v>
      </c>
      <c r="I164" s="599" t="s">
        <v>590</v>
      </c>
      <c r="J164" s="599" t="s">
        <v>591</v>
      </c>
      <c r="K164" s="599" t="s">
        <v>590</v>
      </c>
      <c r="L164" s="599" t="s">
        <v>591</v>
      </c>
    </row>
    <row r="165" spans="1:12" x14ac:dyDescent="0.2">
      <c r="A165" s="600" t="s">
        <v>592</v>
      </c>
      <c r="B165" s="614">
        <f>1/'Prod. GEXPOA'!G11</f>
        <v>6.6666666666666664E-4</v>
      </c>
      <c r="C165" s="615">
        <f>D134</f>
        <v>4504.0084871681884</v>
      </c>
      <c r="D165" s="602">
        <f>B165*C165</f>
        <v>3.0026723247787923</v>
      </c>
      <c r="E165" s="602">
        <f>D135</f>
        <v>4529.5269488518607</v>
      </c>
      <c r="F165" s="602">
        <f>B165*E165</f>
        <v>3.0196846325679072</v>
      </c>
      <c r="G165" s="602">
        <f>D136</f>
        <v>4555.3362192156892</v>
      </c>
      <c r="H165" s="602">
        <f>B165*G165</f>
        <v>3.0368908128104595</v>
      </c>
      <c r="I165" s="602">
        <f>D137</f>
        <v>4607.8472995524698</v>
      </c>
      <c r="J165" s="602">
        <f>B165*I165</f>
        <v>3.0718981997016463</v>
      </c>
      <c r="K165" s="602">
        <f>D138</f>
        <v>4661.5831281186793</v>
      </c>
      <c r="L165" s="602">
        <f>B165*K165</f>
        <v>3.1077220854124525</v>
      </c>
    </row>
    <row r="166" spans="1:12" x14ac:dyDescent="0.2">
      <c r="A166" s="603" t="s">
        <v>593</v>
      </c>
      <c r="B166" s="601">
        <f>B165/'Prod. GEXPOA'!Q11</f>
        <v>1.9047619047619046E-5</v>
      </c>
      <c r="C166" s="602">
        <f>I135</f>
        <v>4413.5245447572261</v>
      </c>
      <c r="D166" s="602">
        <f>B166*C166</f>
        <v>8.4067134185851919E-2</v>
      </c>
      <c r="E166" s="602">
        <f>I135</f>
        <v>4413.5245447572261</v>
      </c>
      <c r="F166" s="602">
        <f>B166*E166</f>
        <v>8.4067134185851919E-2</v>
      </c>
      <c r="G166" s="602">
        <f>I135</f>
        <v>4413.5245447572261</v>
      </c>
      <c r="H166" s="602">
        <f>B166*G166</f>
        <v>8.4067134185851919E-2</v>
      </c>
      <c r="I166" s="602">
        <f>I135</f>
        <v>4413.5245447572261</v>
      </c>
      <c r="J166" s="602">
        <f>B166*I166</f>
        <v>8.4067134185851919E-2</v>
      </c>
      <c r="K166" s="602">
        <f>I135</f>
        <v>4413.5245447572261</v>
      </c>
      <c r="L166" s="602">
        <f>B166*K166</f>
        <v>8.4067134185851919E-2</v>
      </c>
    </row>
    <row r="167" spans="1:12" x14ac:dyDescent="0.2">
      <c r="A167" s="605" t="s">
        <v>598</v>
      </c>
      <c r="B167" s="606"/>
      <c r="C167" s="607"/>
      <c r="D167" s="607">
        <f>SUM(D165:D166)</f>
        <v>3.0867394589646442</v>
      </c>
      <c r="E167" s="607"/>
      <c r="F167" s="607">
        <f>SUM(F165:F166)</f>
        <v>3.1037517667537591</v>
      </c>
      <c r="G167" s="607"/>
      <c r="H167" s="607">
        <f>SUM(H165:H166)</f>
        <v>3.1209579469963113</v>
      </c>
      <c r="I167" s="607"/>
      <c r="J167" s="607">
        <f>SUM(J165:J166)</f>
        <v>3.1559653338874982</v>
      </c>
      <c r="K167" s="607"/>
      <c r="L167" s="607">
        <f>SUM(L165:L166)</f>
        <v>3.1917892195983044</v>
      </c>
    </row>
    <row r="168" spans="1:12" x14ac:dyDescent="0.2">
      <c r="A168" s="611"/>
      <c r="B168" s="616"/>
      <c r="C168" s="616"/>
      <c r="D168" s="616"/>
      <c r="E168" s="616"/>
      <c r="F168" s="616"/>
      <c r="G168" s="616"/>
      <c r="H168" s="616"/>
    </row>
    <row r="169" spans="1:12" ht="14.25" customHeight="1" x14ac:dyDescent="0.2">
      <c r="A169" s="830" t="s">
        <v>600</v>
      </c>
      <c r="B169" s="830"/>
      <c r="C169" s="830" t="s">
        <v>583</v>
      </c>
      <c r="D169" s="830"/>
      <c r="E169" s="830" t="s">
        <v>584</v>
      </c>
      <c r="F169" s="830"/>
      <c r="G169" s="830" t="s">
        <v>585</v>
      </c>
      <c r="H169" s="830"/>
      <c r="I169" s="830" t="s">
        <v>586</v>
      </c>
      <c r="J169" s="830"/>
      <c r="K169" s="830" t="s">
        <v>587</v>
      </c>
      <c r="L169" s="830"/>
    </row>
    <row r="170" spans="1:12" ht="25.5" x14ac:dyDescent="0.2">
      <c r="A170" s="598" t="s">
        <v>588</v>
      </c>
      <c r="B170" s="599" t="s">
        <v>597</v>
      </c>
      <c r="C170" s="599" t="s">
        <v>590</v>
      </c>
      <c r="D170" s="599" t="s">
        <v>591</v>
      </c>
      <c r="E170" s="599" t="s">
        <v>590</v>
      </c>
      <c r="F170" s="599" t="s">
        <v>591</v>
      </c>
      <c r="G170" s="599" t="s">
        <v>590</v>
      </c>
      <c r="H170" s="599" t="s">
        <v>591</v>
      </c>
      <c r="I170" s="599" t="s">
        <v>590</v>
      </c>
      <c r="J170" s="599" t="s">
        <v>591</v>
      </c>
      <c r="K170" s="599" t="s">
        <v>590</v>
      </c>
      <c r="L170" s="599" t="s">
        <v>591</v>
      </c>
    </row>
    <row r="171" spans="1:12" x14ac:dyDescent="0.2">
      <c r="A171" s="600" t="s">
        <v>592</v>
      </c>
      <c r="B171" s="614">
        <f>1/'Prod. GEXPOA'!H11</f>
        <v>3.8461538461538464E-3</v>
      </c>
      <c r="C171" s="610">
        <f>C134</f>
        <v>5025.2811999587911</v>
      </c>
      <c r="D171" s="602">
        <f>B171*C171</f>
        <v>19.328004615226121</v>
      </c>
      <c r="E171" s="610">
        <f>C135</f>
        <v>5053.753048117198</v>
      </c>
      <c r="F171" s="602">
        <f>B171*E171</f>
        <v>19.437511723527685</v>
      </c>
      <c r="G171" s="610">
        <f>C136</f>
        <v>5082.5493617816828</v>
      </c>
      <c r="H171" s="602">
        <f>B171*G171</f>
        <v>19.548266776083395</v>
      </c>
      <c r="I171" s="610">
        <f>C137</f>
        <v>5141.1378270471778</v>
      </c>
      <c r="J171" s="602">
        <f>B171*I171</f>
        <v>19.773607027104532</v>
      </c>
      <c r="K171" s="610">
        <f>C138</f>
        <v>5201.0927871293607</v>
      </c>
      <c r="L171" s="602">
        <f>B171*K171</f>
        <v>20.004203027420619</v>
      </c>
    </row>
    <row r="172" spans="1:12" x14ac:dyDescent="0.2">
      <c r="A172" s="603" t="s">
        <v>593</v>
      </c>
      <c r="B172" s="601">
        <f>B171/'Prod. GEXPOA'!Q11</f>
        <v>1.0989010989010989E-4</v>
      </c>
      <c r="C172" s="602">
        <f>I135</f>
        <v>4413.5245447572261</v>
      </c>
      <c r="D172" s="602">
        <f>C172*B172</f>
        <v>0.48500269722606881</v>
      </c>
      <c r="E172" s="602">
        <f>I135</f>
        <v>4413.5245447572261</v>
      </c>
      <c r="F172" s="602">
        <f>B172*E172</f>
        <v>0.48500269722606881</v>
      </c>
      <c r="G172" s="602">
        <f>I135</f>
        <v>4413.5245447572261</v>
      </c>
      <c r="H172" s="602">
        <f>B172*G172</f>
        <v>0.48500269722606881</v>
      </c>
      <c r="I172" s="602">
        <f>I135</f>
        <v>4413.5245447572261</v>
      </c>
      <c r="J172" s="602">
        <f>B172*I172</f>
        <v>0.48500269722606881</v>
      </c>
      <c r="K172" s="602">
        <f>I135</f>
        <v>4413.5245447572261</v>
      </c>
      <c r="L172" s="602">
        <f>B172*K172</f>
        <v>0.48500269722606881</v>
      </c>
    </row>
    <row r="173" spans="1:12" x14ac:dyDescent="0.2">
      <c r="A173" s="605" t="s">
        <v>598</v>
      </c>
      <c r="B173" s="606"/>
      <c r="C173" s="607"/>
      <c r="D173" s="607">
        <f>SUM(D171:D172)</f>
        <v>19.813007312452189</v>
      </c>
      <c r="E173" s="607"/>
      <c r="F173" s="607">
        <f>SUM(F171:F172)</f>
        <v>19.922514420753753</v>
      </c>
      <c r="G173" s="607"/>
      <c r="H173" s="607">
        <f>SUM(H171:H172)</f>
        <v>20.033269473309463</v>
      </c>
      <c r="I173" s="607"/>
      <c r="J173" s="607">
        <f>SUM(J171:J172)</f>
        <v>20.258609724330601</v>
      </c>
      <c r="K173" s="607"/>
      <c r="L173" s="607">
        <f>SUM(L171:L172)</f>
        <v>20.489205724646688</v>
      </c>
    </row>
    <row r="174" spans="1:12" x14ac:dyDescent="0.2">
      <c r="A174" s="611"/>
      <c r="B174" s="617"/>
      <c r="C174" s="617"/>
      <c r="D174" s="617"/>
      <c r="E174" s="617"/>
      <c r="F174" s="617"/>
      <c r="G174" s="617"/>
      <c r="H174" s="617"/>
    </row>
    <row r="175" spans="1:12" ht="14.25" customHeight="1" x14ac:dyDescent="0.2">
      <c r="A175" s="828" t="s">
        <v>601</v>
      </c>
      <c r="B175" s="828"/>
      <c r="C175" s="828" t="s">
        <v>583</v>
      </c>
      <c r="D175" s="828"/>
      <c r="E175" s="828" t="s">
        <v>584</v>
      </c>
      <c r="F175" s="828"/>
      <c r="G175" s="828" t="s">
        <v>585</v>
      </c>
      <c r="H175" s="828"/>
      <c r="I175" s="828" t="s">
        <v>586</v>
      </c>
      <c r="J175" s="828"/>
      <c r="K175" s="828" t="s">
        <v>587</v>
      </c>
      <c r="L175" s="828"/>
    </row>
    <row r="176" spans="1:12" ht="25.5" x14ac:dyDescent="0.2">
      <c r="A176" s="598" t="s">
        <v>588</v>
      </c>
      <c r="B176" s="599" t="s">
        <v>597</v>
      </c>
      <c r="C176" s="599" t="s">
        <v>590</v>
      </c>
      <c r="D176" s="599" t="s">
        <v>591</v>
      </c>
      <c r="E176" s="599" t="s">
        <v>590</v>
      </c>
      <c r="F176" s="599" t="s">
        <v>591</v>
      </c>
      <c r="G176" s="599" t="s">
        <v>590</v>
      </c>
      <c r="H176" s="599" t="s">
        <v>591</v>
      </c>
      <c r="I176" s="599" t="s">
        <v>590</v>
      </c>
      <c r="J176" s="599" t="s">
        <v>591</v>
      </c>
      <c r="K176" s="599" t="s">
        <v>590</v>
      </c>
      <c r="L176" s="599" t="s">
        <v>591</v>
      </c>
    </row>
    <row r="177" spans="1:14" x14ac:dyDescent="0.2">
      <c r="A177" s="600" t="s">
        <v>602</v>
      </c>
      <c r="B177" s="614">
        <f>1/'Prod. GEXPOA'!I11</f>
        <v>3.7037037037037035E-4</v>
      </c>
      <c r="C177" s="602">
        <f>D134</f>
        <v>4504.0084871681884</v>
      </c>
      <c r="D177" s="602">
        <f>B177*C177</f>
        <v>1.6681512915437733</v>
      </c>
      <c r="E177" s="602">
        <f>D135</f>
        <v>4529.5269488518607</v>
      </c>
      <c r="F177" s="602">
        <f>B177*E177</f>
        <v>1.6776025736488371</v>
      </c>
      <c r="G177" s="602">
        <f>D136</f>
        <v>4555.3362192156892</v>
      </c>
      <c r="H177" s="602">
        <f>B177*G177</f>
        <v>1.6871615626724774</v>
      </c>
      <c r="I177" s="602">
        <f>D137</f>
        <v>4607.8472995524698</v>
      </c>
      <c r="J177" s="602">
        <f>B177*I177</f>
        <v>1.7066101109453591</v>
      </c>
      <c r="K177" s="602">
        <f>D138</f>
        <v>4661.5831281186793</v>
      </c>
      <c r="L177" s="602">
        <f>B177*K177</f>
        <v>1.7265122696735848</v>
      </c>
    </row>
    <row r="178" spans="1:14" x14ac:dyDescent="0.2">
      <c r="A178" s="603" t="s">
        <v>593</v>
      </c>
      <c r="B178" s="601">
        <f>B177/'Prod. GEXPOA'!Q11</f>
        <v>1.0582010582010582E-5</v>
      </c>
      <c r="C178" s="602">
        <f>I135</f>
        <v>4413.5245447572261</v>
      </c>
      <c r="D178" s="602">
        <f>B178*C178</f>
        <v>4.6703963436584402E-2</v>
      </c>
      <c r="E178" s="602">
        <f>I135</f>
        <v>4413.5245447572261</v>
      </c>
      <c r="F178" s="602">
        <f>B178*E178</f>
        <v>4.6703963436584402E-2</v>
      </c>
      <c r="G178" s="602">
        <f>I135</f>
        <v>4413.5245447572261</v>
      </c>
      <c r="H178" s="602">
        <f>B178*G178</f>
        <v>4.6703963436584402E-2</v>
      </c>
      <c r="I178" s="602">
        <f>I135</f>
        <v>4413.5245447572261</v>
      </c>
      <c r="J178" s="602">
        <f>B178*I178</f>
        <v>4.6703963436584402E-2</v>
      </c>
      <c r="K178" s="602">
        <f>I135</f>
        <v>4413.5245447572261</v>
      </c>
      <c r="L178" s="602">
        <f>B178*K178</f>
        <v>4.6703963436584402E-2</v>
      </c>
      <c r="M178" s="827"/>
      <c r="N178" s="827"/>
    </row>
    <row r="179" spans="1:14" x14ac:dyDescent="0.2">
      <c r="A179" s="618" t="s">
        <v>603</v>
      </c>
      <c r="B179" s="619"/>
      <c r="C179" s="620"/>
      <c r="D179" s="621">
        <f>SUM(D177:D178)</f>
        <v>1.7148552549803577</v>
      </c>
      <c r="E179" s="620"/>
      <c r="F179" s="621">
        <f>SUM(F177:F178)</f>
        <v>1.7243065370854216</v>
      </c>
      <c r="G179" s="620"/>
      <c r="H179" s="621">
        <f>SUM(H177:H178)</f>
        <v>1.7338655261090619</v>
      </c>
      <c r="I179" s="620"/>
      <c r="J179" s="621">
        <f>SUM(J177:J178)</f>
        <v>1.7533140743819435</v>
      </c>
      <c r="K179" s="620"/>
      <c r="L179" s="621">
        <f>SUM(L177:L178)</f>
        <v>1.7732162331101693</v>
      </c>
      <c r="M179" s="608"/>
      <c r="N179" s="609"/>
    </row>
    <row r="180" spans="1:14" x14ac:dyDescent="0.2">
      <c r="A180" s="600" t="s">
        <v>604</v>
      </c>
      <c r="B180" s="614">
        <f>1/'Prod. GEXPOA'!J11</f>
        <v>1.0000000000000001E-5</v>
      </c>
      <c r="C180" s="602">
        <f>D134</f>
        <v>4504.0084871681884</v>
      </c>
      <c r="D180" s="602">
        <f>B180*C180</f>
        <v>4.5040084871681887E-2</v>
      </c>
      <c r="E180" s="602">
        <f>D135</f>
        <v>4529.5269488518607</v>
      </c>
      <c r="F180" s="602">
        <f>B180*E180</f>
        <v>4.5295269488518614E-2</v>
      </c>
      <c r="G180" s="602">
        <f>D136</f>
        <v>4555.3362192156892</v>
      </c>
      <c r="H180" s="602">
        <f>B180*G180</f>
        <v>4.5553362192156895E-2</v>
      </c>
      <c r="I180" s="602">
        <f>D137</f>
        <v>4607.8472995524698</v>
      </c>
      <c r="J180" s="602">
        <f>B180*I180</f>
        <v>4.60784729955247E-2</v>
      </c>
      <c r="K180" s="602">
        <f>D138</f>
        <v>4661.5831281186793</v>
      </c>
      <c r="L180" s="602">
        <f>B180*K180</f>
        <v>4.6615831281186799E-2</v>
      </c>
    </row>
    <row r="181" spans="1:14" x14ac:dyDescent="0.2">
      <c r="A181" s="603" t="s">
        <v>593</v>
      </c>
      <c r="B181" s="601">
        <f>B180/'Prod. GEXPOA'!Q11</f>
        <v>2.8571428571428575E-7</v>
      </c>
      <c r="C181" s="602">
        <f>I135</f>
        <v>4413.5245447572261</v>
      </c>
      <c r="D181" s="602">
        <f>B181*C181</f>
        <v>1.2610070127877791E-3</v>
      </c>
      <c r="E181" s="602">
        <f>I135</f>
        <v>4413.5245447572261</v>
      </c>
      <c r="F181" s="602">
        <f>B181*E181</f>
        <v>1.2610070127877791E-3</v>
      </c>
      <c r="G181" s="602">
        <f>I135</f>
        <v>4413.5245447572261</v>
      </c>
      <c r="H181" s="602">
        <f>B181*G181</f>
        <v>1.2610070127877791E-3</v>
      </c>
      <c r="I181" s="602">
        <f>I135</f>
        <v>4413.5245447572261</v>
      </c>
      <c r="J181" s="602">
        <f>B181*I181</f>
        <v>1.2610070127877791E-3</v>
      </c>
      <c r="K181" s="602">
        <f>I135</f>
        <v>4413.5245447572261</v>
      </c>
      <c r="L181" s="602">
        <f>B181*K181</f>
        <v>1.2610070127877791E-3</v>
      </c>
    </row>
    <row r="182" spans="1:14" x14ac:dyDescent="0.2">
      <c r="A182" s="618" t="s">
        <v>605</v>
      </c>
      <c r="B182" s="622"/>
      <c r="C182" s="620"/>
      <c r="D182" s="621">
        <f>SUM(D180:D181)</f>
        <v>4.6301091884469667E-2</v>
      </c>
      <c r="E182" s="620"/>
      <c r="F182" s="621">
        <f>SUM(F180:F181)</f>
        <v>4.6556276501306393E-2</v>
      </c>
      <c r="G182" s="620"/>
      <c r="H182" s="621">
        <f>SUM(H180:H181)</f>
        <v>4.6814369204944674E-2</v>
      </c>
      <c r="I182" s="620"/>
      <c r="J182" s="621">
        <f>SUM(J180:J181)</f>
        <v>4.7339480008312479E-2</v>
      </c>
      <c r="K182" s="620"/>
      <c r="L182" s="621">
        <f>SUM(L180:L181)</f>
        <v>4.7876838293974579E-2</v>
      </c>
    </row>
    <row r="183" spans="1:14" x14ac:dyDescent="0.2">
      <c r="A183" s="600" t="s">
        <v>606</v>
      </c>
      <c r="B183" s="614">
        <f>1/'Prod. GEXPOA'!K11</f>
        <v>1.3333333333333334E-4</v>
      </c>
      <c r="C183" s="602">
        <f>D134</f>
        <v>4504.0084871681884</v>
      </c>
      <c r="D183" s="602">
        <f>B183*C183</f>
        <v>0.60053446495575846</v>
      </c>
      <c r="E183" s="602">
        <f>D135</f>
        <v>4529.5269488518607</v>
      </c>
      <c r="F183" s="602">
        <f>B183*E183</f>
        <v>0.60393692651358144</v>
      </c>
      <c r="G183" s="602">
        <f>D136</f>
        <v>4555.3362192156892</v>
      </c>
      <c r="H183" s="602">
        <f>B183*G183</f>
        <v>0.60737816256209187</v>
      </c>
      <c r="I183" s="602">
        <f>D137</f>
        <v>4607.8472995524698</v>
      </c>
      <c r="J183" s="602">
        <f>B183*I183</f>
        <v>0.61437963994032929</v>
      </c>
      <c r="K183" s="602">
        <f>D138</f>
        <v>4661.5831281186793</v>
      </c>
      <c r="L183" s="602">
        <f>B183*K183</f>
        <v>0.62154441708249064</v>
      </c>
    </row>
    <row r="184" spans="1:14" x14ac:dyDescent="0.2">
      <c r="A184" s="603" t="s">
        <v>593</v>
      </c>
      <c r="B184" s="601">
        <f>B183/'Prod. GEXPOA'!Q11</f>
        <v>3.8095238095238098E-6</v>
      </c>
      <c r="C184" s="602">
        <f>I135</f>
        <v>4413.5245447572261</v>
      </c>
      <c r="D184" s="602">
        <f>B184*C184</f>
        <v>1.6813426837170388E-2</v>
      </c>
      <c r="E184" s="602">
        <f>I135</f>
        <v>4413.5245447572261</v>
      </c>
      <c r="F184" s="602">
        <f>B184*E184</f>
        <v>1.6813426837170388E-2</v>
      </c>
      <c r="G184" s="602">
        <f>I135</f>
        <v>4413.5245447572261</v>
      </c>
      <c r="H184" s="602">
        <f>B184*G184</f>
        <v>1.6813426837170388E-2</v>
      </c>
      <c r="I184" s="602">
        <f>I135</f>
        <v>4413.5245447572261</v>
      </c>
      <c r="J184" s="602">
        <f>B184*I184</f>
        <v>1.6813426837170388E-2</v>
      </c>
      <c r="K184" s="602">
        <f>I135</f>
        <v>4413.5245447572261</v>
      </c>
      <c r="L184" s="602">
        <f>B184*K184</f>
        <v>1.6813426837170388E-2</v>
      </c>
    </row>
    <row r="185" spans="1:14" x14ac:dyDescent="0.2">
      <c r="A185" s="618" t="s">
        <v>607</v>
      </c>
      <c r="B185" s="622"/>
      <c r="C185" s="620"/>
      <c r="D185" s="621">
        <f>SUM(D183:D184)</f>
        <v>0.61734789179292882</v>
      </c>
      <c r="E185" s="620"/>
      <c r="F185" s="621">
        <f>SUM(F183:F184)</f>
        <v>0.62075035335075179</v>
      </c>
      <c r="G185" s="620"/>
      <c r="H185" s="621">
        <f>SUM(H183:H184)</f>
        <v>0.62419158939926223</v>
      </c>
      <c r="I185" s="620"/>
      <c r="J185" s="621">
        <f>SUM(J183:J184)</f>
        <v>0.63119306677749965</v>
      </c>
      <c r="K185" s="620"/>
      <c r="L185" s="621">
        <f>SUM(L183:L184)</f>
        <v>0.63835784391966099</v>
      </c>
    </row>
    <row r="186" spans="1:14" x14ac:dyDescent="0.2">
      <c r="A186" s="611"/>
      <c r="B186" s="616"/>
      <c r="C186" s="616"/>
      <c r="D186" s="616"/>
      <c r="E186" s="616"/>
      <c r="F186" s="616"/>
      <c r="G186" s="616"/>
      <c r="H186" s="616"/>
    </row>
    <row r="187" spans="1:14" ht="14.25" customHeight="1" x14ac:dyDescent="0.2">
      <c r="A187" s="829" t="s">
        <v>608</v>
      </c>
      <c r="B187" s="829"/>
      <c r="C187" s="829" t="s">
        <v>583</v>
      </c>
      <c r="D187" s="829"/>
      <c r="E187" s="829" t="s">
        <v>584</v>
      </c>
      <c r="F187" s="829"/>
      <c r="G187" s="829" t="s">
        <v>585</v>
      </c>
      <c r="H187" s="829"/>
      <c r="I187" s="829" t="s">
        <v>586</v>
      </c>
      <c r="J187" s="829"/>
      <c r="K187" s="829" t="s">
        <v>587</v>
      </c>
      <c r="L187" s="829"/>
    </row>
    <row r="188" spans="1:14" ht="25.5" x14ac:dyDescent="0.2">
      <c r="A188" s="598" t="s">
        <v>588</v>
      </c>
      <c r="B188" s="599" t="s">
        <v>597</v>
      </c>
      <c r="C188" s="599" t="s">
        <v>590</v>
      </c>
      <c r="D188" s="599" t="s">
        <v>591</v>
      </c>
      <c r="E188" s="599" t="s">
        <v>590</v>
      </c>
      <c r="F188" s="599" t="s">
        <v>591</v>
      </c>
      <c r="G188" s="599" t="s">
        <v>590</v>
      </c>
      <c r="H188" s="599" t="s">
        <v>591</v>
      </c>
      <c r="I188" s="599" t="s">
        <v>590</v>
      </c>
      <c r="J188" s="599" t="s">
        <v>591</v>
      </c>
      <c r="K188" s="599" t="s">
        <v>590</v>
      </c>
      <c r="L188" s="599" t="s">
        <v>591</v>
      </c>
    </row>
    <row r="189" spans="1:14" x14ac:dyDescent="0.2">
      <c r="A189" s="623" t="s">
        <v>609</v>
      </c>
      <c r="B189" s="614">
        <f>(1/'Prod. GEXPOA'!L11)*(1/(30/7*44*6))*8</f>
        <v>4.4191919191919199E-5</v>
      </c>
      <c r="C189" s="624">
        <f>H134</f>
        <v>4808.9426355350333</v>
      </c>
      <c r="D189" s="602">
        <f>B189*C189</f>
        <v>0.21251640434813912</v>
      </c>
      <c r="E189" s="624">
        <f>H135</f>
        <v>4836.1887694474135</v>
      </c>
      <c r="F189" s="602">
        <f>B189*E189</f>
        <v>0.21372046329628724</v>
      </c>
      <c r="G189" s="624">
        <f>H136</f>
        <v>4863.7454006123562</v>
      </c>
      <c r="H189" s="602">
        <f>B189*G189</f>
        <v>0.21493824371392992</v>
      </c>
      <c r="I189" s="624">
        <f>H137</f>
        <v>4919.8116300142274</v>
      </c>
      <c r="J189" s="602">
        <f>B189*I189</f>
        <v>0.21741591799305302</v>
      </c>
      <c r="K189" s="624">
        <f>H138</f>
        <v>4977.1855265741597</v>
      </c>
      <c r="L189" s="602">
        <f>B189*K189</f>
        <v>0.21995138059355507</v>
      </c>
    </row>
    <row r="190" spans="1:14" x14ac:dyDescent="0.2">
      <c r="A190" s="603" t="s">
        <v>593</v>
      </c>
      <c r="B190" s="614">
        <f>B189/4</f>
        <v>1.10479797979798E-5</v>
      </c>
      <c r="C190" s="602">
        <f>I135</f>
        <v>4413.5245447572261</v>
      </c>
      <c r="D190" s="602">
        <f>B190*C190</f>
        <v>4.8760530008365825E-2</v>
      </c>
      <c r="E190" s="602">
        <f>I135</f>
        <v>4413.5245447572261</v>
      </c>
      <c r="F190" s="602">
        <f>B190*E190</f>
        <v>4.8760530008365825E-2</v>
      </c>
      <c r="G190" s="602">
        <f>I135</f>
        <v>4413.5245447572261</v>
      </c>
      <c r="H190" s="602">
        <f>B190*G190</f>
        <v>4.8760530008365825E-2</v>
      </c>
      <c r="I190" s="602">
        <f>I135</f>
        <v>4413.5245447572261</v>
      </c>
      <c r="J190" s="602">
        <f>B190*I190</f>
        <v>4.8760530008365825E-2</v>
      </c>
      <c r="K190" s="602">
        <f>I135</f>
        <v>4413.5245447572261</v>
      </c>
      <c r="L190" s="602">
        <f>B190*K190</f>
        <v>4.8760530008365825E-2</v>
      </c>
      <c r="M190" s="827"/>
      <c r="N190" s="827"/>
    </row>
    <row r="191" spans="1:14" x14ac:dyDescent="0.2">
      <c r="A191" s="625" t="s">
        <v>610</v>
      </c>
      <c r="B191" s="626"/>
      <c r="C191" s="627"/>
      <c r="D191" s="628">
        <f>SUM(D189:D190)</f>
        <v>0.26127693435650495</v>
      </c>
      <c r="E191" s="627"/>
      <c r="F191" s="628">
        <f>SUM(F189:F190)</f>
        <v>0.26248099330465308</v>
      </c>
      <c r="G191" s="627"/>
      <c r="H191" s="628">
        <f>SUM(H189:H190)</f>
        <v>0.26369877372229572</v>
      </c>
      <c r="I191" s="627"/>
      <c r="J191" s="628">
        <f>SUM(J189:J190)</f>
        <v>0.26617644800141882</v>
      </c>
      <c r="K191" s="627"/>
      <c r="L191" s="628">
        <f>SUM(L189:L190)</f>
        <v>0.2687119106019209</v>
      </c>
      <c r="M191" s="608"/>
      <c r="N191" s="609"/>
    </row>
    <row r="192" spans="1:14" x14ac:dyDescent="0.2">
      <c r="A192" s="623" t="s">
        <v>611</v>
      </c>
      <c r="B192" s="614">
        <f>1/'Prod. GEXPOA'!M11*16*(1/188.76)</f>
        <v>2.2306242401936183E-4</v>
      </c>
      <c r="C192" s="602">
        <f>D134</f>
        <v>4504.0084871681884</v>
      </c>
      <c r="D192" s="602">
        <f>B192*C192</f>
        <v>1.0046750509515148</v>
      </c>
      <c r="E192" s="602">
        <f>D135</f>
        <v>4529.5269488518607</v>
      </c>
      <c r="F192" s="602">
        <f>B192*E192</f>
        <v>1.0103672608719201</v>
      </c>
      <c r="G192" s="602">
        <f>D136</f>
        <v>4555.3362192156892</v>
      </c>
      <c r="H192" s="602">
        <f>B192*G192</f>
        <v>1.0161243392814467</v>
      </c>
      <c r="I192" s="602">
        <f>D137</f>
        <v>4607.8472995524698</v>
      </c>
      <c r="J192" s="602">
        <f>B192*I192</f>
        <v>1.0278375881492443</v>
      </c>
      <c r="K192" s="602">
        <f>D138</f>
        <v>4661.5831281186793</v>
      </c>
      <c r="L192" s="602">
        <f>B192*K192</f>
        <v>1.039824032325912</v>
      </c>
    </row>
    <row r="193" spans="1:14" x14ac:dyDescent="0.2">
      <c r="A193" s="603" t="s">
        <v>593</v>
      </c>
      <c r="B193" s="614">
        <f>1/('Prod. GEXPOA'!Q11*'Prod. GEXPOA'!M11)*16*(1/188.76)</f>
        <v>6.3732121148389098E-6</v>
      </c>
      <c r="C193" s="602">
        <f>I135</f>
        <v>4413.5245447572261</v>
      </c>
      <c r="D193" s="602">
        <f>B193*C193</f>
        <v>2.8128328097785638E-2</v>
      </c>
      <c r="E193" s="602">
        <f>I135</f>
        <v>4413.5245447572261</v>
      </c>
      <c r="F193" s="602">
        <f>B193*E193</f>
        <v>2.8128328097785638E-2</v>
      </c>
      <c r="G193" s="602">
        <f>I135</f>
        <v>4413.5245447572261</v>
      </c>
      <c r="H193" s="602">
        <f>B193*G193</f>
        <v>2.8128328097785638E-2</v>
      </c>
      <c r="I193" s="602">
        <f>I135</f>
        <v>4413.5245447572261</v>
      </c>
      <c r="J193" s="602">
        <f>B193*I193</f>
        <v>2.8128328097785638E-2</v>
      </c>
      <c r="K193" s="602">
        <f>I135</f>
        <v>4413.5245447572261</v>
      </c>
      <c r="L193" s="602">
        <f>B193*K193</f>
        <v>2.8128328097785638E-2</v>
      </c>
      <c r="M193" s="827"/>
      <c r="N193" s="827"/>
    </row>
    <row r="194" spans="1:14" x14ac:dyDescent="0.2">
      <c r="A194" s="625" t="s">
        <v>612</v>
      </c>
      <c r="B194" s="626"/>
      <c r="C194" s="627"/>
      <c r="D194" s="628">
        <f>SUM(D192:D193)</f>
        <v>1.0328033790493003</v>
      </c>
      <c r="E194" s="627"/>
      <c r="F194" s="628">
        <f>SUM(F192:F193)</f>
        <v>1.0384955889697056</v>
      </c>
      <c r="G194" s="627"/>
      <c r="H194" s="628">
        <f>SUM(H192:H193)</f>
        <v>1.0442526673792323</v>
      </c>
      <c r="I194" s="627"/>
      <c r="J194" s="628">
        <f>SUM(J192:J193)</f>
        <v>1.0559659162470298</v>
      </c>
      <c r="K194" s="627"/>
      <c r="L194" s="628">
        <f>SUM(L192:L193)</f>
        <v>1.0679523604236976</v>
      </c>
      <c r="M194" s="608"/>
      <c r="N194" s="609"/>
    </row>
    <row r="195" spans="1:14" x14ac:dyDescent="0.2">
      <c r="A195" s="600" t="s">
        <v>613</v>
      </c>
      <c r="B195" s="614">
        <f>1/'Prod. GEXPOA'!N11*16*(1/188.76)</f>
        <v>2.2306242401936183E-4</v>
      </c>
      <c r="C195" s="602">
        <f>D134</f>
        <v>4504.0084871681884</v>
      </c>
      <c r="D195" s="602">
        <f>B195*C195</f>
        <v>1.0046750509515148</v>
      </c>
      <c r="E195" s="602">
        <f>D135</f>
        <v>4529.5269488518607</v>
      </c>
      <c r="F195" s="602">
        <f>B195*E195</f>
        <v>1.0103672608719201</v>
      </c>
      <c r="G195" s="602">
        <f>D136</f>
        <v>4555.3362192156892</v>
      </c>
      <c r="H195" s="602">
        <f>B195*G195</f>
        <v>1.0161243392814467</v>
      </c>
      <c r="I195" s="602">
        <f>D137</f>
        <v>4607.8472995524698</v>
      </c>
      <c r="J195" s="602">
        <f>B195*I195</f>
        <v>1.0278375881492443</v>
      </c>
      <c r="K195" s="602">
        <f>D138</f>
        <v>4661.5831281186793</v>
      </c>
      <c r="L195" s="602">
        <f>B195*K195</f>
        <v>1.039824032325912</v>
      </c>
    </row>
    <row r="196" spans="1:14" x14ac:dyDescent="0.2">
      <c r="A196" s="603" t="s">
        <v>593</v>
      </c>
      <c r="B196" s="614">
        <f>1/('Prod. GEXPOA'!Q11*'Prod. GEXPOA'!N11)*16*(1/188.76)</f>
        <v>6.3732121148389098E-6</v>
      </c>
      <c r="C196" s="602">
        <f>I135</f>
        <v>4413.5245447572261</v>
      </c>
      <c r="D196" s="602">
        <f>B196*C196</f>
        <v>2.8128328097785638E-2</v>
      </c>
      <c r="E196" s="602">
        <f>I135</f>
        <v>4413.5245447572261</v>
      </c>
      <c r="F196" s="602">
        <f>B196*E196</f>
        <v>2.8128328097785638E-2</v>
      </c>
      <c r="G196" s="602">
        <f>I135</f>
        <v>4413.5245447572261</v>
      </c>
      <c r="H196" s="602">
        <f>B196*G196</f>
        <v>2.8128328097785638E-2</v>
      </c>
      <c r="I196" s="602">
        <f>I135</f>
        <v>4413.5245447572261</v>
      </c>
      <c r="J196" s="602">
        <f>B196*I196</f>
        <v>2.8128328097785638E-2</v>
      </c>
      <c r="K196" s="602">
        <f>I135</f>
        <v>4413.5245447572261</v>
      </c>
      <c r="L196" s="602">
        <f>B196*K196</f>
        <v>2.8128328097785638E-2</v>
      </c>
      <c r="M196" s="827"/>
      <c r="N196" s="827"/>
    </row>
    <row r="197" spans="1:14" x14ac:dyDescent="0.2">
      <c r="A197" s="625" t="s">
        <v>614</v>
      </c>
      <c r="B197" s="626"/>
      <c r="C197" s="627"/>
      <c r="D197" s="628">
        <f>SUM(D195:D196)</f>
        <v>1.0328033790493003</v>
      </c>
      <c r="E197" s="627"/>
      <c r="F197" s="628">
        <f>SUM(F195:F196)</f>
        <v>1.0384955889697056</v>
      </c>
      <c r="G197" s="627"/>
      <c r="H197" s="628">
        <f>SUM(H195:H196)</f>
        <v>1.0442526673792323</v>
      </c>
      <c r="I197" s="627"/>
      <c r="J197" s="628">
        <f>SUM(J195:J196)</f>
        <v>1.0559659162470298</v>
      </c>
      <c r="K197" s="627"/>
      <c r="L197" s="628">
        <f>SUM(L195:L196)</f>
        <v>1.0679523604236976</v>
      </c>
      <c r="M197" s="608"/>
      <c r="N197" s="609"/>
    </row>
    <row r="198" spans="1:14" x14ac:dyDescent="0.2">
      <c r="A198" s="597"/>
    </row>
  </sheetData>
  <mergeCells count="86">
    <mergeCell ref="A1:I1"/>
    <mergeCell ref="A2:I2"/>
    <mergeCell ref="A3:I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I9"/>
    <mergeCell ref="A11:I11"/>
    <mergeCell ref="A20:B20"/>
    <mergeCell ref="A21:I21"/>
    <mergeCell ref="A50:I50"/>
    <mergeCell ref="A51:I51"/>
    <mergeCell ref="A61:I61"/>
    <mergeCell ref="A62:I62"/>
    <mergeCell ref="A92:B92"/>
    <mergeCell ref="A112:A116"/>
    <mergeCell ref="A119:I119"/>
    <mergeCell ref="A120:I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E145:F145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M154:N154"/>
    <mergeCell ref="A157:B157"/>
    <mergeCell ref="C157:D157"/>
    <mergeCell ref="E157:F157"/>
    <mergeCell ref="G157:H157"/>
    <mergeCell ref="I157:J157"/>
    <mergeCell ref="K157:L157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A175:B175"/>
    <mergeCell ref="C175:D175"/>
    <mergeCell ref="E175:F175"/>
    <mergeCell ref="G175:H175"/>
    <mergeCell ref="I175:J175"/>
    <mergeCell ref="A187:B187"/>
    <mergeCell ref="C187:D187"/>
    <mergeCell ref="E187:F187"/>
    <mergeCell ref="G187:H187"/>
    <mergeCell ref="I187:J187"/>
    <mergeCell ref="M190:N190"/>
    <mergeCell ref="M193:N193"/>
    <mergeCell ref="M196:N196"/>
    <mergeCell ref="K175:L175"/>
    <mergeCell ref="M178:N178"/>
    <mergeCell ref="K187:L18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7EE"/>
  </sheetPr>
  <dimension ref="A1:AMF139"/>
  <sheetViews>
    <sheetView zoomScale="75" zoomScaleNormal="75" workbookViewId="0">
      <pane ySplit="10" topLeftCell="A11" activePane="bottomLeft" state="frozen"/>
      <selection pane="bottomLeft" activeCell="C18" sqref="C18"/>
    </sheetView>
  </sheetViews>
  <sheetFormatPr defaultRowHeight="14.25" x14ac:dyDescent="0.2"/>
  <cols>
    <col min="1" max="1" width="55.5" style="429" customWidth="1"/>
    <col min="2" max="5" width="14" style="429" customWidth="1"/>
    <col min="6" max="1020" width="9" style="429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30"/>
      <c r="B4" s="431"/>
      <c r="C4" s="432" t="s">
        <v>467</v>
      </c>
      <c r="D4" s="435" t="s">
        <v>468</v>
      </c>
      <c r="E4" s="435" t="s">
        <v>469</v>
      </c>
    </row>
    <row r="5" spans="1:5" x14ac:dyDescent="0.2">
      <c r="A5" s="436"/>
      <c r="B5" s="437" t="s">
        <v>472</v>
      </c>
      <c r="C5" s="438">
        <f>MC!$D11</f>
        <v>1194.6272727272726</v>
      </c>
      <c r="D5" s="438">
        <f>MC!$E11</f>
        <v>895.97045454545446</v>
      </c>
      <c r="E5" s="440">
        <f>MC!$F11</f>
        <v>597.31363636363631</v>
      </c>
    </row>
    <row r="6" spans="1:5" x14ac:dyDescent="0.2">
      <c r="A6" s="436"/>
      <c r="B6" s="437" t="s">
        <v>473</v>
      </c>
      <c r="C6" s="441">
        <f>MC!$E8</f>
        <v>44562</v>
      </c>
      <c r="D6" s="441">
        <f>MC!$E8</f>
        <v>44562</v>
      </c>
      <c r="E6" s="443">
        <f>MC!$E8</f>
        <v>44562</v>
      </c>
    </row>
    <row r="7" spans="1:5" x14ac:dyDescent="0.2">
      <c r="A7" s="436"/>
      <c r="B7" s="437" t="s">
        <v>474</v>
      </c>
      <c r="C7" s="441" t="str">
        <f>MC!$C8</f>
        <v>RS005021/2021</v>
      </c>
      <c r="D7" s="441" t="str">
        <f>MC!$C8</f>
        <v>RS005021/2021</v>
      </c>
      <c r="E7" s="443" t="str">
        <f>MC!$C8</f>
        <v>RS005021/2021</v>
      </c>
    </row>
    <row r="8" spans="1:5" x14ac:dyDescent="0.2">
      <c r="A8" s="436"/>
      <c r="B8" s="437" t="s">
        <v>475</v>
      </c>
      <c r="C8" s="444" t="str">
        <f>MC!$F8</f>
        <v>5143-20</v>
      </c>
      <c r="D8" s="444" t="str">
        <f>MC!$F8</f>
        <v>5143-20</v>
      </c>
      <c r="E8" s="446" t="str">
        <f>MC!$F8</f>
        <v>5143-20</v>
      </c>
    </row>
    <row r="9" spans="1:5" x14ac:dyDescent="0.2">
      <c r="A9" s="846"/>
      <c r="B9" s="846"/>
      <c r="C9" s="846"/>
      <c r="D9" s="846"/>
      <c r="E9" s="846"/>
    </row>
    <row r="10" spans="1:5" ht="66.75" customHeight="1" x14ac:dyDescent="0.2">
      <c r="A10" s="447" t="s">
        <v>476</v>
      </c>
      <c r="B10" s="448" t="s">
        <v>477</v>
      </c>
      <c r="C10" s="448" t="s">
        <v>615</v>
      </c>
      <c r="D10" s="747" t="s">
        <v>616</v>
      </c>
      <c r="E10" s="630" t="s">
        <v>617</v>
      </c>
    </row>
    <row r="11" spans="1:5" ht="14.25" customHeight="1" x14ac:dyDescent="0.2">
      <c r="A11" s="842" t="s">
        <v>485</v>
      </c>
      <c r="B11" s="842"/>
      <c r="C11" s="842"/>
      <c r="D11" s="842"/>
      <c r="E11" s="842"/>
    </row>
    <row r="12" spans="1:5" ht="14.25" customHeight="1" x14ac:dyDescent="0.2">
      <c r="A12" s="452" t="s">
        <v>486</v>
      </c>
      <c r="B12" s="453" t="s">
        <v>487</v>
      </c>
      <c r="C12" s="453" t="s">
        <v>488</v>
      </c>
      <c r="D12" s="708" t="s">
        <v>488</v>
      </c>
      <c r="E12" s="709" t="s">
        <v>488</v>
      </c>
    </row>
    <row r="13" spans="1:5" ht="14.25" customHeight="1" x14ac:dyDescent="0.2">
      <c r="A13" s="455" t="s">
        <v>489</v>
      </c>
      <c r="B13" s="456"/>
      <c r="C13" s="457">
        <f>C5</f>
        <v>1194.6272727272726</v>
      </c>
      <c r="D13" s="457">
        <f>D5</f>
        <v>895.97045454545446</v>
      </c>
      <c r="E13" s="459">
        <f>E5</f>
        <v>597.31363636363631</v>
      </c>
    </row>
    <row r="14" spans="1:5" ht="14.25" customHeight="1" x14ac:dyDescent="0.2">
      <c r="A14" s="455" t="s">
        <v>490</v>
      </c>
      <c r="B14" s="479">
        <v>0.2</v>
      </c>
      <c r="C14" s="457">
        <f>C13*$B$14</f>
        <v>238.92545454545453</v>
      </c>
      <c r="D14" s="635">
        <f>D13*$B$14</f>
        <v>179.1940909090909</v>
      </c>
      <c r="E14" s="459">
        <f>E13*$B$14</f>
        <v>119.46272727272726</v>
      </c>
    </row>
    <row r="15" spans="1:5" ht="14.25" customHeight="1" x14ac:dyDescent="0.2">
      <c r="A15" s="455" t="s">
        <v>492</v>
      </c>
      <c r="B15" s="463"/>
      <c r="C15" s="457"/>
      <c r="D15" s="635"/>
      <c r="E15" s="459"/>
    </row>
    <row r="16" spans="1:5" ht="14.25" customHeight="1" x14ac:dyDescent="0.2">
      <c r="A16" s="455" t="s">
        <v>493</v>
      </c>
      <c r="B16" s="463"/>
      <c r="C16" s="457"/>
      <c r="D16" s="635"/>
      <c r="E16" s="459"/>
    </row>
    <row r="17" spans="1:5" ht="14.25" customHeight="1" x14ac:dyDescent="0.2">
      <c r="A17" s="455" t="s">
        <v>494</v>
      </c>
      <c r="B17" s="463"/>
      <c r="C17" s="457"/>
      <c r="D17" s="635"/>
      <c r="E17" s="459"/>
    </row>
    <row r="18" spans="1:5" ht="14.25" customHeight="1" x14ac:dyDescent="0.2">
      <c r="A18" s="455" t="s">
        <v>495</v>
      </c>
      <c r="B18" s="465"/>
      <c r="C18" s="457"/>
      <c r="D18" s="635"/>
      <c r="E18" s="459"/>
    </row>
    <row r="19" spans="1:5" ht="14.25" customHeight="1" x14ac:dyDescent="0.2">
      <c r="A19" s="466" t="s">
        <v>496</v>
      </c>
      <c r="B19" s="467"/>
      <c r="C19" s="481">
        <f>SUM(C13:C18)</f>
        <v>1433.5527272727272</v>
      </c>
      <c r="D19" s="636">
        <f>SUM(D13:D18)</f>
        <v>1075.1645454545453</v>
      </c>
      <c r="E19" s="637">
        <f>SUM(E13:E18)</f>
        <v>716.77636363636361</v>
      </c>
    </row>
    <row r="20" spans="1:5" ht="14.25" customHeight="1" x14ac:dyDescent="0.2">
      <c r="A20" s="843"/>
      <c r="B20" s="843"/>
      <c r="C20" s="843"/>
      <c r="D20" s="843"/>
      <c r="E20" s="843"/>
    </row>
    <row r="21" spans="1:5" ht="14.25" customHeight="1" x14ac:dyDescent="0.2">
      <c r="A21" s="853" t="s">
        <v>497</v>
      </c>
      <c r="B21" s="853"/>
      <c r="C21" s="853"/>
      <c r="D21" s="853"/>
      <c r="E21" s="853"/>
    </row>
    <row r="22" spans="1:5" ht="14.2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7" t="s">
        <v>488</v>
      </c>
    </row>
    <row r="23" spans="1:5" ht="14.25" customHeight="1" x14ac:dyDescent="0.2">
      <c r="A23" s="478" t="s">
        <v>499</v>
      </c>
      <c r="B23" s="479">
        <f>1/12</f>
        <v>8.3333333333333329E-2</v>
      </c>
      <c r="C23" s="457">
        <f>ROUND($B23*C$19,2)</f>
        <v>119.46</v>
      </c>
      <c r="D23" s="457">
        <f>ROUND($B23*D$19,2)</f>
        <v>89.6</v>
      </c>
      <c r="E23" s="459">
        <f>ROUND($B23*E$19,2)</f>
        <v>59.73</v>
      </c>
    </row>
    <row r="24" spans="1:5" ht="14.25" customHeight="1" x14ac:dyDescent="0.2">
      <c r="A24" s="478" t="s">
        <v>500</v>
      </c>
      <c r="B24" s="479">
        <f>1/3*1/12</f>
        <v>2.7777777777777776E-2</v>
      </c>
      <c r="C24" s="457">
        <f>C$19*$B$24</f>
        <v>39.82090909090909</v>
      </c>
      <c r="D24" s="457">
        <f>D$19*$B$24</f>
        <v>29.865681818181812</v>
      </c>
      <c r="E24" s="459">
        <f>E$19*$B$24</f>
        <v>19.910454545454545</v>
      </c>
    </row>
    <row r="25" spans="1:5" ht="14.25" customHeight="1" x14ac:dyDescent="0.2">
      <c r="A25" s="466" t="s">
        <v>496</v>
      </c>
      <c r="B25" s="480">
        <f>SUM(B23:B24)</f>
        <v>0.1111111111111111</v>
      </c>
      <c r="C25" s="481">
        <f>SUM(C23:C24)</f>
        <v>159.28090909090909</v>
      </c>
      <c r="D25" s="481">
        <f>SUM(D23:D24)</f>
        <v>119.46568181818181</v>
      </c>
      <c r="E25" s="482">
        <f>SUM(E23:E24)</f>
        <v>79.640454545454546</v>
      </c>
    </row>
    <row r="26" spans="1:5" ht="14.25" customHeight="1" x14ac:dyDescent="0.2">
      <c r="A26" s="475" t="s">
        <v>501</v>
      </c>
      <c r="B26" s="476" t="s">
        <v>487</v>
      </c>
      <c r="C26" s="476" t="s">
        <v>488</v>
      </c>
      <c r="D26" s="476" t="s">
        <v>488</v>
      </c>
      <c r="E26" s="477" t="s">
        <v>488</v>
      </c>
    </row>
    <row r="27" spans="1:5" ht="14.25" customHeight="1" x14ac:dyDescent="0.2">
      <c r="A27" s="475" t="s">
        <v>502</v>
      </c>
      <c r="B27" s="483"/>
      <c r="C27" s="483"/>
      <c r="D27" s="483"/>
      <c r="E27" s="485"/>
    </row>
    <row r="28" spans="1:5" ht="14.25" customHeight="1" x14ac:dyDescent="0.2">
      <c r="A28" s="478" t="s">
        <v>503</v>
      </c>
      <c r="B28" s="479">
        <v>0.2</v>
      </c>
      <c r="C28" s="486">
        <f t="shared" ref="C28:E35" si="0">ROUND((C$19+C$25)*$B28,2)</f>
        <v>318.57</v>
      </c>
      <c r="D28" s="486">
        <f t="shared" si="0"/>
        <v>238.93</v>
      </c>
      <c r="E28" s="487">
        <f t="shared" si="0"/>
        <v>159.28</v>
      </c>
    </row>
    <row r="29" spans="1:5" ht="14.25" customHeight="1" x14ac:dyDescent="0.2">
      <c r="A29" s="478" t="s">
        <v>504</v>
      </c>
      <c r="B29" s="479">
        <v>2.5000000000000001E-2</v>
      </c>
      <c r="C29" s="486">
        <f t="shared" si="0"/>
        <v>39.82</v>
      </c>
      <c r="D29" s="486">
        <f t="shared" si="0"/>
        <v>29.87</v>
      </c>
      <c r="E29" s="487">
        <f t="shared" si="0"/>
        <v>19.91</v>
      </c>
    </row>
    <row r="30" spans="1:5" ht="14.25" customHeight="1" x14ac:dyDescent="0.2">
      <c r="A30" s="478" t="s">
        <v>505</v>
      </c>
      <c r="B30" s="479">
        <v>0.03</v>
      </c>
      <c r="C30" s="486">
        <f t="shared" si="0"/>
        <v>47.79</v>
      </c>
      <c r="D30" s="486">
        <f t="shared" si="0"/>
        <v>35.840000000000003</v>
      </c>
      <c r="E30" s="487">
        <f t="shared" si="0"/>
        <v>23.89</v>
      </c>
    </row>
    <row r="31" spans="1:5" ht="14.25" customHeight="1" x14ac:dyDescent="0.2">
      <c r="A31" s="478" t="s">
        <v>506</v>
      </c>
      <c r="B31" s="479">
        <v>1.4999999999999999E-2</v>
      </c>
      <c r="C31" s="486">
        <f t="shared" si="0"/>
        <v>23.89</v>
      </c>
      <c r="D31" s="486">
        <f t="shared" si="0"/>
        <v>17.920000000000002</v>
      </c>
      <c r="E31" s="487">
        <f t="shared" si="0"/>
        <v>11.95</v>
      </c>
    </row>
    <row r="32" spans="1:5" ht="14.25" customHeight="1" x14ac:dyDescent="0.2">
      <c r="A32" s="478" t="s">
        <v>507</v>
      </c>
      <c r="B32" s="479">
        <v>0.01</v>
      </c>
      <c r="C32" s="486">
        <f t="shared" si="0"/>
        <v>15.93</v>
      </c>
      <c r="D32" s="486">
        <f t="shared" si="0"/>
        <v>11.95</v>
      </c>
      <c r="E32" s="487">
        <f t="shared" si="0"/>
        <v>7.96</v>
      </c>
    </row>
    <row r="33" spans="1:5" ht="14.25" customHeight="1" x14ac:dyDescent="0.2">
      <c r="A33" s="478" t="s">
        <v>508</v>
      </c>
      <c r="B33" s="479">
        <v>6.0000000000000001E-3</v>
      </c>
      <c r="C33" s="486">
        <f t="shared" si="0"/>
        <v>9.56</v>
      </c>
      <c r="D33" s="486">
        <f t="shared" si="0"/>
        <v>7.17</v>
      </c>
      <c r="E33" s="487">
        <f t="shared" si="0"/>
        <v>4.78</v>
      </c>
    </row>
    <row r="34" spans="1:5" ht="14.25" customHeight="1" x14ac:dyDescent="0.2">
      <c r="A34" s="478" t="s">
        <v>509</v>
      </c>
      <c r="B34" s="479">
        <v>2E-3</v>
      </c>
      <c r="C34" s="486">
        <f t="shared" si="0"/>
        <v>3.19</v>
      </c>
      <c r="D34" s="486">
        <f t="shared" si="0"/>
        <v>2.39</v>
      </c>
      <c r="E34" s="487">
        <f t="shared" si="0"/>
        <v>1.59</v>
      </c>
    </row>
    <row r="35" spans="1:5" ht="14.25" customHeight="1" x14ac:dyDescent="0.2">
      <c r="A35" s="478" t="s">
        <v>510</v>
      </c>
      <c r="B35" s="479">
        <v>0.08</v>
      </c>
      <c r="C35" s="486">
        <f t="shared" si="0"/>
        <v>127.43</v>
      </c>
      <c r="D35" s="486">
        <f t="shared" si="0"/>
        <v>95.57</v>
      </c>
      <c r="E35" s="487">
        <f t="shared" si="0"/>
        <v>63.71</v>
      </c>
    </row>
    <row r="36" spans="1:5" ht="14.25" customHeight="1" x14ac:dyDescent="0.2">
      <c r="A36" s="466" t="s">
        <v>496</v>
      </c>
      <c r="B36" s="480">
        <f>SUM(B28:B35)</f>
        <v>0.36800000000000005</v>
      </c>
      <c r="C36" s="481">
        <f>SUM(C27:C35)</f>
        <v>586.18000000000006</v>
      </c>
      <c r="D36" s="481">
        <f>SUM(D27:D35)</f>
        <v>439.64</v>
      </c>
      <c r="E36" s="482">
        <f>SUM(E27:E35)</f>
        <v>293.07</v>
      </c>
    </row>
    <row r="37" spans="1:5" ht="14.25" customHeight="1" x14ac:dyDescent="0.2">
      <c r="A37" s="475" t="s">
        <v>511</v>
      </c>
      <c r="B37" s="476" t="s">
        <v>512</v>
      </c>
      <c r="C37" s="476" t="s">
        <v>488</v>
      </c>
      <c r="D37" s="476" t="s">
        <v>488</v>
      </c>
      <c r="E37" s="477" t="s">
        <v>488</v>
      </c>
    </row>
    <row r="38" spans="1:5" ht="14.25" customHeight="1" x14ac:dyDescent="0.2">
      <c r="A38" s="478" t="s">
        <v>513</v>
      </c>
      <c r="B38" s="488">
        <f>MC!D96</f>
        <v>4.8499999999999996</v>
      </c>
      <c r="C38" s="457">
        <f>ROUND(((2*22*$B$38)-0.06*C$13),2)</f>
        <v>141.72</v>
      </c>
      <c r="D38" s="457">
        <f>ROUND(((2*22*$B$38)-0.06*D$13),2)</f>
        <v>159.63999999999999</v>
      </c>
      <c r="E38" s="459">
        <f>ROUND(((2*22*$B$38)-0.06*E$13),2)</f>
        <v>177.56</v>
      </c>
    </row>
    <row r="39" spans="1:5" ht="14.25" customHeight="1" x14ac:dyDescent="0.2">
      <c r="A39" s="478" t="s">
        <v>514</v>
      </c>
      <c r="B39" s="489"/>
      <c r="C39" s="486">
        <f>MC!K19</f>
        <v>0</v>
      </c>
      <c r="D39" s="486">
        <f>MC!K20</f>
        <v>0</v>
      </c>
      <c r="E39" s="487">
        <f>MC!K20</f>
        <v>0</v>
      </c>
    </row>
    <row r="40" spans="1:5" ht="14.25" customHeight="1" x14ac:dyDescent="0.2">
      <c r="A40" s="478" t="s">
        <v>515</v>
      </c>
      <c r="B40" s="479">
        <f>MC!C24</f>
        <v>0</v>
      </c>
      <c r="C40" s="486"/>
      <c r="D40" s="486"/>
      <c r="E40" s="487"/>
    </row>
    <row r="41" spans="1:5" ht="14.25" customHeight="1" x14ac:dyDescent="0.2">
      <c r="A41" s="478" t="s">
        <v>618</v>
      </c>
      <c r="B41" s="492">
        <f>MC!E26</f>
        <v>0</v>
      </c>
      <c r="C41" s="486">
        <f>B41</f>
        <v>0</v>
      </c>
      <c r="D41" s="486">
        <f>B41</f>
        <v>0</v>
      </c>
      <c r="E41" s="487"/>
    </row>
    <row r="42" spans="1:5" ht="14.25" customHeight="1" x14ac:dyDescent="0.2">
      <c r="A42" s="478" t="s">
        <v>619</v>
      </c>
      <c r="B42" s="492">
        <f>MC!E27</f>
        <v>17.32</v>
      </c>
      <c r="C42" s="486">
        <f>$B42</f>
        <v>17.32</v>
      </c>
      <c r="D42" s="486">
        <f>$B42</f>
        <v>17.32</v>
      </c>
      <c r="E42" s="487">
        <f>$B42</f>
        <v>17.32</v>
      </c>
    </row>
    <row r="43" spans="1:5" ht="14.25" customHeight="1" x14ac:dyDescent="0.2">
      <c r="A43" s="478" t="s">
        <v>518</v>
      </c>
      <c r="B43" s="479"/>
      <c r="C43" s="486"/>
      <c r="D43" s="486"/>
      <c r="E43" s="487"/>
    </row>
    <row r="44" spans="1:5" ht="14.25" customHeight="1" x14ac:dyDescent="0.2">
      <c r="A44" s="466" t="s">
        <v>496</v>
      </c>
      <c r="B44" s="467"/>
      <c r="C44" s="481">
        <f>SUM(C38:C43)</f>
        <v>159.04</v>
      </c>
      <c r="D44" s="481">
        <f>SUM(D38:D43)</f>
        <v>176.95999999999998</v>
      </c>
      <c r="E44" s="482">
        <f>SUM(E38:E43)</f>
        <v>194.88</v>
      </c>
    </row>
    <row r="45" spans="1:5" ht="14.25" customHeight="1" x14ac:dyDescent="0.2">
      <c r="A45" s="452" t="s">
        <v>519</v>
      </c>
      <c r="B45" s="453" t="s">
        <v>487</v>
      </c>
      <c r="C45" s="453" t="s">
        <v>488</v>
      </c>
      <c r="D45" s="453" t="s">
        <v>488</v>
      </c>
      <c r="E45" s="454" t="s">
        <v>488</v>
      </c>
    </row>
    <row r="46" spans="1:5" ht="14.25" customHeight="1" x14ac:dyDescent="0.2">
      <c r="A46" s="478" t="s">
        <v>498</v>
      </c>
      <c r="B46" s="495">
        <f>B25</f>
        <v>0.1111111111111111</v>
      </c>
      <c r="C46" s="496">
        <f>C25</f>
        <v>159.28090909090909</v>
      </c>
      <c r="D46" s="496">
        <f>D25</f>
        <v>119.46568181818181</v>
      </c>
      <c r="E46" s="497">
        <f>E25</f>
        <v>79.640454545454546</v>
      </c>
    </row>
    <row r="47" spans="1:5" ht="14.25" customHeight="1" x14ac:dyDescent="0.2">
      <c r="A47" s="478" t="s">
        <v>520</v>
      </c>
      <c r="B47" s="495">
        <f>B36</f>
        <v>0.36800000000000005</v>
      </c>
      <c r="C47" s="496">
        <f>C36</f>
        <v>586.18000000000006</v>
      </c>
      <c r="D47" s="496">
        <f>D36</f>
        <v>439.64</v>
      </c>
      <c r="E47" s="497">
        <f>E36</f>
        <v>293.07</v>
      </c>
    </row>
    <row r="48" spans="1:5" ht="14.25" customHeight="1" x14ac:dyDescent="0.2">
      <c r="A48" s="478" t="s">
        <v>511</v>
      </c>
      <c r="B48" s="495"/>
      <c r="C48" s="496">
        <f>C44</f>
        <v>159.04</v>
      </c>
      <c r="D48" s="496">
        <f>D44</f>
        <v>176.95999999999998</v>
      </c>
      <c r="E48" s="497">
        <f>E44</f>
        <v>194.88</v>
      </c>
    </row>
    <row r="49" spans="1:5" ht="14.25" customHeight="1" x14ac:dyDescent="0.2">
      <c r="A49" s="466" t="s">
        <v>496</v>
      </c>
      <c r="B49" s="467"/>
      <c r="C49" s="481">
        <f>SUM(C46:C48)</f>
        <v>904.50090909090909</v>
      </c>
      <c r="D49" s="710">
        <f>SUM(D46:D48)</f>
        <v>736.0656818181817</v>
      </c>
      <c r="E49" s="637">
        <f>SUM(E46:E48)</f>
        <v>567.59045454545458</v>
      </c>
    </row>
    <row r="50" spans="1:5" ht="14.25" customHeight="1" x14ac:dyDescent="0.2">
      <c r="A50" s="843"/>
      <c r="B50" s="843"/>
      <c r="C50" s="843"/>
      <c r="D50" s="843"/>
      <c r="E50" s="843"/>
    </row>
    <row r="51" spans="1:5" s="498" customFormat="1" ht="14.25" customHeight="1" x14ac:dyDescent="0.2">
      <c r="A51" s="860" t="s">
        <v>521</v>
      </c>
      <c r="B51" s="860"/>
      <c r="C51" s="860"/>
      <c r="D51" s="860"/>
      <c r="E51" s="860"/>
    </row>
    <row r="52" spans="1:5" ht="14.25" customHeight="1" x14ac:dyDescent="0.2">
      <c r="A52" s="452" t="s">
        <v>522</v>
      </c>
      <c r="B52" s="453" t="s">
        <v>487</v>
      </c>
      <c r="C52" s="453" t="s">
        <v>488</v>
      </c>
      <c r="D52" s="453" t="s">
        <v>488</v>
      </c>
      <c r="E52" s="454" t="s">
        <v>488</v>
      </c>
    </row>
    <row r="53" spans="1:5" ht="14.25" customHeight="1" x14ac:dyDescent="0.2">
      <c r="A53" s="475" t="s">
        <v>523</v>
      </c>
      <c r="B53" s="499"/>
      <c r="C53" s="499"/>
      <c r="D53" s="499"/>
      <c r="E53" s="501"/>
    </row>
    <row r="54" spans="1:5" ht="14.25" customHeight="1" x14ac:dyDescent="0.2">
      <c r="A54" s="478" t="s">
        <v>524</v>
      </c>
      <c r="B54" s="495">
        <f>1/12*0.05</f>
        <v>4.1666666666666666E-3</v>
      </c>
      <c r="C54" s="502">
        <f>C19*$B54</f>
        <v>5.973136363636363</v>
      </c>
      <c r="D54" s="502">
        <f>D19*$B54</f>
        <v>4.479852272727272</v>
      </c>
      <c r="E54" s="503">
        <f>E19*$B54</f>
        <v>2.9865681818181815</v>
      </c>
    </row>
    <row r="55" spans="1:5" ht="14.25" customHeight="1" x14ac:dyDescent="0.2">
      <c r="A55" s="478" t="s">
        <v>525</v>
      </c>
      <c r="B55" s="495">
        <f>B35*B54</f>
        <v>3.3333333333333332E-4</v>
      </c>
      <c r="C55" s="502">
        <f>$B$55*C19</f>
        <v>0.47785090909090905</v>
      </c>
      <c r="D55" s="502">
        <f>$B$55*D19</f>
        <v>0.35838818181818177</v>
      </c>
      <c r="E55" s="503">
        <f>$B$55*E19</f>
        <v>0.23892545454545452</v>
      </c>
    </row>
    <row r="56" spans="1:5" ht="14.25" customHeight="1" x14ac:dyDescent="0.2">
      <c r="A56" s="478" t="s">
        <v>526</v>
      </c>
      <c r="B56" s="495">
        <v>0</v>
      </c>
      <c r="C56" s="502">
        <f>C35*$B56</f>
        <v>0</v>
      </c>
      <c r="D56" s="502">
        <f>D35*$B56</f>
        <v>0</v>
      </c>
      <c r="E56" s="503">
        <f>E35*$B56</f>
        <v>0</v>
      </c>
    </row>
    <row r="57" spans="1:5" ht="14.25" customHeight="1" x14ac:dyDescent="0.2">
      <c r="A57" s="478" t="s">
        <v>527</v>
      </c>
      <c r="B57" s="495">
        <f>1/12*1/30*7</f>
        <v>1.9444444444444441E-2</v>
      </c>
      <c r="C57" s="496">
        <f>C19*$B57</f>
        <v>27.874636363636359</v>
      </c>
      <c r="D57" s="496">
        <f>D19*$B57</f>
        <v>20.905977272727267</v>
      </c>
      <c r="E57" s="497">
        <f>E19*$B57</f>
        <v>13.937318181818179</v>
      </c>
    </row>
    <row r="58" spans="1:5" ht="14.25" customHeight="1" x14ac:dyDescent="0.2">
      <c r="A58" s="478" t="s">
        <v>528</v>
      </c>
      <c r="B58" s="495">
        <f>B36*B57</f>
        <v>7.1555555555555556E-3</v>
      </c>
      <c r="C58" s="496">
        <f>$B58*C19</f>
        <v>10.257866181818182</v>
      </c>
      <c r="D58" s="496">
        <f>$B58*D19</f>
        <v>7.693399636363635</v>
      </c>
      <c r="E58" s="497">
        <f>$B58*E19</f>
        <v>5.1289330909090909</v>
      </c>
    </row>
    <row r="59" spans="1:5" ht="14.25" customHeight="1" x14ac:dyDescent="0.2">
      <c r="A59" s="478" t="s">
        <v>529</v>
      </c>
      <c r="B59" s="495">
        <f>B35*40/100*90/100*(1+1/12+1/12+1/3*1/12)</f>
        <v>3.4399999999999993E-2</v>
      </c>
      <c r="C59" s="496">
        <f>C19*$B59</f>
        <v>49.314213818181805</v>
      </c>
      <c r="D59" s="496">
        <f>D19*$B59</f>
        <v>36.985660363636349</v>
      </c>
      <c r="E59" s="497">
        <f>E19*$B59</f>
        <v>24.657106909090903</v>
      </c>
    </row>
    <row r="60" spans="1:5" ht="14.25" customHeight="1" x14ac:dyDescent="0.2">
      <c r="A60" s="466" t="s">
        <v>496</v>
      </c>
      <c r="B60" s="480">
        <f>SUM(B54:B59)</f>
        <v>6.5499999999999989E-2</v>
      </c>
      <c r="C60" s="468">
        <f>SUM(C54:C59)</f>
        <v>93.897703636363616</v>
      </c>
      <c r="D60" s="713">
        <f>SUM(D54:D59)</f>
        <v>70.423277727272705</v>
      </c>
      <c r="E60" s="650">
        <f>SUM(E54:E59)</f>
        <v>46.948851818181808</v>
      </c>
    </row>
    <row r="61" spans="1:5" ht="14.25" customHeight="1" x14ac:dyDescent="0.2">
      <c r="A61" s="843"/>
      <c r="B61" s="843"/>
      <c r="C61" s="843"/>
      <c r="D61" s="843"/>
      <c r="E61" s="843"/>
    </row>
    <row r="62" spans="1:5" ht="14.25" customHeight="1" x14ac:dyDescent="0.2">
      <c r="A62" s="853" t="s">
        <v>530</v>
      </c>
      <c r="B62" s="853"/>
      <c r="C62" s="853"/>
      <c r="D62" s="853"/>
      <c r="E62" s="853"/>
    </row>
    <row r="63" spans="1:5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7" t="s">
        <v>488</v>
      </c>
    </row>
    <row r="64" spans="1:5" ht="14.25" customHeight="1" x14ac:dyDescent="0.2">
      <c r="A64" s="478" t="s">
        <v>44</v>
      </c>
      <c r="B64" s="479">
        <f>1/12</f>
        <v>8.3333333333333329E-2</v>
      </c>
      <c r="C64" s="486">
        <f t="shared" ref="C64:E67" si="1">$B64*(C$19+C$49+C$60)</f>
        <v>202.66261166666666</v>
      </c>
      <c r="D64" s="486">
        <f t="shared" si="1"/>
        <v>156.80445874999998</v>
      </c>
      <c r="E64" s="487">
        <f t="shared" si="1"/>
        <v>110.9429725</v>
      </c>
    </row>
    <row r="65" spans="1:5" ht="14.25" customHeight="1" x14ac:dyDescent="0.2">
      <c r="A65" s="478" t="s">
        <v>531</v>
      </c>
      <c r="B65" s="479">
        <f>MC!E54/30/12</f>
        <v>1.3538888888888885E-2</v>
      </c>
      <c r="C65" s="486">
        <f t="shared" si="1"/>
        <v>32.925918975444439</v>
      </c>
      <c r="D65" s="486">
        <f t="shared" si="1"/>
        <v>25.475497731583324</v>
      </c>
      <c r="E65" s="487">
        <f t="shared" si="1"/>
        <v>18.024534932166659</v>
      </c>
    </row>
    <row r="66" spans="1:5" ht="14.25" customHeight="1" x14ac:dyDescent="0.2">
      <c r="A66" s="478" t="s">
        <v>532</v>
      </c>
      <c r="B66" s="504">
        <f>(5/30)/12*MC!F56*MC!C57</f>
        <v>1.0764583333333333E-4</v>
      </c>
      <c r="C66" s="486">
        <f t="shared" si="1"/>
        <v>0.26178942862041665</v>
      </c>
      <c r="D66" s="486">
        <f t="shared" si="1"/>
        <v>0.20255215959031247</v>
      </c>
      <c r="E66" s="487">
        <f t="shared" si="1"/>
        <v>0.143310584726875</v>
      </c>
    </row>
    <row r="67" spans="1:5" ht="14.25" customHeight="1" x14ac:dyDescent="0.2">
      <c r="A67" s="478" t="s">
        <v>533</v>
      </c>
      <c r="B67" s="504">
        <f>MC!C59/30/12</f>
        <v>2.6830555555555553E-3</v>
      </c>
      <c r="C67" s="486">
        <f t="shared" si="1"/>
        <v>6.5250605536277773</v>
      </c>
      <c r="D67" s="486">
        <f t="shared" si="1"/>
        <v>5.0485808902208325</v>
      </c>
      <c r="E67" s="487">
        <f t="shared" si="1"/>
        <v>3.571993904591666</v>
      </c>
    </row>
    <row r="68" spans="1:5" ht="14.25" customHeight="1" x14ac:dyDescent="0.2">
      <c r="A68" s="478" t="s">
        <v>495</v>
      </c>
      <c r="B68" s="479"/>
      <c r="C68" s="486"/>
      <c r="D68" s="486"/>
      <c r="E68" s="487"/>
    </row>
    <row r="69" spans="1:5" ht="14.25" customHeight="1" x14ac:dyDescent="0.2">
      <c r="A69" s="505" t="s">
        <v>534</v>
      </c>
      <c r="B69" s="506">
        <f>SUM(B64:B68)</f>
        <v>9.9662923611111107E-2</v>
      </c>
      <c r="C69" s="507">
        <f>SUM(C64:C68)</f>
        <v>242.37538062435928</v>
      </c>
      <c r="D69" s="507">
        <f>SUM(D64:D68)</f>
        <v>187.53108953139443</v>
      </c>
      <c r="E69" s="508">
        <f>SUM(E64:E68)</f>
        <v>132.68281192148518</v>
      </c>
    </row>
    <row r="70" spans="1:5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7" t="s">
        <v>488</v>
      </c>
    </row>
    <row r="71" spans="1:5" ht="14.25" customHeight="1" x14ac:dyDescent="0.2">
      <c r="A71" s="478" t="s">
        <v>536</v>
      </c>
      <c r="B71" s="479"/>
      <c r="C71" s="486"/>
      <c r="D71" s="486"/>
      <c r="E71" s="487"/>
    </row>
    <row r="72" spans="1:5" ht="14.25" customHeight="1" x14ac:dyDescent="0.2">
      <c r="A72" s="505" t="s">
        <v>534</v>
      </c>
      <c r="B72" s="506"/>
      <c r="C72" s="507">
        <f>C71</f>
        <v>0</v>
      </c>
      <c r="D72" s="507"/>
      <c r="E72" s="508"/>
    </row>
    <row r="73" spans="1:5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7" t="s">
        <v>488</v>
      </c>
    </row>
    <row r="74" spans="1:5" ht="14.25" customHeight="1" x14ac:dyDescent="0.2">
      <c r="A74" s="478" t="s">
        <v>66</v>
      </c>
      <c r="B74" s="479">
        <f>120/30*MC!C62*MC!C63</f>
        <v>6.18624E-3</v>
      </c>
      <c r="C74" s="486">
        <f>(((C19*2)+ (C19*1/3))+(C36)+(C44-C38-C39))*$B$74</f>
        <v>24.426098694981821</v>
      </c>
      <c r="D74" s="486">
        <f>(((D19*2)+ (D19*1/3))+(D36)+(D44-D38-D39))*$B$74</f>
        <v>18.346391371636361</v>
      </c>
      <c r="E74" s="487">
        <f>(((E19*2)+ (E19*1/3))+(E36)+(E44-E38-E39))*$B$74</f>
        <v>12.266498461090908</v>
      </c>
    </row>
    <row r="75" spans="1:5" ht="14.25" customHeight="1" x14ac:dyDescent="0.2">
      <c r="A75" s="505" t="s">
        <v>496</v>
      </c>
      <c r="B75" s="506"/>
      <c r="C75" s="507"/>
      <c r="D75" s="507"/>
      <c r="E75" s="508"/>
    </row>
    <row r="76" spans="1:5" ht="14.25" customHeight="1" x14ac:dyDescent="0.2">
      <c r="A76" s="452" t="s">
        <v>537</v>
      </c>
      <c r="B76" s="453" t="s">
        <v>487</v>
      </c>
      <c r="C76" s="453" t="s">
        <v>488</v>
      </c>
      <c r="D76" s="453" t="s">
        <v>488</v>
      </c>
      <c r="E76" s="454" t="s">
        <v>488</v>
      </c>
    </row>
    <row r="77" spans="1:5" ht="14.25" customHeight="1" x14ac:dyDescent="0.2">
      <c r="A77" s="478" t="s">
        <v>43</v>
      </c>
      <c r="B77" s="495">
        <f>B69</f>
        <v>9.9662923611111107E-2</v>
      </c>
      <c r="C77" s="496">
        <f>C69</f>
        <v>242.37538062435928</v>
      </c>
      <c r="D77" s="496">
        <f>D69</f>
        <v>187.53108953139443</v>
      </c>
      <c r="E77" s="497">
        <f>E69</f>
        <v>132.68281192148518</v>
      </c>
    </row>
    <row r="78" spans="1:5" ht="14.25" customHeight="1" x14ac:dyDescent="0.2">
      <c r="A78" s="478" t="s">
        <v>535</v>
      </c>
      <c r="B78" s="495">
        <f>B72</f>
        <v>0</v>
      </c>
      <c r="C78" s="496">
        <f>C72</f>
        <v>0</v>
      </c>
      <c r="D78" s="496">
        <f>D72</f>
        <v>0</v>
      </c>
      <c r="E78" s="497">
        <f>E72</f>
        <v>0</v>
      </c>
    </row>
    <row r="79" spans="1:5" ht="14.25" customHeight="1" x14ac:dyDescent="0.2">
      <c r="A79" s="478" t="s">
        <v>65</v>
      </c>
      <c r="B79" s="495">
        <f>B74</f>
        <v>6.18624E-3</v>
      </c>
      <c r="C79" s="496">
        <f>C74</f>
        <v>24.426098694981821</v>
      </c>
      <c r="D79" s="496">
        <f>D74</f>
        <v>18.346391371636361</v>
      </c>
      <c r="E79" s="497">
        <f>E74</f>
        <v>12.266498461090908</v>
      </c>
    </row>
    <row r="80" spans="1:5" ht="14.25" customHeight="1" x14ac:dyDescent="0.2">
      <c r="A80" s="466" t="s">
        <v>496</v>
      </c>
      <c r="B80" s="467"/>
      <c r="C80" s="481">
        <f>SUM(C77:C79)</f>
        <v>266.80147931934113</v>
      </c>
      <c r="D80" s="710">
        <f>SUM(D77:D79)</f>
        <v>205.8774809030308</v>
      </c>
      <c r="E80" s="637">
        <f>SUM(E77:E79)</f>
        <v>144.9493103825761</v>
      </c>
    </row>
    <row r="81" spans="1:5" ht="14.25" customHeight="1" x14ac:dyDescent="0.2">
      <c r="A81" s="843"/>
      <c r="B81" s="843"/>
      <c r="C81" s="843"/>
      <c r="D81" s="843"/>
      <c r="E81" s="843"/>
    </row>
    <row r="82" spans="1:5" ht="14.25" customHeight="1" x14ac:dyDescent="0.2">
      <c r="A82" s="860" t="s">
        <v>538</v>
      </c>
      <c r="B82" s="860"/>
      <c r="C82" s="860"/>
      <c r="D82" s="860"/>
      <c r="E82" s="860"/>
    </row>
    <row r="83" spans="1:5" ht="14.25" customHeight="1" x14ac:dyDescent="0.2">
      <c r="A83" s="452" t="s">
        <v>539</v>
      </c>
      <c r="B83" s="453" t="s">
        <v>512</v>
      </c>
      <c r="C83" s="453" t="s">
        <v>488</v>
      </c>
      <c r="D83" s="453" t="s">
        <v>488</v>
      </c>
      <c r="E83" s="454" t="s">
        <v>488</v>
      </c>
    </row>
    <row r="84" spans="1:5" ht="14.25" customHeight="1" x14ac:dyDescent="0.2">
      <c r="A84" s="478" t="s">
        <v>541</v>
      </c>
      <c r="B84" s="656"/>
      <c r="C84" s="635">
        <f>Insumos!$K119</f>
        <v>34.030416666666667</v>
      </c>
      <c r="D84" s="457">
        <f>Insumos!$K119</f>
        <v>34.030416666666667</v>
      </c>
      <c r="E84" s="459">
        <f>Insumos!$K119</f>
        <v>34.030416666666667</v>
      </c>
    </row>
    <row r="85" spans="1:5" ht="14.25" customHeight="1" x14ac:dyDescent="0.2">
      <c r="A85" s="515" t="s">
        <v>542</v>
      </c>
      <c r="B85" s="656"/>
      <c r="C85" s="635">
        <f>Insumos!$G70</f>
        <v>247.1166666666667</v>
      </c>
      <c r="D85" s="457">
        <f>Insumos!$G70</f>
        <v>247.1166666666667</v>
      </c>
      <c r="E85" s="459">
        <f>Insumos!$G70</f>
        <v>247.1166666666667</v>
      </c>
    </row>
    <row r="86" spans="1:5" ht="14.25" customHeight="1" x14ac:dyDescent="0.2">
      <c r="A86" s="515" t="s">
        <v>543</v>
      </c>
      <c r="B86" s="657"/>
      <c r="C86" s="635">
        <f>$B86</f>
        <v>0</v>
      </c>
      <c r="D86" s="457">
        <f>$B86</f>
        <v>0</v>
      </c>
      <c r="E86" s="459">
        <f>$B86</f>
        <v>0</v>
      </c>
    </row>
    <row r="87" spans="1:5" ht="14.25" customHeight="1" x14ac:dyDescent="0.2">
      <c r="A87" s="515" t="s">
        <v>544</v>
      </c>
      <c r="B87" s="658"/>
      <c r="C87" s="635">
        <f>Insumos!$I123</f>
        <v>142.21333333333334</v>
      </c>
      <c r="D87" s="457">
        <f>Insumos!$H123</f>
        <v>122.52333333333333</v>
      </c>
      <c r="E87" s="459">
        <f>Insumos!$H123</f>
        <v>122.52333333333333</v>
      </c>
    </row>
    <row r="88" spans="1:5" ht="14.25" customHeight="1" x14ac:dyDescent="0.2">
      <c r="A88" s="505" t="s">
        <v>496</v>
      </c>
      <c r="B88" s="522"/>
      <c r="C88" s="507">
        <f>SUM(C84:C87)</f>
        <v>423.36041666666677</v>
      </c>
      <c r="D88" s="653">
        <f>SUM(D84:D87)</f>
        <v>403.67041666666671</v>
      </c>
      <c r="E88" s="654">
        <f>SUM(E84:E87)</f>
        <v>403.67041666666671</v>
      </c>
    </row>
    <row r="89" spans="1:5" ht="14.25" customHeight="1" x14ac:dyDescent="0.2">
      <c r="A89" s="843"/>
      <c r="B89" s="843"/>
      <c r="C89" s="843"/>
      <c r="D89" s="843"/>
      <c r="E89" s="843"/>
    </row>
    <row r="90" spans="1:5" ht="14.25" customHeight="1" x14ac:dyDescent="0.2">
      <c r="A90" s="860" t="s">
        <v>548</v>
      </c>
      <c r="B90" s="860"/>
      <c r="C90" s="860"/>
      <c r="D90" s="860"/>
      <c r="E90" s="860"/>
    </row>
    <row r="91" spans="1:5" ht="14.25" customHeight="1" x14ac:dyDescent="0.2">
      <c r="A91" s="452" t="s">
        <v>549</v>
      </c>
      <c r="B91" s="453" t="s">
        <v>487</v>
      </c>
      <c r="C91" s="453" t="s">
        <v>488</v>
      </c>
      <c r="D91" s="453" t="s">
        <v>488</v>
      </c>
      <c r="E91" s="454" t="s">
        <v>488</v>
      </c>
    </row>
    <row r="92" spans="1:5" ht="14.25" customHeight="1" x14ac:dyDescent="0.2">
      <c r="A92" s="455" t="s">
        <v>71</v>
      </c>
      <c r="B92" s="479">
        <v>0.03</v>
      </c>
      <c r="C92" s="486">
        <f>($C$19+$C$49+$C$60+$C$80+$C$88)*$B$92</f>
        <v>93.663397079580236</v>
      </c>
      <c r="D92" s="486">
        <f>(D$19+D$49+D$60+D$80+D$88)*$B$92</f>
        <v>74.736042077090914</v>
      </c>
      <c r="E92" s="487">
        <f>(E$19+E$49+E$60+E$80+E$88)*$B$92</f>
        <v>56.398061911477285</v>
      </c>
    </row>
    <row r="93" spans="1:5" ht="14.25" customHeight="1" x14ac:dyDescent="0.2">
      <c r="A93" s="455" t="s">
        <v>72</v>
      </c>
      <c r="B93" s="479">
        <v>6.7900000000000002E-2</v>
      </c>
      <c r="C93" s="486">
        <f>($C$19+$C$49+$C$60+$C$80+$C$88+C92)*B93</f>
        <v>218.35123338515345</v>
      </c>
      <c r="D93" s="486">
        <f>(D$19+D$49+D$60+D$80+D$88+D$92)*$B$93</f>
        <v>174.22715249151693</v>
      </c>
      <c r="E93" s="487">
        <f>(E$19+E$49+E$60+E$80+E$88+E$92)*$B$93</f>
        <v>131.4770418634329</v>
      </c>
    </row>
    <row r="94" spans="1:5" ht="14.25" customHeight="1" x14ac:dyDescent="0.2">
      <c r="A94" s="526" t="s">
        <v>550</v>
      </c>
      <c r="B94" s="527">
        <f>B95+B96</f>
        <v>0.1125</v>
      </c>
      <c r="C94" s="528">
        <f>((C19+C49+C60+C80+C88+C92+C93)/(1-($B$94)))*$B$94</f>
        <v>435.31198307122077</v>
      </c>
      <c r="D94" s="528">
        <f>((D19+D49+D60+D80+D88+D92+D93)/(1-($B$94)))*$B$94</f>
        <v>347.34480808795416</v>
      </c>
      <c r="E94" s="529">
        <f>((E19+E49+E60+E80+E88+E92+E93)/(1-($B$94)))*$B$94</f>
        <v>262.11682404813212</v>
      </c>
    </row>
    <row r="95" spans="1:5" ht="14.25" customHeight="1" x14ac:dyDescent="0.2">
      <c r="A95" s="455" t="s">
        <v>551</v>
      </c>
      <c r="B95" s="479">
        <f>0.0165+0.076</f>
        <v>9.2499999999999999E-2</v>
      </c>
      <c r="C95" s="535">
        <f>((C$19+C$49+C$60+C$80+C$88+C$92+C$93)/(1-($B$94)))*$B$95</f>
        <v>357.92318608078153</v>
      </c>
      <c r="D95" s="535">
        <f>((D$19+D$49+D$60+D$80+D$88+D$92+D$93)/(1-($B$94)))*$B$95</f>
        <v>285.59461998342897</v>
      </c>
      <c r="E95" s="536">
        <f>((E$19+E$49+E$60+E$80+E$88+E$92+E$93)/(1-($B$94)))*$B$95</f>
        <v>215.51827755068638</v>
      </c>
    </row>
    <row r="96" spans="1:5" ht="14.25" customHeight="1" x14ac:dyDescent="0.2">
      <c r="A96" s="455" t="s">
        <v>552</v>
      </c>
      <c r="B96" s="479">
        <v>0.02</v>
      </c>
      <c r="C96" s="535">
        <f>((C$19+C$49+C$60+C$80+C$88+C$92+C$93)/(1-($B$94)))*$B$96</f>
        <v>77.388796990439246</v>
      </c>
      <c r="D96" s="535">
        <f>((D$19+D$49+D$60+D$80+D$88+D$92+D$93)/(1-($B$94)))*$B$96</f>
        <v>61.750188104525186</v>
      </c>
      <c r="E96" s="536">
        <f>((E$19+E$49+E$60+E$80+E$88+E$92+E$93)/(1-($B$94)))*$B$96</f>
        <v>46.598546497445703</v>
      </c>
    </row>
    <row r="97" spans="1:6" ht="14.25" customHeight="1" x14ac:dyDescent="0.2">
      <c r="A97" s="526" t="s">
        <v>553</v>
      </c>
      <c r="B97" s="527">
        <f>B98+B99</f>
        <v>0.11749999999999999</v>
      </c>
      <c r="C97" s="528">
        <f>((C19+C49+C60+C80+C88+C92+C93)/(1-($B$97)))*$B$97</f>
        <v>457.23515502318656</v>
      </c>
      <c r="D97" s="528">
        <f>((D19+D49+D60+D80+D88+D92+D93)/(1-($B$97)))*$B$97</f>
        <v>364.8377792223805</v>
      </c>
      <c r="E97" s="529">
        <f>((E19+E49+E60+E80+E88+E92+E93)/(1-($B$97)))*$B$97</f>
        <v>275.31754543551045</v>
      </c>
    </row>
    <row r="98" spans="1:6" ht="14.25" customHeight="1" x14ac:dyDescent="0.2">
      <c r="A98" s="455" t="s">
        <v>551</v>
      </c>
      <c r="B98" s="479">
        <f>0.0165+0.076</f>
        <v>9.2499999999999999E-2</v>
      </c>
      <c r="C98" s="530">
        <f>((C19+C49+C60+C80+C88+C92+C93)/(1-($B$97)))*$B$98</f>
        <v>359.95107948633836</v>
      </c>
      <c r="D98" s="530">
        <f>((D19+D49+D60+D80+D88+D92+D93)/(1-($B$97)))*$B$98</f>
        <v>287.21271981336338</v>
      </c>
      <c r="E98" s="531">
        <f>((E19+E49+E60+E80+E88+E92+E93)/(1-($B$97)))*$B$98</f>
        <v>216.73934427901889</v>
      </c>
    </row>
    <row r="99" spans="1:6" ht="14.25" customHeight="1" x14ac:dyDescent="0.2">
      <c r="A99" s="455" t="s">
        <v>552</v>
      </c>
      <c r="B99" s="479">
        <v>2.5000000000000001E-2</v>
      </c>
      <c r="C99" s="530">
        <f>((C$19+C$49+C$60+C$80+C$88+C$92+C$93)/(1-($B$97)))*$B$99</f>
        <v>97.284075536848206</v>
      </c>
      <c r="D99" s="530">
        <f>((D$19+D$49+D$60+D$80+D$88+D$92+D$93)/(1-($B$97)))*$B$99</f>
        <v>77.62505940901714</v>
      </c>
      <c r="E99" s="531">
        <f>((E$19+E$49+E$60+E$80+E$88+E$92+E$93)/(1-($B$97)))*$B$99</f>
        <v>58.578201156491595</v>
      </c>
    </row>
    <row r="100" spans="1:6" ht="14.25" customHeight="1" x14ac:dyDescent="0.2">
      <c r="A100" s="526" t="s">
        <v>554</v>
      </c>
      <c r="B100" s="527">
        <f>B101+B102</f>
        <v>0.1225</v>
      </c>
      <c r="C100" s="528">
        <f>((C19+C49+C60+C80+C88+C92+C93)/(1-($B$100)))*$B$100</f>
        <v>479.40816369255373</v>
      </c>
      <c r="D100" s="528">
        <f>((D19+D49+D60+D80+D88+D92+D93)/(1-($B$100)))*$B$100</f>
        <v>382.530100455205</v>
      </c>
      <c r="E100" s="529">
        <f>((E19+E49+E60+E80+E88+E92+E93)/(1-($B$100)))*$B$100</f>
        <v>288.66870239425498</v>
      </c>
    </row>
    <row r="101" spans="1:6" ht="14.25" customHeight="1" x14ac:dyDescent="0.2">
      <c r="A101" s="455" t="s">
        <v>551</v>
      </c>
      <c r="B101" s="479">
        <f>0.0165+0.076</f>
        <v>9.2499999999999999E-2</v>
      </c>
      <c r="C101" s="530">
        <f>((C19+C49+C60+C80+C88+C92+C93)/(1-($B$100)))*$B$101</f>
        <v>362.00208278825482</v>
      </c>
      <c r="D101" s="530">
        <f>((D19+D49+D60+D80+D88+D92+D93)/(1-($B$100)))*$B$101</f>
        <v>288.84925952739968</v>
      </c>
      <c r="E101" s="531">
        <f>((E19+E49+E60+E80+E88+E92+E93)/(1-($B$100)))*$B$101</f>
        <v>217.97432629770276</v>
      </c>
    </row>
    <row r="102" spans="1:6" ht="14.25" customHeight="1" x14ac:dyDescent="0.2">
      <c r="A102" s="455" t="s">
        <v>552</v>
      </c>
      <c r="B102" s="479">
        <v>0.03</v>
      </c>
      <c r="C102" s="530">
        <f>((C19+C49+C60+C80+C88+C92+C93)/(1-($B$100)))*$B$102</f>
        <v>117.40608090429886</v>
      </c>
      <c r="D102" s="530">
        <f>((D19+D49+D60+D80+D88+D92+D93)/(1-($B$100)))*$B$102</f>
        <v>93.680840927805306</v>
      </c>
      <c r="E102" s="531">
        <f>((E19+E49+E60+E80+E88+E92+E93)/(1-($B$100)))*$B$102</f>
        <v>70.694376096552247</v>
      </c>
      <c r="F102" s="534"/>
    </row>
    <row r="103" spans="1:6" ht="14.25" customHeight="1" x14ac:dyDescent="0.2">
      <c r="A103" s="526" t="s">
        <v>555</v>
      </c>
      <c r="B103" s="527">
        <f>B104+B105</f>
        <v>0.13250000000000001</v>
      </c>
      <c r="C103" s="528">
        <f>((C19+C49+C60+C80+C88+C92+C93)/(1-($B$103)))*$B$103</f>
        <v>524.52097095645343</v>
      </c>
      <c r="D103" s="528">
        <f>((D19+D49+D60+D80+D88+D92+D93)/(1-($B$103)))*$B$103</f>
        <v>418.52658111910716</v>
      </c>
      <c r="E103" s="529">
        <f>((E19+E49+E60+E80+E88+E92+E93)/(1-($B$103)))*$B$103</f>
        <v>315.8327277915854</v>
      </c>
    </row>
    <row r="104" spans="1:6" ht="14.25" customHeight="1" x14ac:dyDescent="0.2">
      <c r="A104" s="455" t="s">
        <v>551</v>
      </c>
      <c r="B104" s="479">
        <f>0.0165+0.076</f>
        <v>9.2499999999999999E-2</v>
      </c>
      <c r="C104" s="530">
        <f>((C19+C49+C60+C80+C88+C92+C93)/(1-($B$103)))*$B$104</f>
        <v>366.17501746016558</v>
      </c>
      <c r="D104" s="530">
        <f>((D19+D49+D60+D80+D88+D92+D93)/(1-($B$103)))*$B$104</f>
        <v>292.17893398881063</v>
      </c>
      <c r="E104" s="531">
        <f>((E19+E49+E60+E80+E88+E92+E93)/(1-($B$103)))*$B$104</f>
        <v>220.48699864695584</v>
      </c>
    </row>
    <row r="105" spans="1:6" ht="14.25" customHeight="1" x14ac:dyDescent="0.2">
      <c r="A105" s="455" t="s">
        <v>552</v>
      </c>
      <c r="B105" s="479">
        <v>0.04</v>
      </c>
      <c r="C105" s="530">
        <f>((C19+C49+C60+C80+C88+C92+C93)/(1-($B$103)))*$B$105</f>
        <v>158.34595349628782</v>
      </c>
      <c r="D105" s="530">
        <f>((D19+D49+D60+D80+D88+D92+D93)/(1-($B$103)))*$B$105</f>
        <v>126.34764713029651</v>
      </c>
      <c r="E105" s="531">
        <f>((E19+E49+E60+E80+E88+E92+E93)/(1-($B$103)))*$B$105</f>
        <v>95.345729144629544</v>
      </c>
    </row>
    <row r="106" spans="1:6" ht="14.25" customHeight="1" x14ac:dyDescent="0.2">
      <c r="A106" s="526" t="s">
        <v>556</v>
      </c>
      <c r="B106" s="527">
        <f>B107+B108</f>
        <v>0.14250000000000002</v>
      </c>
      <c r="C106" s="528">
        <f>((C19+C49+C60+C80+C88+C92+C93)/(1-($B$106)))*$B$106</f>
        <v>570.68597197577935</v>
      </c>
      <c r="D106" s="528">
        <f>((D19+D49+D60+D80+D88+D92+D93)/(1-($B$106)))*$B$106</f>
        <v>455.36262984514116</v>
      </c>
      <c r="E106" s="529">
        <f>((E19+E49+E60+E80+E88+E92+E93)/(1-($B$106)))*$B$106</f>
        <v>343.63031646348907</v>
      </c>
    </row>
    <row r="107" spans="1:6" ht="14.25" customHeight="1" x14ac:dyDescent="0.2">
      <c r="A107" s="455" t="s">
        <v>551</v>
      </c>
      <c r="B107" s="479">
        <f>0.0165+0.076</f>
        <v>9.2499999999999999E-2</v>
      </c>
      <c r="C107" s="535">
        <f>((C19+C49+C60+C80+C88+C92+C93)/(1-($B$106)))*$B$107</f>
        <v>370.44528005445324</v>
      </c>
      <c r="D107" s="535">
        <f>((D19+D49+D60+D80+D88+D92+D93)/(1-($B$106)))*$B$107</f>
        <v>295.5862684959688</v>
      </c>
      <c r="E107" s="536">
        <f>((E19+E49+E60+E80+E88+E92+E93)/(1-($B$106)))*$B$107</f>
        <v>223.05827559910691</v>
      </c>
    </row>
    <row r="108" spans="1:6" ht="14.25" customHeight="1" x14ac:dyDescent="0.2">
      <c r="A108" s="455" t="s">
        <v>552</v>
      </c>
      <c r="B108" s="537">
        <v>0.05</v>
      </c>
      <c r="C108" s="535">
        <f>((C19+C49+C60+C80+C88+C92+C93)/(1-($B$106)))*$B$108</f>
        <v>200.24069192132606</v>
      </c>
      <c r="D108" s="535">
        <f>((D19+D49+D60+D80+D88+D92+D93)/(1-($B$106)))*$B$108</f>
        <v>159.77636134917233</v>
      </c>
      <c r="E108" s="536">
        <f>((E19+E49+E60+E80+E88+E92+E93)/(1-($B$106)))*$B$108</f>
        <v>120.57204086438213</v>
      </c>
    </row>
    <row r="109" spans="1:6" ht="14.25" customHeight="1" x14ac:dyDescent="0.2">
      <c r="A109" s="838" t="s">
        <v>557</v>
      </c>
      <c r="B109" s="540">
        <v>0.02</v>
      </c>
      <c r="C109" s="544">
        <f>C92+C93+C94</f>
        <v>747.32661353595449</v>
      </c>
      <c r="D109" s="544">
        <f>D92+D93+D94</f>
        <v>596.30800265656194</v>
      </c>
      <c r="E109" s="545">
        <f>E92+E93+E94</f>
        <v>449.99192782304232</v>
      </c>
    </row>
    <row r="110" spans="1:6" ht="14.25" customHeight="1" x14ac:dyDescent="0.2">
      <c r="A110" s="838"/>
      <c r="B110" s="543">
        <v>2.5000000000000001E-2</v>
      </c>
      <c r="C110" s="544">
        <f>C92+C93+C97</f>
        <v>769.24978548792024</v>
      </c>
      <c r="D110" s="544">
        <f>D92+D93+D97</f>
        <v>613.80097379098834</v>
      </c>
      <c r="E110" s="545">
        <f>E92+E93+E97</f>
        <v>463.19264921042065</v>
      </c>
    </row>
    <row r="111" spans="1:6" ht="14.25" customHeight="1" x14ac:dyDescent="0.2">
      <c r="A111" s="838"/>
      <c r="B111" s="543">
        <v>0.03</v>
      </c>
      <c r="C111" s="544">
        <f>C92+C93+C100</f>
        <v>791.4227941572874</v>
      </c>
      <c r="D111" s="544">
        <f>D92+D93+D100</f>
        <v>631.49329502381283</v>
      </c>
      <c r="E111" s="545">
        <f>E92+E93+E100</f>
        <v>476.54380616916518</v>
      </c>
      <c r="F111" s="534"/>
    </row>
    <row r="112" spans="1:6" ht="14.25" customHeight="1" x14ac:dyDescent="0.2">
      <c r="A112" s="838"/>
      <c r="B112" s="543">
        <v>0.04</v>
      </c>
      <c r="C112" s="544">
        <f>C92+C93+C103</f>
        <v>836.53560142118704</v>
      </c>
      <c r="D112" s="544">
        <f>D92+D93+D103</f>
        <v>667.489775687715</v>
      </c>
      <c r="E112" s="545">
        <f>E92+E93+E103</f>
        <v>503.7078315664956</v>
      </c>
    </row>
    <row r="113" spans="1:5" ht="14.25" customHeight="1" x14ac:dyDescent="0.2">
      <c r="A113" s="838"/>
      <c r="B113" s="546">
        <v>0.05</v>
      </c>
      <c r="C113" s="547">
        <f>C92+C93+C106</f>
        <v>882.70060244051297</v>
      </c>
      <c r="D113" s="547">
        <f>D92+D93+D106</f>
        <v>704.32582441374893</v>
      </c>
      <c r="E113" s="548">
        <f>E92+E93+E106</f>
        <v>531.50542023839921</v>
      </c>
    </row>
    <row r="114" spans="1:5" ht="7.5" customHeight="1" x14ac:dyDescent="0.2">
      <c r="A114" s="839"/>
      <c r="B114" s="839"/>
      <c r="C114" s="839"/>
      <c r="D114" s="839"/>
      <c r="E114" s="839"/>
    </row>
    <row r="115" spans="1:5" ht="7.5" customHeight="1" x14ac:dyDescent="0.2">
      <c r="A115" s="840"/>
      <c r="B115" s="840"/>
      <c r="C115" s="840"/>
      <c r="D115" s="840"/>
      <c r="E115" s="840"/>
    </row>
    <row r="116" spans="1:5" ht="54.75" customHeight="1" x14ac:dyDescent="0.2">
      <c r="A116" s="841" t="s">
        <v>559</v>
      </c>
      <c r="B116" s="841"/>
      <c r="C116" s="558" t="str">
        <f>C10</f>
        <v>Servente 40h
COVID</v>
      </c>
      <c r="D116" s="558" t="str">
        <f>D10</f>
        <v>Servente 30h
COVID</v>
      </c>
      <c r="E116" s="560" t="str">
        <f>E10</f>
        <v>Servente 20h
COVID</v>
      </c>
    </row>
    <row r="117" spans="1:5" ht="15.75" customHeight="1" x14ac:dyDescent="0.2">
      <c r="A117" s="835" t="s">
        <v>560</v>
      </c>
      <c r="B117" s="835"/>
      <c r="C117" s="748" t="s">
        <v>488</v>
      </c>
      <c r="D117" s="748" t="s">
        <v>488</v>
      </c>
      <c r="E117" s="749" t="s">
        <v>488</v>
      </c>
    </row>
    <row r="118" spans="1:5" ht="14.25" customHeight="1" x14ac:dyDescent="0.2">
      <c r="A118" s="836" t="s">
        <v>561</v>
      </c>
      <c r="B118" s="836"/>
      <c r="C118" s="565">
        <f>C19</f>
        <v>1433.5527272727272</v>
      </c>
      <c r="D118" s="565">
        <f>D19</f>
        <v>1075.1645454545453</v>
      </c>
      <c r="E118" s="566">
        <f>E19</f>
        <v>716.77636363636361</v>
      </c>
    </row>
    <row r="119" spans="1:5" ht="14.25" customHeight="1" x14ac:dyDescent="0.2">
      <c r="A119" s="832" t="s">
        <v>562</v>
      </c>
      <c r="B119" s="832"/>
      <c r="C119" s="565">
        <f>C49</f>
        <v>904.50090909090909</v>
      </c>
      <c r="D119" s="565">
        <f>D49</f>
        <v>736.0656818181817</v>
      </c>
      <c r="E119" s="566">
        <f>E49</f>
        <v>567.59045454545458</v>
      </c>
    </row>
    <row r="120" spans="1:5" ht="14.25" customHeight="1" x14ac:dyDescent="0.2">
      <c r="A120" s="832" t="s">
        <v>563</v>
      </c>
      <c r="B120" s="832"/>
      <c r="C120" s="565">
        <f>C60</f>
        <v>93.897703636363616</v>
      </c>
      <c r="D120" s="565">
        <f>D60</f>
        <v>70.423277727272705</v>
      </c>
      <c r="E120" s="566">
        <f>E60</f>
        <v>46.948851818181808</v>
      </c>
    </row>
    <row r="121" spans="1:5" ht="14.25" customHeight="1" x14ac:dyDescent="0.2">
      <c r="A121" s="832" t="s">
        <v>564</v>
      </c>
      <c r="B121" s="832"/>
      <c r="C121" s="565">
        <f>C80</f>
        <v>266.80147931934113</v>
      </c>
      <c r="D121" s="565">
        <f>D80</f>
        <v>205.8774809030308</v>
      </c>
      <c r="E121" s="566">
        <f>E80</f>
        <v>144.9493103825761</v>
      </c>
    </row>
    <row r="122" spans="1:5" ht="15.75" customHeight="1" x14ac:dyDescent="0.2">
      <c r="A122" s="832" t="s">
        <v>565</v>
      </c>
      <c r="B122" s="832"/>
      <c r="C122" s="565">
        <f>C88</f>
        <v>423.36041666666677</v>
      </c>
      <c r="D122" s="565">
        <f>D88</f>
        <v>403.67041666666671</v>
      </c>
      <c r="E122" s="566">
        <f>E88</f>
        <v>403.67041666666671</v>
      </c>
    </row>
    <row r="123" spans="1:5" ht="15.75" customHeight="1" x14ac:dyDescent="0.2">
      <c r="A123" s="834" t="s">
        <v>566</v>
      </c>
      <c r="B123" s="834"/>
      <c r="C123" s="567">
        <f>SUM(C118:C122)</f>
        <v>3122.113235986008</v>
      </c>
      <c r="D123" s="567">
        <f>SUM(D118:D122)</f>
        <v>2491.2014025696972</v>
      </c>
      <c r="E123" s="569">
        <f>SUM(E118:E122)</f>
        <v>1879.935397049243</v>
      </c>
    </row>
    <row r="124" spans="1:5" ht="15.75" customHeight="1" x14ac:dyDescent="0.2">
      <c r="A124" s="833" t="s">
        <v>567</v>
      </c>
      <c r="B124" s="833"/>
      <c r="C124" s="567">
        <f t="shared" ref="C124:E128" si="2">C109</f>
        <v>747.32661353595449</v>
      </c>
      <c r="D124" s="567">
        <f t="shared" si="2"/>
        <v>596.30800265656194</v>
      </c>
      <c r="E124" s="569">
        <f t="shared" si="2"/>
        <v>449.99192782304232</v>
      </c>
    </row>
    <row r="125" spans="1:5" ht="15.75" customHeight="1" x14ac:dyDescent="0.2">
      <c r="A125" s="832" t="s">
        <v>568</v>
      </c>
      <c r="B125" s="832"/>
      <c r="C125" s="720">
        <f t="shared" si="2"/>
        <v>769.24978548792024</v>
      </c>
      <c r="D125" s="567">
        <f t="shared" si="2"/>
        <v>613.80097379098834</v>
      </c>
      <c r="E125" s="569">
        <f t="shared" si="2"/>
        <v>463.19264921042065</v>
      </c>
    </row>
    <row r="126" spans="1:5" ht="15.75" customHeight="1" x14ac:dyDescent="0.2">
      <c r="A126" s="832" t="s">
        <v>569</v>
      </c>
      <c r="B126" s="832"/>
      <c r="C126" s="720">
        <f t="shared" si="2"/>
        <v>791.4227941572874</v>
      </c>
      <c r="D126" s="567">
        <f t="shared" si="2"/>
        <v>631.49329502381283</v>
      </c>
      <c r="E126" s="569">
        <f t="shared" si="2"/>
        <v>476.54380616916518</v>
      </c>
    </row>
    <row r="127" spans="1:5" ht="15.75" customHeight="1" x14ac:dyDescent="0.2">
      <c r="A127" s="832" t="s">
        <v>570</v>
      </c>
      <c r="B127" s="832"/>
      <c r="C127" s="720">
        <f t="shared" si="2"/>
        <v>836.53560142118704</v>
      </c>
      <c r="D127" s="567">
        <f t="shared" si="2"/>
        <v>667.489775687715</v>
      </c>
      <c r="E127" s="569">
        <f t="shared" si="2"/>
        <v>503.7078315664956</v>
      </c>
    </row>
    <row r="128" spans="1:5" ht="15.75" customHeight="1" x14ac:dyDescent="0.2">
      <c r="A128" s="833" t="s">
        <v>571</v>
      </c>
      <c r="B128" s="833"/>
      <c r="C128" s="572">
        <f t="shared" si="2"/>
        <v>882.70060244051297</v>
      </c>
      <c r="D128" s="721">
        <f t="shared" si="2"/>
        <v>704.32582441374893</v>
      </c>
      <c r="E128" s="674">
        <f t="shared" si="2"/>
        <v>531.50542023839921</v>
      </c>
    </row>
    <row r="129" spans="1:5" ht="15.75" customHeight="1" x14ac:dyDescent="0.2">
      <c r="A129" s="574" t="s">
        <v>572</v>
      </c>
      <c r="B129" s="575"/>
      <c r="C129" s="576">
        <f>C123+C124</f>
        <v>3869.4398495219625</v>
      </c>
      <c r="D129" s="576">
        <f>D123+D124</f>
        <v>3087.5094052262593</v>
      </c>
      <c r="E129" s="577">
        <f>E123+E124</f>
        <v>2329.9273248722852</v>
      </c>
    </row>
    <row r="130" spans="1:5" ht="15.75" customHeight="1" x14ac:dyDescent="0.2">
      <c r="A130" s="578" t="s">
        <v>573</v>
      </c>
      <c r="B130" s="579"/>
      <c r="C130" s="580">
        <f>C123+C125</f>
        <v>3891.3630214739283</v>
      </c>
      <c r="D130" s="580">
        <f>D123+D125</f>
        <v>3105.0023763606855</v>
      </c>
      <c r="E130" s="581">
        <f>E123+E125</f>
        <v>2343.1280462596637</v>
      </c>
    </row>
    <row r="131" spans="1:5" ht="15.75" customHeight="1" x14ac:dyDescent="0.2">
      <c r="A131" s="578" t="s">
        <v>574</v>
      </c>
      <c r="B131" s="579"/>
      <c r="C131" s="580">
        <f>C123+C126</f>
        <v>3913.5360301432956</v>
      </c>
      <c r="D131" s="580">
        <f>D123+D126</f>
        <v>3122.6946975935098</v>
      </c>
      <c r="E131" s="581">
        <f>E123+E126</f>
        <v>2356.4792032184082</v>
      </c>
    </row>
    <row r="132" spans="1:5" ht="15.75" customHeight="1" x14ac:dyDescent="0.2">
      <c r="A132" s="578" t="s">
        <v>575</v>
      </c>
      <c r="B132" s="579"/>
      <c r="C132" s="580">
        <f>C123+C127</f>
        <v>3958.6488374071951</v>
      </c>
      <c r="D132" s="580">
        <f>D123+D127</f>
        <v>3158.691178257412</v>
      </c>
      <c r="E132" s="581">
        <f>E123+E127</f>
        <v>2383.6432286157387</v>
      </c>
    </row>
    <row r="133" spans="1:5" ht="15.75" customHeight="1" x14ac:dyDescent="0.2">
      <c r="A133" s="578" t="s">
        <v>576</v>
      </c>
      <c r="B133" s="579"/>
      <c r="C133" s="580">
        <f>C123+C128</f>
        <v>4004.8138384265212</v>
      </c>
      <c r="D133" s="675">
        <f>D123+D128</f>
        <v>3195.5272269834459</v>
      </c>
      <c r="E133" s="676">
        <f>E123+E128</f>
        <v>2411.4408172876419</v>
      </c>
    </row>
    <row r="134" spans="1:5" ht="15.75" customHeight="1" x14ac:dyDescent="0.2">
      <c r="A134" s="582" t="s">
        <v>577</v>
      </c>
      <c r="B134" s="583"/>
      <c r="C134" s="584">
        <f>C129/200</f>
        <v>19.347199247609812</v>
      </c>
      <c r="D134" s="584"/>
      <c r="E134" s="677"/>
    </row>
    <row r="135" spans="1:5" ht="15.75" customHeight="1" x14ac:dyDescent="0.2">
      <c r="A135" s="587" t="s">
        <v>578</v>
      </c>
      <c r="B135" s="588"/>
      <c r="C135" s="589">
        <f>C130/200</f>
        <v>19.456815107369643</v>
      </c>
      <c r="D135" s="589"/>
      <c r="E135" s="678"/>
    </row>
    <row r="136" spans="1:5" ht="15.75" customHeight="1" x14ac:dyDescent="0.2">
      <c r="A136" s="587" t="s">
        <v>579</v>
      </c>
      <c r="B136" s="588"/>
      <c r="C136" s="589">
        <f>C131/200</f>
        <v>19.567680150716477</v>
      </c>
      <c r="D136" s="589"/>
      <c r="E136" s="678"/>
    </row>
    <row r="137" spans="1:5" ht="15.75" customHeight="1" x14ac:dyDescent="0.2">
      <c r="A137" s="587" t="s">
        <v>580</v>
      </c>
      <c r="B137" s="588"/>
      <c r="C137" s="589">
        <f>C132/200</f>
        <v>19.793244187035974</v>
      </c>
      <c r="D137" s="589"/>
      <c r="E137" s="678"/>
    </row>
    <row r="138" spans="1:5" ht="15.75" customHeight="1" x14ac:dyDescent="0.2">
      <c r="A138" s="592" t="s">
        <v>581</v>
      </c>
      <c r="B138" s="593"/>
      <c r="C138" s="594">
        <f>C133/200</f>
        <v>20.024069192132607</v>
      </c>
      <c r="D138" s="594"/>
      <c r="E138" s="679"/>
    </row>
    <row r="139" spans="1:5" x14ac:dyDescent="0.2">
      <c r="A139" s="597"/>
    </row>
  </sheetData>
  <mergeCells count="31">
    <mergeCell ref="A1:E1"/>
    <mergeCell ref="A2:E2"/>
    <mergeCell ref="A3:E3"/>
    <mergeCell ref="A9:E9"/>
    <mergeCell ref="A11:E11"/>
    <mergeCell ref="A20:E20"/>
    <mergeCell ref="A21:E21"/>
    <mergeCell ref="A50:E50"/>
    <mergeCell ref="A51:E51"/>
    <mergeCell ref="A61:E61"/>
    <mergeCell ref="A62:E62"/>
    <mergeCell ref="A81:E81"/>
    <mergeCell ref="A82:E82"/>
    <mergeCell ref="A89:E89"/>
    <mergeCell ref="A90:E90"/>
    <mergeCell ref="A109:A113"/>
    <mergeCell ref="A114:E114"/>
    <mergeCell ref="A115:E115"/>
    <mergeCell ref="A116:B116"/>
    <mergeCell ref="A117:B117"/>
    <mergeCell ref="A118:B118"/>
    <mergeCell ref="A119:B119"/>
    <mergeCell ref="A120:B120"/>
    <mergeCell ref="A121:B121"/>
    <mergeCell ref="A122:B122"/>
    <mergeCell ref="A128:B128"/>
    <mergeCell ref="A123:B123"/>
    <mergeCell ref="A124:B124"/>
    <mergeCell ref="A125:B125"/>
    <mergeCell ref="A126:B126"/>
    <mergeCell ref="A127:B12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K147"/>
  <sheetViews>
    <sheetView showGridLines="0" zoomScale="75" zoomScaleNormal="75" workbookViewId="0">
      <pane xSplit="2" topLeftCell="C1" activePane="topRight" state="frozen"/>
      <selection pane="topRight" activeCell="N103" sqref="N103"/>
    </sheetView>
  </sheetViews>
  <sheetFormatPr defaultRowHeight="14.25" x14ac:dyDescent="0.2"/>
  <cols>
    <col min="1" max="1" width="51.125" style="86" customWidth="1"/>
    <col min="2" max="2" width="15.5" style="86" customWidth="1"/>
    <col min="3" max="4" width="15.625" style="86" customWidth="1"/>
    <col min="5" max="5" width="16" style="86" customWidth="1"/>
    <col min="6" max="6" width="17.375" style="86" customWidth="1"/>
    <col min="7" max="7" width="16.5" style="86" customWidth="1"/>
    <col min="8" max="9" width="15.25" style="86" customWidth="1"/>
    <col min="10" max="11" width="16" style="86" customWidth="1"/>
    <col min="12" max="12" width="10.5" style="86" customWidth="1"/>
    <col min="13" max="1025" width="9" style="86" customWidth="1"/>
  </cols>
  <sheetData>
    <row r="1" spans="1:19" s="87" customFormat="1" ht="20.25" customHeight="1" x14ac:dyDescent="0.2">
      <c r="A1" s="787" t="s">
        <v>121</v>
      </c>
      <c r="B1" s="787"/>
      <c r="C1" s="787"/>
      <c r="D1" s="787"/>
      <c r="E1" s="787"/>
      <c r="F1" s="787"/>
      <c r="G1" s="787"/>
      <c r="H1" s="787"/>
      <c r="J1" s="88" t="s">
        <v>122</v>
      </c>
      <c r="K1" s="89"/>
      <c r="L1" s="90"/>
      <c r="M1" s="89"/>
      <c r="N1" s="89"/>
      <c r="O1" s="89"/>
      <c r="P1" s="89"/>
      <c r="Q1" s="89"/>
      <c r="R1" s="89"/>
      <c r="S1" s="91"/>
    </row>
    <row r="2" spans="1:19" ht="52.5" customHeight="1" x14ac:dyDescent="0.2">
      <c r="A2" s="92" t="s">
        <v>123</v>
      </c>
      <c r="B2" s="93" t="s">
        <v>124</v>
      </c>
      <c r="C2" s="93" t="s">
        <v>125</v>
      </c>
      <c r="D2" s="93" t="s">
        <v>126</v>
      </c>
      <c r="E2" s="93" t="s">
        <v>127</v>
      </c>
      <c r="F2" s="94" t="s">
        <v>128</v>
      </c>
      <c r="G2" s="95" t="s">
        <v>129</v>
      </c>
      <c r="H2" s="96" t="s">
        <v>130</v>
      </c>
      <c r="J2" s="97" t="s">
        <v>131</v>
      </c>
      <c r="K2" s="98"/>
      <c r="L2" s="98"/>
      <c r="M2" s="98"/>
      <c r="N2" s="98"/>
      <c r="O2" s="98"/>
      <c r="P2" s="98"/>
      <c r="Q2" s="98"/>
      <c r="R2" s="98"/>
      <c r="S2" s="99"/>
    </row>
    <row r="3" spans="1:19" ht="15" customHeight="1" x14ac:dyDescent="0.2">
      <c r="A3" s="100" t="s">
        <v>132</v>
      </c>
      <c r="B3" s="101" t="s">
        <v>133</v>
      </c>
      <c r="C3" s="102">
        <v>0.31</v>
      </c>
      <c r="D3" s="103">
        <v>6.61</v>
      </c>
      <c r="E3" s="103">
        <v>7.33</v>
      </c>
      <c r="F3" s="104">
        <f t="shared" ref="F3:F36" si="0">(D3+E3)/2</f>
        <v>6.9700000000000006</v>
      </c>
      <c r="G3" s="105">
        <f t="shared" ref="G3:G36" si="1">C3*F3</f>
        <v>2.1607000000000003</v>
      </c>
      <c r="H3" s="106" t="s">
        <v>134</v>
      </c>
      <c r="J3" s="107" t="s">
        <v>135</v>
      </c>
      <c r="K3" s="108"/>
      <c r="L3" s="108"/>
      <c r="M3" s="108"/>
      <c r="N3" s="108"/>
      <c r="O3" s="108"/>
      <c r="P3" s="108"/>
      <c r="Q3" s="108"/>
      <c r="R3" s="108"/>
      <c r="S3" s="109"/>
    </row>
    <row r="4" spans="1:19" ht="15" customHeight="1" x14ac:dyDescent="0.2">
      <c r="A4" s="100" t="s">
        <v>136</v>
      </c>
      <c r="B4" s="101" t="s">
        <v>133</v>
      </c>
      <c r="C4" s="102">
        <v>4.74</v>
      </c>
      <c r="D4" s="103">
        <v>2.2000000000000002</v>
      </c>
      <c r="E4" s="103">
        <v>2.0099999999999998</v>
      </c>
      <c r="F4" s="104">
        <f t="shared" si="0"/>
        <v>2.105</v>
      </c>
      <c r="G4" s="105">
        <f t="shared" si="1"/>
        <v>9.9777000000000005</v>
      </c>
      <c r="H4" s="110" t="s">
        <v>137</v>
      </c>
      <c r="J4" s="107" t="s">
        <v>138</v>
      </c>
      <c r="K4" s="108"/>
      <c r="L4" s="108"/>
      <c r="M4" s="108"/>
      <c r="N4" s="108"/>
      <c r="O4" s="108"/>
      <c r="P4" s="108"/>
      <c r="Q4" s="108"/>
      <c r="R4" s="108"/>
      <c r="S4" s="109"/>
    </row>
    <row r="5" spans="1:19" ht="15" customHeight="1" x14ac:dyDescent="0.2">
      <c r="A5" s="100" t="s">
        <v>139</v>
      </c>
      <c r="B5" s="101" t="s">
        <v>140</v>
      </c>
      <c r="C5" s="102">
        <v>2.02</v>
      </c>
      <c r="D5" s="103">
        <v>7.37</v>
      </c>
      <c r="E5" s="103">
        <v>8.2100000000000009</v>
      </c>
      <c r="F5" s="104">
        <f t="shared" si="0"/>
        <v>7.7900000000000009</v>
      </c>
      <c r="G5" s="105">
        <f t="shared" si="1"/>
        <v>15.735800000000001</v>
      </c>
      <c r="H5" s="110" t="s">
        <v>141</v>
      </c>
      <c r="J5" s="107" t="s">
        <v>142</v>
      </c>
      <c r="K5" s="108"/>
      <c r="L5" s="108"/>
      <c r="M5" s="108"/>
      <c r="N5" s="108"/>
      <c r="O5" s="108"/>
      <c r="P5" s="108"/>
      <c r="Q5" s="108"/>
      <c r="R5" s="108"/>
      <c r="S5" s="109"/>
    </row>
    <row r="6" spans="1:19" ht="15" customHeight="1" x14ac:dyDescent="0.2">
      <c r="A6" s="100" t="s">
        <v>143</v>
      </c>
      <c r="B6" s="101" t="s">
        <v>133</v>
      </c>
      <c r="C6" s="102">
        <v>2.52</v>
      </c>
      <c r="D6" s="103">
        <v>7.25</v>
      </c>
      <c r="E6" s="103">
        <v>6.84</v>
      </c>
      <c r="F6" s="104">
        <f t="shared" si="0"/>
        <v>7.0449999999999999</v>
      </c>
      <c r="G6" s="105">
        <f t="shared" si="1"/>
        <v>17.753399999999999</v>
      </c>
      <c r="H6" s="110" t="s">
        <v>141</v>
      </c>
      <c r="J6" s="111" t="s">
        <v>144</v>
      </c>
      <c r="K6" s="112"/>
      <c r="L6" s="112"/>
      <c r="M6" s="112"/>
      <c r="N6" s="112"/>
      <c r="O6" s="112"/>
      <c r="P6" s="112"/>
      <c r="Q6" s="112"/>
      <c r="R6" s="112"/>
      <c r="S6" s="113"/>
    </row>
    <row r="7" spans="1:19" ht="15" customHeight="1" x14ac:dyDescent="0.2">
      <c r="A7" s="100" t="s">
        <v>145</v>
      </c>
      <c r="B7" s="101" t="s">
        <v>146</v>
      </c>
      <c r="C7" s="102">
        <v>0.3</v>
      </c>
      <c r="D7" s="103">
        <v>18.54</v>
      </c>
      <c r="E7" s="103">
        <v>24.19</v>
      </c>
      <c r="F7" s="104">
        <f t="shared" si="0"/>
        <v>21.365000000000002</v>
      </c>
      <c r="G7" s="105">
        <f t="shared" si="1"/>
        <v>6.4095000000000004</v>
      </c>
      <c r="H7" s="110" t="s">
        <v>147</v>
      </c>
    </row>
    <row r="8" spans="1:19" ht="15" customHeight="1" x14ac:dyDescent="0.2">
      <c r="A8" s="100" t="s">
        <v>148</v>
      </c>
      <c r="B8" s="101" t="s">
        <v>146</v>
      </c>
      <c r="C8" s="102">
        <v>1.35</v>
      </c>
      <c r="D8" s="103">
        <v>5.46</v>
      </c>
      <c r="E8" s="103">
        <v>11.8</v>
      </c>
      <c r="F8" s="104">
        <f t="shared" si="0"/>
        <v>8.6300000000000008</v>
      </c>
      <c r="G8" s="105">
        <f t="shared" si="1"/>
        <v>11.650500000000001</v>
      </c>
      <c r="H8" s="110" t="s">
        <v>149</v>
      </c>
    </row>
    <row r="9" spans="1:19" ht="15" customHeight="1" x14ac:dyDescent="0.2">
      <c r="A9" s="100" t="s">
        <v>150</v>
      </c>
      <c r="B9" s="101" t="s">
        <v>146</v>
      </c>
      <c r="C9" s="102">
        <v>0.2</v>
      </c>
      <c r="D9" s="103">
        <v>47.92</v>
      </c>
      <c r="E9" s="103">
        <v>50.74</v>
      </c>
      <c r="F9" s="104">
        <f t="shared" si="0"/>
        <v>49.33</v>
      </c>
      <c r="G9" s="105">
        <f t="shared" si="1"/>
        <v>9.8659999999999997</v>
      </c>
      <c r="H9" s="110" t="s">
        <v>151</v>
      </c>
    </row>
    <row r="10" spans="1:19" ht="15" customHeight="1" x14ac:dyDescent="0.2">
      <c r="A10" s="100" t="s">
        <v>152</v>
      </c>
      <c r="B10" s="101" t="s">
        <v>146</v>
      </c>
      <c r="C10" s="102">
        <v>0.5</v>
      </c>
      <c r="D10" s="103">
        <v>12.32</v>
      </c>
      <c r="E10" s="103">
        <v>14.65</v>
      </c>
      <c r="F10" s="104">
        <f t="shared" si="0"/>
        <v>13.484999999999999</v>
      </c>
      <c r="G10" s="105">
        <f t="shared" si="1"/>
        <v>6.7424999999999997</v>
      </c>
      <c r="H10" s="110" t="s">
        <v>153</v>
      </c>
    </row>
    <row r="11" spans="1:19" ht="15" customHeight="1" x14ac:dyDescent="0.2">
      <c r="A11" s="100" t="s">
        <v>154</v>
      </c>
      <c r="B11" s="101" t="s">
        <v>140</v>
      </c>
      <c r="C11" s="102">
        <v>1.43</v>
      </c>
      <c r="D11" s="103">
        <v>1.44</v>
      </c>
      <c r="E11" s="103">
        <v>1.82</v>
      </c>
      <c r="F11" s="104">
        <f t="shared" si="0"/>
        <v>1.63</v>
      </c>
      <c r="G11" s="105">
        <f t="shared" si="1"/>
        <v>2.3308999999999997</v>
      </c>
      <c r="H11" s="110" t="s">
        <v>155</v>
      </c>
    </row>
    <row r="12" spans="1:19" ht="15" customHeight="1" x14ac:dyDescent="0.2">
      <c r="A12" s="100" t="s">
        <v>156</v>
      </c>
      <c r="B12" s="101" t="s">
        <v>157</v>
      </c>
      <c r="C12" s="102">
        <v>1.0900000000000001</v>
      </c>
      <c r="D12" s="103">
        <v>6.86</v>
      </c>
      <c r="E12" s="103">
        <v>7.94</v>
      </c>
      <c r="F12" s="104">
        <f t="shared" si="0"/>
        <v>7.4</v>
      </c>
      <c r="G12" s="105">
        <f t="shared" si="1"/>
        <v>8.0660000000000007</v>
      </c>
      <c r="H12" s="110" t="s">
        <v>158</v>
      </c>
    </row>
    <row r="13" spans="1:19" ht="15" customHeight="1" x14ac:dyDescent="0.2">
      <c r="A13" s="100" t="s">
        <v>159</v>
      </c>
      <c r="B13" s="101" t="s">
        <v>157</v>
      </c>
      <c r="C13" s="102">
        <v>1.27</v>
      </c>
      <c r="D13" s="103">
        <v>2.0699999999999998</v>
      </c>
      <c r="E13" s="103">
        <v>2.86</v>
      </c>
      <c r="F13" s="104">
        <f t="shared" si="0"/>
        <v>2.4649999999999999</v>
      </c>
      <c r="G13" s="105">
        <f t="shared" si="1"/>
        <v>3.1305499999999999</v>
      </c>
      <c r="H13" s="110" t="s">
        <v>160</v>
      </c>
    </row>
    <row r="14" spans="1:19" ht="15" customHeight="1" x14ac:dyDescent="0.2">
      <c r="A14" s="100" t="s">
        <v>161</v>
      </c>
      <c r="B14" s="101" t="s">
        <v>157</v>
      </c>
      <c r="C14" s="102">
        <v>2.2200000000000002</v>
      </c>
      <c r="D14" s="103">
        <v>0.69</v>
      </c>
      <c r="E14" s="103">
        <v>0.83</v>
      </c>
      <c r="F14" s="104">
        <f t="shared" si="0"/>
        <v>0.76</v>
      </c>
      <c r="G14" s="105">
        <f t="shared" si="1"/>
        <v>1.6872000000000003</v>
      </c>
      <c r="H14" s="110" t="s">
        <v>149</v>
      </c>
    </row>
    <row r="15" spans="1:19" ht="15" customHeight="1" x14ac:dyDescent="0.2">
      <c r="A15" s="100" t="s">
        <v>162</v>
      </c>
      <c r="B15" s="101" t="s">
        <v>157</v>
      </c>
      <c r="C15" s="102">
        <v>2.41</v>
      </c>
      <c r="D15" s="103">
        <v>1.64</v>
      </c>
      <c r="E15" s="103">
        <v>2.9</v>
      </c>
      <c r="F15" s="104">
        <f t="shared" si="0"/>
        <v>2.27</v>
      </c>
      <c r="G15" s="105">
        <f t="shared" si="1"/>
        <v>5.4707000000000008</v>
      </c>
      <c r="H15" s="110" t="s">
        <v>163</v>
      </c>
    </row>
    <row r="16" spans="1:19" ht="15" customHeight="1" x14ac:dyDescent="0.2">
      <c r="A16" s="100" t="s">
        <v>164</v>
      </c>
      <c r="B16" s="101" t="s">
        <v>157</v>
      </c>
      <c r="C16" s="102">
        <v>0.25</v>
      </c>
      <c r="D16" s="103">
        <v>7.21</v>
      </c>
      <c r="E16" s="103">
        <v>8.66</v>
      </c>
      <c r="F16" s="104">
        <f t="shared" si="0"/>
        <v>7.9350000000000005</v>
      </c>
      <c r="G16" s="105">
        <f t="shared" si="1"/>
        <v>1.9837500000000001</v>
      </c>
      <c r="H16" s="110" t="s">
        <v>165</v>
      </c>
    </row>
    <row r="17" spans="1:8" ht="15" customHeight="1" x14ac:dyDescent="0.2">
      <c r="A17" s="100" t="s">
        <v>166</v>
      </c>
      <c r="B17" s="101" t="s">
        <v>167</v>
      </c>
      <c r="C17" s="102">
        <v>0.65</v>
      </c>
      <c r="D17" s="103">
        <v>1.38</v>
      </c>
      <c r="E17" s="103">
        <v>2.37</v>
      </c>
      <c r="F17" s="104">
        <f t="shared" si="0"/>
        <v>1.875</v>
      </c>
      <c r="G17" s="105">
        <f t="shared" si="1"/>
        <v>1.21875</v>
      </c>
      <c r="H17" s="110" t="s">
        <v>155</v>
      </c>
    </row>
    <row r="18" spans="1:8" ht="15" customHeight="1" x14ac:dyDescent="0.2">
      <c r="A18" s="100" t="s">
        <v>168</v>
      </c>
      <c r="B18" s="101" t="s">
        <v>140</v>
      </c>
      <c r="C18" s="102">
        <v>0.22</v>
      </c>
      <c r="D18" s="103">
        <v>2.41</v>
      </c>
      <c r="E18" s="103">
        <v>4.2300000000000004</v>
      </c>
      <c r="F18" s="104">
        <f t="shared" si="0"/>
        <v>3.3200000000000003</v>
      </c>
      <c r="G18" s="105">
        <f t="shared" si="1"/>
        <v>0.73040000000000005</v>
      </c>
      <c r="H18" s="110" t="s">
        <v>169</v>
      </c>
    </row>
    <row r="19" spans="1:8" ht="15" customHeight="1" x14ac:dyDescent="0.2">
      <c r="A19" s="100" t="s">
        <v>170</v>
      </c>
      <c r="B19" s="101" t="s">
        <v>171</v>
      </c>
      <c r="C19" s="102">
        <v>1.61</v>
      </c>
      <c r="D19" s="103">
        <v>3.57</v>
      </c>
      <c r="E19" s="103">
        <v>3.76</v>
      </c>
      <c r="F19" s="104">
        <f t="shared" si="0"/>
        <v>3.665</v>
      </c>
      <c r="G19" s="105">
        <f t="shared" si="1"/>
        <v>5.9006500000000006</v>
      </c>
      <c r="H19" s="110" t="s">
        <v>172</v>
      </c>
    </row>
    <row r="20" spans="1:8" ht="15" customHeight="1" x14ac:dyDescent="0.2">
      <c r="A20" s="100" t="s">
        <v>173</v>
      </c>
      <c r="B20" s="101" t="s">
        <v>140</v>
      </c>
      <c r="C20" s="102">
        <v>2.2000000000000002</v>
      </c>
      <c r="D20" s="103">
        <v>2.5299999999999998</v>
      </c>
      <c r="E20" s="103">
        <v>3.51</v>
      </c>
      <c r="F20" s="104">
        <f t="shared" si="0"/>
        <v>3.0199999999999996</v>
      </c>
      <c r="G20" s="105">
        <f t="shared" si="1"/>
        <v>6.6439999999999992</v>
      </c>
      <c r="H20" s="110" t="s">
        <v>153</v>
      </c>
    </row>
    <row r="21" spans="1:8" ht="15" customHeight="1" x14ac:dyDescent="0.2">
      <c r="A21" s="100" t="s">
        <v>174</v>
      </c>
      <c r="B21" s="101" t="s">
        <v>175</v>
      </c>
      <c r="C21" s="102">
        <v>0.3</v>
      </c>
      <c r="D21" s="103">
        <v>1.87</v>
      </c>
      <c r="E21" s="103">
        <v>2.73</v>
      </c>
      <c r="F21" s="104">
        <f t="shared" si="0"/>
        <v>2.2999999999999998</v>
      </c>
      <c r="G21" s="105">
        <f t="shared" si="1"/>
        <v>0.69</v>
      </c>
      <c r="H21" s="110" t="s">
        <v>141</v>
      </c>
    </row>
    <row r="22" spans="1:8" ht="15" customHeight="1" x14ac:dyDescent="0.2">
      <c r="A22" s="100" t="s">
        <v>176</v>
      </c>
      <c r="B22" s="101" t="s">
        <v>177</v>
      </c>
      <c r="C22" s="102">
        <v>2.2999999999999998</v>
      </c>
      <c r="D22" s="103">
        <v>4.3</v>
      </c>
      <c r="E22" s="103">
        <v>5.1100000000000003</v>
      </c>
      <c r="F22" s="104">
        <f t="shared" si="0"/>
        <v>4.7050000000000001</v>
      </c>
      <c r="G22" s="105">
        <f t="shared" si="1"/>
        <v>10.821499999999999</v>
      </c>
      <c r="H22" s="110" t="s">
        <v>153</v>
      </c>
    </row>
    <row r="23" spans="1:8" ht="15" customHeight="1" x14ac:dyDescent="0.2">
      <c r="A23" s="100" t="s">
        <v>178</v>
      </c>
      <c r="B23" s="101" t="s">
        <v>157</v>
      </c>
      <c r="C23" s="102">
        <v>1.48</v>
      </c>
      <c r="D23" s="103">
        <v>7.44</v>
      </c>
      <c r="E23" s="103">
        <v>7.96</v>
      </c>
      <c r="F23" s="104">
        <f t="shared" si="0"/>
        <v>7.7</v>
      </c>
      <c r="G23" s="105">
        <f t="shared" si="1"/>
        <v>11.396000000000001</v>
      </c>
      <c r="H23" s="110" t="s">
        <v>155</v>
      </c>
    </row>
    <row r="24" spans="1:8" ht="15" customHeight="1" x14ac:dyDescent="0.2">
      <c r="A24" s="100" t="s">
        <v>179</v>
      </c>
      <c r="B24" s="101" t="s">
        <v>157</v>
      </c>
      <c r="C24" s="102">
        <v>2.58</v>
      </c>
      <c r="D24" s="103">
        <v>3.37</v>
      </c>
      <c r="E24" s="103">
        <v>4.33</v>
      </c>
      <c r="F24" s="104">
        <f t="shared" si="0"/>
        <v>3.85</v>
      </c>
      <c r="G24" s="105">
        <f t="shared" si="1"/>
        <v>9.9329999999999998</v>
      </c>
      <c r="H24" s="110" t="s">
        <v>153</v>
      </c>
    </row>
    <row r="25" spans="1:8" ht="15" customHeight="1" x14ac:dyDescent="0.2">
      <c r="A25" s="100" t="s">
        <v>180</v>
      </c>
      <c r="B25" s="101" t="s">
        <v>181</v>
      </c>
      <c r="C25" s="102">
        <v>0.62</v>
      </c>
      <c r="D25" s="103">
        <v>59.32</v>
      </c>
      <c r="E25" s="103">
        <v>74.08</v>
      </c>
      <c r="F25" s="104">
        <f t="shared" si="0"/>
        <v>66.7</v>
      </c>
      <c r="G25" s="105">
        <f t="shared" si="1"/>
        <v>41.353999999999999</v>
      </c>
      <c r="H25" s="110" t="s">
        <v>155</v>
      </c>
    </row>
    <row r="26" spans="1:8" ht="15" customHeight="1" x14ac:dyDescent="0.2">
      <c r="A26" s="100" t="s">
        <v>182</v>
      </c>
      <c r="B26" s="101" t="s">
        <v>183</v>
      </c>
      <c r="C26" s="102">
        <v>2.41</v>
      </c>
      <c r="D26" s="103">
        <v>27.95</v>
      </c>
      <c r="E26" s="103">
        <v>26.37</v>
      </c>
      <c r="F26" s="104">
        <f t="shared" si="0"/>
        <v>27.16</v>
      </c>
      <c r="G26" s="105">
        <f t="shared" si="1"/>
        <v>65.455600000000004</v>
      </c>
      <c r="H26" s="110" t="s">
        <v>155</v>
      </c>
    </row>
    <row r="27" spans="1:8" ht="15" customHeight="1" x14ac:dyDescent="0.2">
      <c r="A27" s="100" t="s">
        <v>184</v>
      </c>
      <c r="B27" s="101" t="s">
        <v>185</v>
      </c>
      <c r="C27" s="102">
        <v>5.88</v>
      </c>
      <c r="D27" s="103">
        <v>10.61</v>
      </c>
      <c r="E27" s="103">
        <v>9.8000000000000007</v>
      </c>
      <c r="F27" s="104">
        <f t="shared" si="0"/>
        <v>10.205</v>
      </c>
      <c r="G27" s="105">
        <f t="shared" si="1"/>
        <v>60.005400000000002</v>
      </c>
      <c r="H27" s="110" t="s">
        <v>155</v>
      </c>
    </row>
    <row r="28" spans="1:8" ht="15" customHeight="1" x14ac:dyDescent="0.2">
      <c r="A28" s="100" t="s">
        <v>186</v>
      </c>
      <c r="B28" s="101" t="s">
        <v>187</v>
      </c>
      <c r="C28" s="102">
        <v>2.75</v>
      </c>
      <c r="D28" s="103">
        <v>1.37</v>
      </c>
      <c r="E28" s="103">
        <v>1.22</v>
      </c>
      <c r="F28" s="104">
        <f t="shared" si="0"/>
        <v>1.2949999999999999</v>
      </c>
      <c r="G28" s="105">
        <f t="shared" si="1"/>
        <v>3.5612499999999998</v>
      </c>
      <c r="H28" s="110" t="s">
        <v>155</v>
      </c>
    </row>
    <row r="29" spans="1:8" ht="15" customHeight="1" x14ac:dyDescent="0.2">
      <c r="A29" s="100" t="s">
        <v>188</v>
      </c>
      <c r="B29" s="101" t="s">
        <v>146</v>
      </c>
      <c r="C29" s="102">
        <v>0.67</v>
      </c>
      <c r="D29" s="103">
        <v>19.739999999999998</v>
      </c>
      <c r="E29" s="103">
        <v>20.96</v>
      </c>
      <c r="F29" s="104">
        <f t="shared" si="0"/>
        <v>20.350000000000001</v>
      </c>
      <c r="G29" s="105">
        <f t="shared" si="1"/>
        <v>13.634500000000001</v>
      </c>
      <c r="H29" s="110" t="s">
        <v>153</v>
      </c>
    </row>
    <row r="30" spans="1:8" ht="15" customHeight="1" x14ac:dyDescent="0.2">
      <c r="A30" s="100" t="s">
        <v>189</v>
      </c>
      <c r="B30" s="101" t="s">
        <v>157</v>
      </c>
      <c r="C30" s="102">
        <v>1.2</v>
      </c>
      <c r="D30" s="103">
        <v>1.19</v>
      </c>
      <c r="E30" s="103">
        <v>2.75</v>
      </c>
      <c r="F30" s="104">
        <f t="shared" si="0"/>
        <v>1.97</v>
      </c>
      <c r="G30" s="105">
        <f t="shared" si="1"/>
        <v>2.3639999999999999</v>
      </c>
      <c r="H30" s="110" t="s">
        <v>153</v>
      </c>
    </row>
    <row r="31" spans="1:8" ht="15" customHeight="1" x14ac:dyDescent="0.2">
      <c r="A31" s="100" t="s">
        <v>190</v>
      </c>
      <c r="B31" s="101" t="s">
        <v>191</v>
      </c>
      <c r="C31" s="102">
        <v>0.79</v>
      </c>
      <c r="D31" s="103">
        <v>4.72</v>
      </c>
      <c r="E31" s="103">
        <v>4.93</v>
      </c>
      <c r="F31" s="104">
        <f t="shared" si="0"/>
        <v>4.8249999999999993</v>
      </c>
      <c r="G31" s="105">
        <f t="shared" si="1"/>
        <v>3.8117499999999995</v>
      </c>
      <c r="H31" s="110" t="s">
        <v>153</v>
      </c>
    </row>
    <row r="32" spans="1:8" ht="15" customHeight="1" x14ac:dyDescent="0.2">
      <c r="A32" s="100" t="s">
        <v>192</v>
      </c>
      <c r="B32" s="101" t="s">
        <v>146</v>
      </c>
      <c r="C32" s="102">
        <v>0.77</v>
      </c>
      <c r="D32" s="103">
        <v>16.22</v>
      </c>
      <c r="E32" s="103">
        <v>25.11</v>
      </c>
      <c r="F32" s="104">
        <f t="shared" si="0"/>
        <v>20.664999999999999</v>
      </c>
      <c r="G32" s="105">
        <f t="shared" si="1"/>
        <v>15.912049999999999</v>
      </c>
      <c r="H32" s="110" t="s">
        <v>155</v>
      </c>
    </row>
    <row r="33" spans="1:8" ht="15" customHeight="1" x14ac:dyDescent="0.2">
      <c r="A33" s="100" t="s">
        <v>193</v>
      </c>
      <c r="B33" s="101" t="s">
        <v>157</v>
      </c>
      <c r="C33" s="102">
        <v>1.53</v>
      </c>
      <c r="D33" s="103">
        <v>3.47</v>
      </c>
      <c r="E33" s="103">
        <v>4.25</v>
      </c>
      <c r="F33" s="104">
        <f t="shared" si="0"/>
        <v>3.8600000000000003</v>
      </c>
      <c r="G33" s="105">
        <f t="shared" si="1"/>
        <v>5.9058000000000002</v>
      </c>
      <c r="H33" s="110" t="s">
        <v>194</v>
      </c>
    </row>
    <row r="34" spans="1:8" ht="15" customHeight="1" x14ac:dyDescent="0.2">
      <c r="A34" s="100" t="s">
        <v>195</v>
      </c>
      <c r="B34" s="101" t="s">
        <v>196</v>
      </c>
      <c r="C34" s="102">
        <v>0.68</v>
      </c>
      <c r="D34" s="103">
        <v>14.06</v>
      </c>
      <c r="E34" s="103">
        <v>17.690000000000001</v>
      </c>
      <c r="F34" s="104">
        <f t="shared" si="0"/>
        <v>15.875</v>
      </c>
      <c r="G34" s="105">
        <f t="shared" si="1"/>
        <v>10.795</v>
      </c>
      <c r="H34" s="110" t="s">
        <v>197</v>
      </c>
    </row>
    <row r="35" spans="1:8" ht="15" customHeight="1" x14ac:dyDescent="0.2">
      <c r="A35" s="100" t="s">
        <v>198</v>
      </c>
      <c r="B35" s="101" t="s">
        <v>196</v>
      </c>
      <c r="C35" s="102">
        <v>0.65</v>
      </c>
      <c r="D35" s="103">
        <v>14.34</v>
      </c>
      <c r="E35" s="103">
        <v>19.29</v>
      </c>
      <c r="F35" s="104">
        <f t="shared" si="0"/>
        <v>16.814999999999998</v>
      </c>
      <c r="G35" s="105">
        <f t="shared" si="1"/>
        <v>10.929749999999999</v>
      </c>
      <c r="H35" s="110" t="s">
        <v>197</v>
      </c>
    </row>
    <row r="36" spans="1:8" ht="15" customHeight="1" x14ac:dyDescent="0.2">
      <c r="A36" s="114" t="s">
        <v>199</v>
      </c>
      <c r="B36" s="115" t="s">
        <v>196</v>
      </c>
      <c r="C36" s="116">
        <v>1.02</v>
      </c>
      <c r="D36" s="117">
        <v>24.89</v>
      </c>
      <c r="E36" s="117">
        <v>25.63</v>
      </c>
      <c r="F36" s="118">
        <f t="shared" si="0"/>
        <v>25.259999999999998</v>
      </c>
      <c r="G36" s="119">
        <f t="shared" si="1"/>
        <v>25.7652</v>
      </c>
      <c r="H36" s="120" t="s">
        <v>153</v>
      </c>
    </row>
    <row r="37" spans="1:8" ht="20.25" customHeight="1" x14ac:dyDescent="0.2">
      <c r="A37" s="791" t="s">
        <v>200</v>
      </c>
      <c r="B37" s="791"/>
      <c r="C37" s="791"/>
      <c r="D37" s="791"/>
      <c r="E37" s="791"/>
      <c r="F37" s="791"/>
      <c r="G37" s="121">
        <f>SUM(G3:G36)</f>
        <v>409.79379999999998</v>
      </c>
    </row>
    <row r="38" spans="1:8" ht="20.25" customHeight="1" x14ac:dyDescent="0.2">
      <c r="A38" s="787" t="s">
        <v>201</v>
      </c>
      <c r="B38" s="787"/>
      <c r="C38" s="787"/>
      <c r="D38" s="787"/>
      <c r="E38" s="787"/>
      <c r="F38" s="787"/>
      <c r="G38" s="787"/>
      <c r="H38" s="787"/>
    </row>
    <row r="39" spans="1:8" ht="45.75" customHeight="1" x14ac:dyDescent="0.2">
      <c r="A39" s="92" t="s">
        <v>123</v>
      </c>
      <c r="B39" s="93" t="s">
        <v>124</v>
      </c>
      <c r="C39" s="93" t="s">
        <v>202</v>
      </c>
      <c r="D39" s="93" t="s">
        <v>126</v>
      </c>
      <c r="E39" s="93" t="s">
        <v>127</v>
      </c>
      <c r="F39" s="94" t="s">
        <v>128</v>
      </c>
      <c r="G39" s="122" t="s">
        <v>203</v>
      </c>
      <c r="H39" s="123" t="s">
        <v>130</v>
      </c>
    </row>
    <row r="40" spans="1:8" ht="15" customHeight="1" x14ac:dyDescent="0.2">
      <c r="A40" s="124" t="s">
        <v>204</v>
      </c>
      <c r="B40" s="125" t="s">
        <v>157</v>
      </c>
      <c r="C40" s="102">
        <v>3.19</v>
      </c>
      <c r="D40" s="126">
        <v>9.91</v>
      </c>
      <c r="E40" s="126">
        <v>7.95</v>
      </c>
      <c r="F40" s="104">
        <f t="shared" ref="F40:F58" si="2">(D40+E40)/2</f>
        <v>8.93</v>
      </c>
      <c r="G40" s="127">
        <f t="shared" ref="G40:G58" si="3">C40*F40/12</f>
        <v>2.3738916666666667</v>
      </c>
      <c r="H40" s="128" t="s">
        <v>153</v>
      </c>
    </row>
    <row r="41" spans="1:8" ht="15" customHeight="1" x14ac:dyDescent="0.2">
      <c r="A41" s="129" t="s">
        <v>205</v>
      </c>
      <c r="B41" s="130" t="s">
        <v>157</v>
      </c>
      <c r="C41" s="102">
        <v>0.75</v>
      </c>
      <c r="D41" s="126">
        <v>5.96</v>
      </c>
      <c r="E41" s="126">
        <v>3.96</v>
      </c>
      <c r="F41" s="104">
        <f t="shared" si="2"/>
        <v>4.96</v>
      </c>
      <c r="G41" s="127">
        <f t="shared" si="3"/>
        <v>0.31</v>
      </c>
      <c r="H41" s="131" t="s">
        <v>155</v>
      </c>
    </row>
    <row r="42" spans="1:8" ht="15" customHeight="1" x14ac:dyDescent="0.2">
      <c r="A42" s="129" t="s">
        <v>206</v>
      </c>
      <c r="B42" s="130" t="s">
        <v>157</v>
      </c>
      <c r="C42" s="102">
        <v>0.75</v>
      </c>
      <c r="D42" s="126">
        <v>7.93</v>
      </c>
      <c r="E42" s="126">
        <v>5.84</v>
      </c>
      <c r="F42" s="104">
        <f t="shared" si="2"/>
        <v>6.8849999999999998</v>
      </c>
      <c r="G42" s="127">
        <f t="shared" si="3"/>
        <v>0.43031250000000004</v>
      </c>
      <c r="H42" s="131" t="s">
        <v>155</v>
      </c>
    </row>
    <row r="43" spans="1:8" ht="15" customHeight="1" x14ac:dyDescent="0.2">
      <c r="A43" s="129" t="s">
        <v>207</v>
      </c>
      <c r="B43" s="130" t="s">
        <v>157</v>
      </c>
      <c r="C43" s="102">
        <v>1.94</v>
      </c>
      <c r="D43" s="126">
        <v>22.32</v>
      </c>
      <c r="E43" s="126">
        <v>19.21</v>
      </c>
      <c r="F43" s="104">
        <f t="shared" si="2"/>
        <v>20.765000000000001</v>
      </c>
      <c r="G43" s="127">
        <f t="shared" si="3"/>
        <v>3.3570083333333334</v>
      </c>
      <c r="H43" s="131" t="s">
        <v>153</v>
      </c>
    </row>
    <row r="44" spans="1:8" ht="15" customHeight="1" x14ac:dyDescent="0.2">
      <c r="A44" s="129" t="s">
        <v>208</v>
      </c>
      <c r="B44" s="130" t="s">
        <v>157</v>
      </c>
      <c r="C44" s="102">
        <v>2.85</v>
      </c>
      <c r="D44" s="126">
        <v>4.12</v>
      </c>
      <c r="E44" s="126">
        <v>6.08</v>
      </c>
      <c r="F44" s="104">
        <f t="shared" si="2"/>
        <v>5.0999999999999996</v>
      </c>
      <c r="G44" s="127">
        <f t="shared" si="3"/>
        <v>1.2112499999999999</v>
      </c>
      <c r="H44" s="131" t="s">
        <v>155</v>
      </c>
    </row>
    <row r="45" spans="1:8" ht="15" customHeight="1" x14ac:dyDescent="0.2">
      <c r="A45" s="129" t="s">
        <v>209</v>
      </c>
      <c r="B45" s="130" t="s">
        <v>157</v>
      </c>
      <c r="C45" s="102">
        <v>0.64</v>
      </c>
      <c r="D45" s="126">
        <v>47.9</v>
      </c>
      <c r="E45" s="126">
        <v>50.35</v>
      </c>
      <c r="F45" s="104">
        <f t="shared" si="2"/>
        <v>49.125</v>
      </c>
      <c r="G45" s="127">
        <f t="shared" si="3"/>
        <v>2.62</v>
      </c>
      <c r="H45" s="131" t="s">
        <v>153</v>
      </c>
    </row>
    <row r="46" spans="1:8" ht="15" customHeight="1" x14ac:dyDescent="0.2">
      <c r="A46" s="129" t="s">
        <v>210</v>
      </c>
      <c r="B46" s="130" t="s">
        <v>157</v>
      </c>
      <c r="C46" s="102">
        <v>1.6</v>
      </c>
      <c r="D46" s="126">
        <v>2.4500000000000002</v>
      </c>
      <c r="E46" s="126">
        <v>4.96</v>
      </c>
      <c r="F46" s="104">
        <f t="shared" si="2"/>
        <v>3.7050000000000001</v>
      </c>
      <c r="G46" s="127">
        <f t="shared" si="3"/>
        <v>0.49400000000000005</v>
      </c>
      <c r="H46" s="131" t="s">
        <v>194</v>
      </c>
    </row>
    <row r="47" spans="1:8" ht="15" customHeight="1" x14ac:dyDescent="0.2">
      <c r="A47" s="129" t="s">
        <v>211</v>
      </c>
      <c r="B47" s="130" t="s">
        <v>157</v>
      </c>
      <c r="C47" s="102">
        <v>0.92</v>
      </c>
      <c r="D47" s="126">
        <v>14.49</v>
      </c>
      <c r="E47" s="126">
        <v>14.32</v>
      </c>
      <c r="F47" s="104">
        <f t="shared" si="2"/>
        <v>14.405000000000001</v>
      </c>
      <c r="G47" s="127">
        <f t="shared" si="3"/>
        <v>1.1043833333333335</v>
      </c>
      <c r="H47" s="131" t="s">
        <v>153</v>
      </c>
    </row>
    <row r="48" spans="1:8" ht="15" customHeight="1" x14ac:dyDescent="0.2">
      <c r="A48" s="129" t="s">
        <v>212</v>
      </c>
      <c r="B48" s="130" t="s">
        <v>157</v>
      </c>
      <c r="C48" s="102">
        <v>1</v>
      </c>
      <c r="D48" s="126">
        <v>57.07</v>
      </c>
      <c r="E48" s="126">
        <v>56.66</v>
      </c>
      <c r="F48" s="104">
        <f t="shared" si="2"/>
        <v>56.864999999999995</v>
      </c>
      <c r="G48" s="127">
        <f t="shared" si="3"/>
        <v>4.7387499999999996</v>
      </c>
      <c r="H48" s="131" t="s">
        <v>197</v>
      </c>
    </row>
    <row r="49" spans="1:8" ht="15" customHeight="1" x14ac:dyDescent="0.2">
      <c r="A49" s="129" t="s">
        <v>213</v>
      </c>
      <c r="B49" s="130" t="s">
        <v>157</v>
      </c>
      <c r="C49" s="102">
        <v>2.6</v>
      </c>
      <c r="D49" s="126">
        <v>60.51</v>
      </c>
      <c r="E49" s="126">
        <v>70.319999999999993</v>
      </c>
      <c r="F49" s="104">
        <f t="shared" si="2"/>
        <v>65.414999999999992</v>
      </c>
      <c r="G49" s="127">
        <f t="shared" si="3"/>
        <v>14.173249999999998</v>
      </c>
      <c r="H49" s="131" t="s">
        <v>197</v>
      </c>
    </row>
    <row r="50" spans="1:8" ht="15" customHeight="1" x14ac:dyDescent="0.25">
      <c r="A50" s="132" t="s">
        <v>214</v>
      </c>
      <c r="B50" s="133" t="s">
        <v>157</v>
      </c>
      <c r="C50" s="102">
        <v>4</v>
      </c>
      <c r="D50" s="126">
        <v>17.62</v>
      </c>
      <c r="E50" s="126">
        <v>15.64</v>
      </c>
      <c r="F50" s="104">
        <f t="shared" si="2"/>
        <v>16.630000000000003</v>
      </c>
      <c r="G50" s="127">
        <f t="shared" si="3"/>
        <v>5.5433333333333339</v>
      </c>
      <c r="H50" s="134" t="s">
        <v>197</v>
      </c>
    </row>
    <row r="51" spans="1:8" ht="15" customHeight="1" x14ac:dyDescent="0.2">
      <c r="A51" s="129" t="s">
        <v>215</v>
      </c>
      <c r="B51" s="130" t="s">
        <v>157</v>
      </c>
      <c r="C51" s="102">
        <v>1</v>
      </c>
      <c r="D51" s="126">
        <v>3.44</v>
      </c>
      <c r="E51" s="126">
        <v>5.94</v>
      </c>
      <c r="F51" s="104">
        <f t="shared" si="2"/>
        <v>4.6900000000000004</v>
      </c>
      <c r="G51" s="127">
        <f t="shared" si="3"/>
        <v>0.39083333333333337</v>
      </c>
      <c r="H51" s="131" t="s">
        <v>153</v>
      </c>
    </row>
    <row r="52" spans="1:8" ht="15" customHeight="1" x14ac:dyDescent="0.2">
      <c r="A52" s="129" t="s">
        <v>216</v>
      </c>
      <c r="B52" s="130" t="s">
        <v>157</v>
      </c>
      <c r="C52" s="102">
        <v>1.24</v>
      </c>
      <c r="D52" s="126">
        <v>8.2799999999999994</v>
      </c>
      <c r="E52" s="126">
        <v>11.02</v>
      </c>
      <c r="F52" s="104">
        <f t="shared" si="2"/>
        <v>9.6499999999999986</v>
      </c>
      <c r="G52" s="127">
        <f t="shared" si="3"/>
        <v>0.99716666666666642</v>
      </c>
      <c r="H52" s="131" t="s">
        <v>172</v>
      </c>
    </row>
    <row r="53" spans="1:8" ht="15" customHeight="1" x14ac:dyDescent="0.2">
      <c r="A53" s="129" t="s">
        <v>217</v>
      </c>
      <c r="B53" s="130" t="s">
        <v>157</v>
      </c>
      <c r="C53" s="102">
        <v>3.85</v>
      </c>
      <c r="D53" s="126">
        <v>9.34</v>
      </c>
      <c r="E53" s="126">
        <v>11.3</v>
      </c>
      <c r="F53" s="104">
        <f t="shared" si="2"/>
        <v>10.32</v>
      </c>
      <c r="G53" s="127">
        <f t="shared" si="3"/>
        <v>3.3109999999999999</v>
      </c>
      <c r="H53" s="131" t="s">
        <v>197</v>
      </c>
    </row>
    <row r="54" spans="1:8" ht="15" customHeight="1" x14ac:dyDescent="0.2">
      <c r="A54" s="129" t="s">
        <v>218</v>
      </c>
      <c r="B54" s="130" t="s">
        <v>219</v>
      </c>
      <c r="C54" s="102">
        <v>0.64</v>
      </c>
      <c r="D54" s="126">
        <v>25.29</v>
      </c>
      <c r="E54" s="126">
        <v>18.899999999999999</v>
      </c>
      <c r="F54" s="104">
        <f t="shared" si="2"/>
        <v>22.094999999999999</v>
      </c>
      <c r="G54" s="127">
        <f t="shared" si="3"/>
        <v>1.1783999999999999</v>
      </c>
      <c r="H54" s="131" t="s">
        <v>153</v>
      </c>
    </row>
    <row r="55" spans="1:8" ht="15" customHeight="1" x14ac:dyDescent="0.2">
      <c r="A55" s="129" t="s">
        <v>220</v>
      </c>
      <c r="B55" s="130" t="s">
        <v>157</v>
      </c>
      <c r="C55" s="102">
        <v>1.28</v>
      </c>
      <c r="D55" s="126">
        <v>24.28</v>
      </c>
      <c r="E55" s="126">
        <v>27.24</v>
      </c>
      <c r="F55" s="104">
        <f t="shared" si="2"/>
        <v>25.759999999999998</v>
      </c>
      <c r="G55" s="127">
        <f t="shared" si="3"/>
        <v>2.7477333333333331</v>
      </c>
      <c r="H55" s="131" t="s">
        <v>221</v>
      </c>
    </row>
    <row r="56" spans="1:8" ht="15" customHeight="1" x14ac:dyDescent="0.2">
      <c r="A56" s="129" t="s">
        <v>222</v>
      </c>
      <c r="B56" s="130" t="s">
        <v>157</v>
      </c>
      <c r="C56" s="102">
        <v>0.99</v>
      </c>
      <c r="D56" s="126">
        <v>14.99</v>
      </c>
      <c r="E56" s="126">
        <v>18.84</v>
      </c>
      <c r="F56" s="104">
        <f t="shared" si="2"/>
        <v>16.914999999999999</v>
      </c>
      <c r="G56" s="127">
        <f t="shared" si="3"/>
        <v>1.3954874999999998</v>
      </c>
      <c r="H56" s="131" t="s">
        <v>223</v>
      </c>
    </row>
    <row r="57" spans="1:8" ht="15" customHeight="1" x14ac:dyDescent="0.2">
      <c r="A57" s="129" t="s">
        <v>224</v>
      </c>
      <c r="B57" s="130" t="s">
        <v>157</v>
      </c>
      <c r="C57" s="102">
        <v>3.9</v>
      </c>
      <c r="D57" s="126">
        <v>7.91</v>
      </c>
      <c r="E57" s="126">
        <v>8.61</v>
      </c>
      <c r="F57" s="104">
        <f t="shared" si="2"/>
        <v>8.26</v>
      </c>
      <c r="G57" s="127">
        <f t="shared" si="3"/>
        <v>2.6844999999999999</v>
      </c>
      <c r="H57" s="131" t="s">
        <v>225</v>
      </c>
    </row>
    <row r="58" spans="1:8" ht="15" customHeight="1" x14ac:dyDescent="0.2">
      <c r="A58" s="135" t="s">
        <v>226</v>
      </c>
      <c r="B58" s="136" t="s">
        <v>157</v>
      </c>
      <c r="C58" s="102">
        <v>1.48</v>
      </c>
      <c r="D58" s="137">
        <v>16.07</v>
      </c>
      <c r="E58" s="137">
        <v>22.46</v>
      </c>
      <c r="F58" s="118">
        <f t="shared" si="2"/>
        <v>19.265000000000001</v>
      </c>
      <c r="G58" s="138">
        <f t="shared" si="3"/>
        <v>2.3760166666666667</v>
      </c>
      <c r="H58" s="139" t="s">
        <v>153</v>
      </c>
    </row>
    <row r="59" spans="1:8" ht="20.25" customHeight="1" x14ac:dyDescent="0.2">
      <c r="A59" s="791" t="s">
        <v>227</v>
      </c>
      <c r="B59" s="791"/>
      <c r="C59" s="791"/>
      <c r="D59" s="791"/>
      <c r="E59" s="791"/>
      <c r="F59" s="791"/>
      <c r="G59" s="121">
        <f>SUM(G40:G58)</f>
        <v>51.437316666666661</v>
      </c>
    </row>
    <row r="60" spans="1:8" ht="20.25" customHeight="1" x14ac:dyDescent="0.2">
      <c r="A60" s="791" t="s">
        <v>228</v>
      </c>
      <c r="B60" s="791"/>
      <c r="C60" s="791"/>
      <c r="D60" s="791"/>
      <c r="E60" s="791"/>
      <c r="F60" s="791"/>
      <c r="G60" s="140">
        <f>G59+G37</f>
        <v>461.23111666666665</v>
      </c>
    </row>
    <row r="61" spans="1:8" x14ac:dyDescent="0.2">
      <c r="A61" s="141"/>
      <c r="B61" s="142"/>
      <c r="C61" s="142"/>
      <c r="D61" s="142"/>
      <c r="E61" s="142"/>
      <c r="F61" s="142"/>
      <c r="G61" s="142"/>
      <c r="H61" s="143"/>
    </row>
    <row r="62" spans="1:8" ht="20.25" customHeight="1" x14ac:dyDescent="0.2">
      <c r="A62" s="787" t="s">
        <v>229</v>
      </c>
      <c r="B62" s="787"/>
      <c r="C62" s="787"/>
      <c r="D62" s="787"/>
      <c r="E62" s="787"/>
      <c r="F62" s="787"/>
      <c r="G62" s="787"/>
      <c r="H62" s="787"/>
    </row>
    <row r="63" spans="1:8" ht="54.75" customHeight="1" x14ac:dyDescent="0.2">
      <c r="A63" s="144" t="s">
        <v>123</v>
      </c>
      <c r="B63" s="145" t="s">
        <v>124</v>
      </c>
      <c r="C63" s="145" t="s">
        <v>230</v>
      </c>
      <c r="D63" s="93" t="s">
        <v>231</v>
      </c>
      <c r="E63" s="93" t="s">
        <v>127</v>
      </c>
      <c r="F63" s="94" t="s">
        <v>128</v>
      </c>
      <c r="G63" s="95" t="s">
        <v>232</v>
      </c>
      <c r="H63" s="146" t="s">
        <v>130</v>
      </c>
    </row>
    <row r="64" spans="1:8" ht="15" customHeight="1" x14ac:dyDescent="0.2">
      <c r="A64" s="132" t="s">
        <v>233</v>
      </c>
      <c r="B64" s="130" t="s">
        <v>133</v>
      </c>
      <c r="C64" s="147">
        <f>0.1*22</f>
        <v>2.2000000000000002</v>
      </c>
      <c r="D64" s="126">
        <v>36.18</v>
      </c>
      <c r="E64" s="126">
        <v>34.57</v>
      </c>
      <c r="F64" s="104">
        <f>(D64+E64)/2</f>
        <v>35.375</v>
      </c>
      <c r="G64" s="105">
        <f>C64*F64</f>
        <v>77.825000000000003</v>
      </c>
      <c r="H64" s="110" t="s">
        <v>234</v>
      </c>
    </row>
    <row r="65" spans="1:9" ht="15" customHeight="1" x14ac:dyDescent="0.2">
      <c r="A65" s="148" t="s">
        <v>143</v>
      </c>
      <c r="B65" s="130" t="s">
        <v>133</v>
      </c>
      <c r="C65" s="147">
        <f>0.5*22</f>
        <v>11</v>
      </c>
      <c r="D65" s="126">
        <v>7.25</v>
      </c>
      <c r="E65" s="126">
        <v>6.84</v>
      </c>
      <c r="F65" s="104">
        <f>(D65+E65)/2</f>
        <v>7.0449999999999999</v>
      </c>
      <c r="G65" s="105">
        <f>C65*F65</f>
        <v>77.495000000000005</v>
      </c>
      <c r="H65" s="110" t="s">
        <v>141</v>
      </c>
    </row>
    <row r="66" spans="1:9" ht="15" customHeight="1" x14ac:dyDescent="0.2">
      <c r="A66" s="149" t="s">
        <v>162</v>
      </c>
      <c r="B66" s="136" t="s">
        <v>157</v>
      </c>
      <c r="C66" s="147">
        <v>4</v>
      </c>
      <c r="D66" s="126">
        <v>1.64</v>
      </c>
      <c r="E66" s="126">
        <v>2.9</v>
      </c>
      <c r="F66" s="104">
        <f>(D66+E66)/2</f>
        <v>2.27</v>
      </c>
      <c r="G66" s="105">
        <f>C66*F66</f>
        <v>9.08</v>
      </c>
      <c r="H66" s="150" t="s">
        <v>235</v>
      </c>
    </row>
    <row r="67" spans="1:9" ht="15" customHeight="1" x14ac:dyDescent="0.2">
      <c r="A67" s="151" t="s">
        <v>236</v>
      </c>
      <c r="B67" s="130" t="s">
        <v>196</v>
      </c>
      <c r="C67" s="147">
        <f>4*2*22</f>
        <v>176</v>
      </c>
      <c r="D67" s="137">
        <v>0.44</v>
      </c>
      <c r="E67" s="137">
        <v>0.46</v>
      </c>
      <c r="F67" s="104">
        <f>(D67+E67)/2</f>
        <v>0.45</v>
      </c>
      <c r="G67" s="105">
        <f>C67*F67</f>
        <v>79.2</v>
      </c>
      <c r="H67" s="150" t="s">
        <v>237</v>
      </c>
    </row>
    <row r="68" spans="1:9" ht="35.25" customHeight="1" x14ac:dyDescent="0.2">
      <c r="A68" s="144" t="s">
        <v>123</v>
      </c>
      <c r="B68" s="145" t="s">
        <v>124</v>
      </c>
      <c r="C68" s="145" t="s">
        <v>238</v>
      </c>
      <c r="D68" s="145" t="s">
        <v>231</v>
      </c>
      <c r="E68" s="145" t="s">
        <v>127</v>
      </c>
      <c r="F68" s="152" t="s">
        <v>128</v>
      </c>
      <c r="G68" s="95" t="s">
        <v>232</v>
      </c>
      <c r="H68" s="146" t="s">
        <v>130</v>
      </c>
    </row>
    <row r="69" spans="1:9" ht="15" customHeight="1" x14ac:dyDescent="0.2">
      <c r="A69" s="124" t="s">
        <v>239</v>
      </c>
      <c r="B69" s="125" t="s">
        <v>157</v>
      </c>
      <c r="C69" s="147">
        <f>2*4</f>
        <v>8</v>
      </c>
      <c r="D69" s="126">
        <v>5.0999999999999996</v>
      </c>
      <c r="E69" s="126">
        <v>5.45</v>
      </c>
      <c r="F69" s="104">
        <f>(D69+E69)/2</f>
        <v>5.2750000000000004</v>
      </c>
      <c r="G69" s="138">
        <f>C69*F69/12</f>
        <v>3.5166666666666671</v>
      </c>
      <c r="H69" s="139" t="s">
        <v>237</v>
      </c>
    </row>
    <row r="70" spans="1:9" ht="20.25" customHeight="1" x14ac:dyDescent="0.2">
      <c r="A70" s="788" t="s">
        <v>240</v>
      </c>
      <c r="B70" s="788"/>
      <c r="C70" s="788"/>
      <c r="D70" s="788"/>
      <c r="E70" s="788"/>
      <c r="F70" s="788"/>
      <c r="G70" s="153">
        <f>G64+G65+G66+G67+G69</f>
        <v>247.1166666666667</v>
      </c>
    </row>
    <row r="71" spans="1:9" x14ac:dyDescent="0.2">
      <c r="A71" s="141"/>
      <c r="B71" s="142"/>
      <c r="C71" s="142"/>
      <c r="D71" s="142"/>
      <c r="E71" s="142"/>
      <c r="F71" s="142"/>
      <c r="G71" s="142"/>
      <c r="H71" s="142"/>
      <c r="I71" s="142"/>
    </row>
    <row r="72" spans="1:9" x14ac:dyDescent="0.2">
      <c r="A72" s="142" t="s">
        <v>241</v>
      </c>
      <c r="B72" s="142"/>
      <c r="C72" s="142"/>
      <c r="D72" s="142"/>
      <c r="E72" s="154"/>
      <c r="F72" s="142"/>
      <c r="G72" s="142"/>
      <c r="H72" s="143"/>
      <c r="I72" s="143"/>
    </row>
    <row r="73" spans="1:9" x14ac:dyDescent="0.2">
      <c r="A73" s="142"/>
      <c r="B73" s="142"/>
      <c r="C73" s="142"/>
      <c r="D73" s="142"/>
      <c r="E73" s="154"/>
      <c r="F73" s="142"/>
      <c r="G73" s="154"/>
      <c r="H73" s="143"/>
      <c r="I73" s="143"/>
    </row>
    <row r="74" spans="1:9" x14ac:dyDescent="0.2">
      <c r="A74" s="142" t="s">
        <v>242</v>
      </c>
      <c r="B74" s="142"/>
      <c r="C74" s="142"/>
      <c r="D74" s="142"/>
      <c r="E74" s="142"/>
      <c r="F74" s="142"/>
      <c r="G74" s="142"/>
      <c r="H74" s="142"/>
      <c r="I74" s="142"/>
    </row>
    <row r="75" spans="1:9" x14ac:dyDescent="0.2">
      <c r="A75" s="142" t="s">
        <v>243</v>
      </c>
      <c r="B75" s="142"/>
      <c r="C75" s="142"/>
      <c r="D75" s="142"/>
      <c r="E75" s="142"/>
      <c r="F75" s="142"/>
      <c r="G75" s="142"/>
      <c r="H75" s="154"/>
      <c r="I75" s="154"/>
    </row>
    <row r="76" spans="1:9" x14ac:dyDescent="0.2">
      <c r="A76" s="142" t="s">
        <v>244</v>
      </c>
      <c r="B76" s="142"/>
      <c r="C76" s="142"/>
      <c r="D76" s="142"/>
      <c r="E76" s="142"/>
      <c r="F76" s="142"/>
      <c r="G76" s="142"/>
      <c r="H76" s="155"/>
      <c r="I76" s="155"/>
    </row>
    <row r="77" spans="1:9" x14ac:dyDescent="0.2">
      <c r="A77" s="142" t="s">
        <v>245</v>
      </c>
      <c r="B77" s="142"/>
      <c r="C77" s="142"/>
      <c r="D77" s="142"/>
      <c r="E77" s="142"/>
      <c r="F77" s="142"/>
      <c r="G77" s="142"/>
      <c r="H77" s="154"/>
      <c r="I77" s="154"/>
    </row>
    <row r="78" spans="1:9" x14ac:dyDescent="0.2">
      <c r="A78" s="142" t="s">
        <v>246</v>
      </c>
      <c r="B78" s="142"/>
      <c r="C78" s="142"/>
      <c r="D78" s="142"/>
      <c r="E78" s="142"/>
      <c r="F78" s="142"/>
      <c r="G78" s="142"/>
      <c r="H78" s="142"/>
      <c r="I78" s="142"/>
    </row>
    <row r="79" spans="1:9" x14ac:dyDescent="0.2">
      <c r="A79" s="142" t="s">
        <v>247</v>
      </c>
      <c r="B79" s="142"/>
      <c r="C79" s="142"/>
      <c r="D79" s="142"/>
      <c r="E79" s="142"/>
      <c r="F79" s="142"/>
      <c r="G79" s="142"/>
      <c r="H79" s="142"/>
      <c r="I79" s="142"/>
    </row>
    <row r="80" spans="1:9" x14ac:dyDescent="0.2">
      <c r="A80" s="142" t="s">
        <v>248</v>
      </c>
      <c r="B80" s="142"/>
      <c r="C80" s="142"/>
      <c r="D80" s="142"/>
      <c r="E80" s="142"/>
      <c r="F80" s="142"/>
      <c r="G80" s="142"/>
      <c r="H80" s="142"/>
      <c r="I80" s="142"/>
    </row>
    <row r="81" spans="1:11" x14ac:dyDescent="0.2">
      <c r="A81" s="142" t="s">
        <v>249</v>
      </c>
      <c r="B81" s="142"/>
      <c r="C81" s="142"/>
      <c r="D81" s="142"/>
      <c r="E81" s="142"/>
      <c r="F81" s="142"/>
      <c r="G81" s="142"/>
      <c r="H81" s="142"/>
      <c r="I81" s="142"/>
    </row>
    <row r="82" spans="1:11" x14ac:dyDescent="0.2">
      <c r="A82" s="142" t="s">
        <v>250</v>
      </c>
      <c r="B82" s="142"/>
      <c r="C82" s="142"/>
      <c r="D82" s="142"/>
      <c r="E82" s="142"/>
      <c r="F82" s="142"/>
      <c r="G82" s="142"/>
      <c r="H82" s="142"/>
      <c r="I82" s="142"/>
    </row>
    <row r="83" spans="1:11" x14ac:dyDescent="0.2">
      <c r="A83" s="142" t="s">
        <v>251</v>
      </c>
      <c r="B83" s="142"/>
      <c r="C83" s="142"/>
      <c r="D83" s="142"/>
      <c r="E83" s="142"/>
      <c r="F83" s="142"/>
      <c r="G83" s="142"/>
      <c r="H83" s="142"/>
      <c r="I83" s="142"/>
    </row>
    <row r="84" spans="1:11" x14ac:dyDescent="0.2">
      <c r="A84" s="141"/>
      <c r="B84" s="142"/>
      <c r="C84" s="142"/>
      <c r="D84" s="142"/>
      <c r="E84" s="142"/>
      <c r="F84" s="142"/>
      <c r="G84" s="142"/>
      <c r="H84" s="142"/>
      <c r="I84" s="142"/>
    </row>
    <row r="85" spans="1:11" x14ac:dyDescent="0.2">
      <c r="A85" s="141"/>
      <c r="B85" s="142"/>
      <c r="C85" s="142"/>
      <c r="D85" s="142"/>
      <c r="E85" s="142"/>
      <c r="F85" s="142"/>
      <c r="G85" s="142"/>
      <c r="H85" s="142"/>
      <c r="I85" s="142"/>
    </row>
    <row r="86" spans="1:11" ht="20.25" customHeight="1" x14ac:dyDescent="0.2">
      <c r="A86" s="789" t="s">
        <v>252</v>
      </c>
      <c r="B86" s="789"/>
      <c r="C86" s="789"/>
      <c r="D86" s="789"/>
      <c r="E86" s="789"/>
      <c r="F86" s="789"/>
      <c r="G86" s="789"/>
      <c r="H86" s="789"/>
      <c r="I86" s="789"/>
      <c r="J86" s="789"/>
      <c r="K86" s="789"/>
    </row>
    <row r="87" spans="1:11" s="160" customFormat="1" ht="36" x14ac:dyDescent="0.2">
      <c r="A87" s="156" t="s">
        <v>123</v>
      </c>
      <c r="B87" s="157" t="s">
        <v>124</v>
      </c>
      <c r="C87" s="157" t="s">
        <v>253</v>
      </c>
      <c r="D87" s="157" t="s">
        <v>254</v>
      </c>
      <c r="E87" s="157" t="s">
        <v>255</v>
      </c>
      <c r="F87" s="157" t="s">
        <v>231</v>
      </c>
      <c r="G87" s="158" t="s">
        <v>127</v>
      </c>
      <c r="H87" s="158" t="s">
        <v>128</v>
      </c>
      <c r="I87" s="159" t="s">
        <v>256</v>
      </c>
      <c r="J87" s="159" t="s">
        <v>257</v>
      </c>
      <c r="K87" s="159" t="s">
        <v>258</v>
      </c>
    </row>
    <row r="88" spans="1:11" ht="15" customHeight="1" x14ac:dyDescent="0.2">
      <c r="A88" s="148" t="s">
        <v>259</v>
      </c>
      <c r="B88" s="125" t="s">
        <v>157</v>
      </c>
      <c r="C88" s="125">
        <v>13</v>
      </c>
      <c r="D88" s="125">
        <v>17</v>
      </c>
      <c r="E88" s="125">
        <v>9</v>
      </c>
      <c r="F88" s="126">
        <v>397.54</v>
      </c>
      <c r="G88" s="161">
        <v>249.3</v>
      </c>
      <c r="H88" s="104">
        <f t="shared" ref="H88:H96" si="4">(F88+G88)/2</f>
        <v>323.42</v>
      </c>
      <c r="I88" s="105">
        <f t="shared" ref="I88:I97" si="5">(C88*H88)</f>
        <v>4204.46</v>
      </c>
      <c r="J88" s="105">
        <f t="shared" ref="J88:J97" si="6">(D88*H88)</f>
        <v>5498.14</v>
      </c>
      <c r="K88" s="105">
        <f t="shared" ref="K88:K97" si="7">(E88*H88)</f>
        <v>2910.78</v>
      </c>
    </row>
    <row r="89" spans="1:11" ht="15" customHeight="1" x14ac:dyDescent="0.2">
      <c r="A89" s="148" t="s">
        <v>260</v>
      </c>
      <c r="B89" s="130" t="s">
        <v>157</v>
      </c>
      <c r="C89" s="125">
        <f>C88</f>
        <v>13</v>
      </c>
      <c r="D89" s="125">
        <f>D88</f>
        <v>17</v>
      </c>
      <c r="E89" s="125">
        <f>E88</f>
        <v>9</v>
      </c>
      <c r="F89" s="126">
        <v>89.63</v>
      </c>
      <c r="G89" s="161">
        <v>94.72</v>
      </c>
      <c r="H89" s="104">
        <f t="shared" si="4"/>
        <v>92.174999999999997</v>
      </c>
      <c r="I89" s="105">
        <f t="shared" si="5"/>
        <v>1198.2749999999999</v>
      </c>
      <c r="J89" s="105">
        <f t="shared" si="6"/>
        <v>1566.9749999999999</v>
      </c>
      <c r="K89" s="105">
        <f t="shared" si="7"/>
        <v>829.57499999999993</v>
      </c>
    </row>
    <row r="90" spans="1:11" ht="15" customHeight="1" x14ac:dyDescent="0.2">
      <c r="A90" s="148" t="s">
        <v>261</v>
      </c>
      <c r="B90" s="130" t="s">
        <v>157</v>
      </c>
      <c r="C90" s="125">
        <f>C88</f>
        <v>13</v>
      </c>
      <c r="D90" s="125">
        <f>D88</f>
        <v>17</v>
      </c>
      <c r="E90" s="125">
        <f>E88</f>
        <v>9</v>
      </c>
      <c r="F90" s="126">
        <v>762.14</v>
      </c>
      <c r="G90" s="161">
        <v>710.18</v>
      </c>
      <c r="H90" s="104">
        <f t="shared" si="4"/>
        <v>736.16</v>
      </c>
      <c r="I90" s="105">
        <f t="shared" si="5"/>
        <v>9570.08</v>
      </c>
      <c r="J90" s="105">
        <f t="shared" si="6"/>
        <v>12514.72</v>
      </c>
      <c r="K90" s="105">
        <f t="shared" si="7"/>
        <v>6625.44</v>
      </c>
    </row>
    <row r="91" spans="1:11" ht="15" customHeight="1" x14ac:dyDescent="0.2">
      <c r="A91" s="148" t="s">
        <v>262</v>
      </c>
      <c r="B91" s="130" t="s">
        <v>157</v>
      </c>
      <c r="C91" s="125">
        <f>C88</f>
        <v>13</v>
      </c>
      <c r="D91" s="125">
        <f>D88</f>
        <v>17</v>
      </c>
      <c r="E91" s="125">
        <f>E88</f>
        <v>9</v>
      </c>
      <c r="F91" s="126">
        <v>1854.64</v>
      </c>
      <c r="G91" s="161">
        <v>1694.57</v>
      </c>
      <c r="H91" s="104">
        <f t="shared" si="4"/>
        <v>1774.605</v>
      </c>
      <c r="I91" s="105">
        <f t="shared" si="5"/>
        <v>23069.865000000002</v>
      </c>
      <c r="J91" s="105">
        <f t="shared" si="6"/>
        <v>30168.285</v>
      </c>
      <c r="K91" s="105">
        <f t="shared" si="7"/>
        <v>15971.445</v>
      </c>
    </row>
    <row r="92" spans="1:11" ht="15" customHeight="1" x14ac:dyDescent="0.2">
      <c r="A92" s="148" t="s">
        <v>263</v>
      </c>
      <c r="B92" s="130" t="s">
        <v>157</v>
      </c>
      <c r="C92" s="125">
        <f>C88</f>
        <v>13</v>
      </c>
      <c r="D92" s="125">
        <f>D88</f>
        <v>17</v>
      </c>
      <c r="E92" s="125">
        <f>E88</f>
        <v>9</v>
      </c>
      <c r="F92" s="126">
        <v>198.83</v>
      </c>
      <c r="G92" s="161">
        <v>181.11</v>
      </c>
      <c r="H92" s="104">
        <f t="shared" si="4"/>
        <v>189.97000000000003</v>
      </c>
      <c r="I92" s="105">
        <f t="shared" si="5"/>
        <v>2469.6100000000006</v>
      </c>
      <c r="J92" s="105">
        <f t="shared" si="6"/>
        <v>3229.4900000000007</v>
      </c>
      <c r="K92" s="105">
        <f t="shared" si="7"/>
        <v>1709.7300000000002</v>
      </c>
    </row>
    <row r="93" spans="1:11" ht="15" customHeight="1" x14ac:dyDescent="0.2">
      <c r="A93" s="148" t="s">
        <v>264</v>
      </c>
      <c r="B93" s="130" t="s">
        <v>157</v>
      </c>
      <c r="C93" s="125">
        <f>C88</f>
        <v>13</v>
      </c>
      <c r="D93" s="125">
        <f>D88</f>
        <v>17</v>
      </c>
      <c r="E93" s="125">
        <f>E88</f>
        <v>9</v>
      </c>
      <c r="F93" s="126">
        <v>79.3</v>
      </c>
      <c r="G93" s="161">
        <v>91.34</v>
      </c>
      <c r="H93" s="104">
        <f t="shared" si="4"/>
        <v>85.32</v>
      </c>
      <c r="I93" s="105">
        <f t="shared" si="5"/>
        <v>1109.1599999999999</v>
      </c>
      <c r="J93" s="105">
        <f t="shared" si="6"/>
        <v>1450.4399999999998</v>
      </c>
      <c r="K93" s="105">
        <f t="shared" si="7"/>
        <v>767.87999999999988</v>
      </c>
    </row>
    <row r="94" spans="1:11" ht="15" customHeight="1" x14ac:dyDescent="0.2">
      <c r="A94" s="148" t="s">
        <v>265</v>
      </c>
      <c r="B94" s="130" t="s">
        <v>157</v>
      </c>
      <c r="C94" s="125">
        <f>C88</f>
        <v>13</v>
      </c>
      <c r="D94" s="125">
        <f>D88</f>
        <v>17</v>
      </c>
      <c r="E94" s="125">
        <v>6</v>
      </c>
      <c r="F94" s="126">
        <v>751.56</v>
      </c>
      <c r="G94" s="161">
        <v>452.92</v>
      </c>
      <c r="H94" s="104">
        <f t="shared" si="4"/>
        <v>602.24</v>
      </c>
      <c r="I94" s="105">
        <f t="shared" si="5"/>
        <v>7829.12</v>
      </c>
      <c r="J94" s="105">
        <f t="shared" si="6"/>
        <v>10238.08</v>
      </c>
      <c r="K94" s="105">
        <f t="shared" si="7"/>
        <v>3613.44</v>
      </c>
    </row>
    <row r="95" spans="1:11" ht="15" customHeight="1" x14ac:dyDescent="0.2">
      <c r="A95" s="148" t="s">
        <v>266</v>
      </c>
      <c r="B95" s="130" t="s">
        <v>157</v>
      </c>
      <c r="C95" s="125">
        <f>C88</f>
        <v>13</v>
      </c>
      <c r="D95" s="125">
        <f>D88</f>
        <v>17</v>
      </c>
      <c r="E95" s="125">
        <v>6</v>
      </c>
      <c r="F95" s="126">
        <v>71.430000000000007</v>
      </c>
      <c r="G95" s="161">
        <v>69.900000000000006</v>
      </c>
      <c r="H95" s="104">
        <f t="shared" si="4"/>
        <v>70.665000000000006</v>
      </c>
      <c r="I95" s="105">
        <f t="shared" si="5"/>
        <v>918.6450000000001</v>
      </c>
      <c r="J95" s="105">
        <f t="shared" si="6"/>
        <v>1201.3050000000001</v>
      </c>
      <c r="K95" s="105">
        <f t="shared" si="7"/>
        <v>423.99</v>
      </c>
    </row>
    <row r="96" spans="1:11" ht="15" customHeight="1" x14ac:dyDescent="0.2">
      <c r="A96" s="148" t="s">
        <v>267</v>
      </c>
      <c r="B96" s="130" t="s">
        <v>157</v>
      </c>
      <c r="C96" s="125">
        <f>C88*2</f>
        <v>26</v>
      </c>
      <c r="D96" s="125">
        <f>D88*2</f>
        <v>34</v>
      </c>
      <c r="E96" s="125">
        <f>E88*2</f>
        <v>18</v>
      </c>
      <c r="F96" s="126">
        <v>39.53</v>
      </c>
      <c r="G96" s="161">
        <v>40.409999999999997</v>
      </c>
      <c r="H96" s="162">
        <f t="shared" si="4"/>
        <v>39.97</v>
      </c>
      <c r="I96" s="105">
        <f t="shared" si="5"/>
        <v>1039.22</v>
      </c>
      <c r="J96" s="105">
        <f t="shared" si="6"/>
        <v>1358.98</v>
      </c>
      <c r="K96" s="105">
        <f t="shared" si="7"/>
        <v>719.46</v>
      </c>
    </row>
    <row r="97" spans="1:11" ht="15" customHeight="1" x14ac:dyDescent="0.2">
      <c r="A97" s="163" t="s">
        <v>268</v>
      </c>
      <c r="B97" s="130" t="s">
        <v>157</v>
      </c>
      <c r="C97" s="125">
        <v>7</v>
      </c>
      <c r="D97" s="125">
        <v>0</v>
      </c>
      <c r="E97" s="125">
        <v>0</v>
      </c>
      <c r="F97" s="164">
        <v>23.07</v>
      </c>
      <c r="G97" s="165">
        <v>25.51</v>
      </c>
      <c r="H97" s="166">
        <v>24.29</v>
      </c>
      <c r="I97" s="105">
        <f t="shared" si="5"/>
        <v>170.03</v>
      </c>
      <c r="J97" s="105">
        <f t="shared" si="6"/>
        <v>0</v>
      </c>
      <c r="K97" s="105">
        <f t="shared" si="7"/>
        <v>0</v>
      </c>
    </row>
    <row r="98" spans="1:11" ht="20.25" customHeight="1" x14ac:dyDescent="0.2">
      <c r="A98" s="790" t="s">
        <v>269</v>
      </c>
      <c r="B98" s="790"/>
      <c r="C98" s="790"/>
      <c r="D98" s="790"/>
      <c r="E98" s="790"/>
      <c r="F98" s="790"/>
      <c r="G98" s="790"/>
      <c r="H98" s="790"/>
      <c r="I98" s="167">
        <f>SUM(I88:I97)</f>
        <v>51578.464999999997</v>
      </c>
      <c r="J98" s="167">
        <f>SUM(J88:J97)</f>
        <v>67226.414999999994</v>
      </c>
      <c r="K98" s="167">
        <f>SUM(K88:K97)</f>
        <v>33571.74</v>
      </c>
    </row>
    <row r="99" spans="1:11" ht="20.25" customHeight="1" x14ac:dyDescent="0.2">
      <c r="A99" s="790" t="s">
        <v>270</v>
      </c>
      <c r="B99" s="790"/>
      <c r="C99" s="790"/>
      <c r="D99" s="790"/>
      <c r="E99" s="790"/>
      <c r="F99" s="790"/>
      <c r="G99" s="790"/>
      <c r="H99" s="790"/>
      <c r="I99" s="168">
        <f>I98/120</f>
        <v>429.82054166666666</v>
      </c>
      <c r="J99" s="168">
        <f>J98/120</f>
        <v>560.22012499999994</v>
      </c>
      <c r="K99" s="168">
        <f>K98/120</f>
        <v>279.7645</v>
      </c>
    </row>
    <row r="100" spans="1:11" ht="20.25" customHeight="1" x14ac:dyDescent="0.2">
      <c r="A100" s="784" t="s">
        <v>271</v>
      </c>
      <c r="B100" s="784"/>
      <c r="C100" s="784"/>
      <c r="D100" s="784"/>
      <c r="E100" s="784"/>
      <c r="F100" s="784"/>
      <c r="G100" s="784"/>
      <c r="H100" s="784"/>
      <c r="I100" s="167">
        <f>I99/'Prod. GEXCAN'!Q18</f>
        <v>23.87891898148148</v>
      </c>
      <c r="J100" s="167">
        <f>J99/'Prod. GEXNHB'!Q23</f>
        <v>21.546927884615382</v>
      </c>
      <c r="K100" s="167">
        <f>K99/'Prod. GEXPOA'!Q11</f>
        <v>7.9932714285714281</v>
      </c>
    </row>
    <row r="101" spans="1:11" x14ac:dyDescent="0.2">
      <c r="A101" s="141"/>
      <c r="B101" s="142"/>
      <c r="E101" s="169" t="s">
        <v>272</v>
      </c>
      <c r="F101" s="169"/>
      <c r="G101" s="169"/>
      <c r="H101" s="142"/>
      <c r="I101" s="142"/>
      <c r="J101" s="142"/>
    </row>
    <row r="102" spans="1:11" x14ac:dyDescent="0.2">
      <c r="A102" s="141"/>
      <c r="B102" s="142"/>
      <c r="E102" s="169" t="s">
        <v>273</v>
      </c>
      <c r="F102" s="169"/>
      <c r="G102" s="169"/>
      <c r="H102" s="142"/>
      <c r="I102" s="142"/>
      <c r="J102" s="142"/>
    </row>
    <row r="103" spans="1:11" x14ac:dyDescent="0.2">
      <c r="A103" s="141"/>
      <c r="B103" s="142"/>
      <c r="E103" s="169" t="s">
        <v>274</v>
      </c>
      <c r="F103" s="169"/>
      <c r="G103" s="169"/>
      <c r="H103" s="142"/>
      <c r="I103" s="142"/>
      <c r="J103" s="142"/>
    </row>
    <row r="104" spans="1:11" ht="20.25" customHeight="1" x14ac:dyDescent="0.2">
      <c r="A104" s="785" t="s">
        <v>275</v>
      </c>
      <c r="B104" s="785"/>
      <c r="C104" s="785"/>
      <c r="D104" s="785"/>
      <c r="E104" s="785"/>
      <c r="F104" s="785"/>
      <c r="G104" s="785"/>
      <c r="H104" s="785"/>
      <c r="I104" s="785"/>
      <c r="J104" s="785"/>
      <c r="K104" s="785"/>
    </row>
    <row r="105" spans="1:11" s="160" customFormat="1" ht="47.25" customHeight="1" x14ac:dyDescent="0.2">
      <c r="A105" s="170" t="s">
        <v>123</v>
      </c>
      <c r="B105" s="171" t="s">
        <v>124</v>
      </c>
      <c r="C105" s="171" t="s">
        <v>276</v>
      </c>
      <c r="D105" s="171" t="s">
        <v>277</v>
      </c>
      <c r="E105" s="171" t="s">
        <v>278</v>
      </c>
      <c r="F105" s="171" t="s">
        <v>279</v>
      </c>
      <c r="G105" s="172" t="s">
        <v>280</v>
      </c>
      <c r="H105" s="172" t="s">
        <v>281</v>
      </c>
      <c r="I105" s="173" t="s">
        <v>282</v>
      </c>
      <c r="J105" s="173" t="s">
        <v>283</v>
      </c>
      <c r="K105" s="173" t="s">
        <v>284</v>
      </c>
    </row>
    <row r="106" spans="1:11" ht="20.25" customHeight="1" x14ac:dyDescent="0.2">
      <c r="A106" s="786" t="s">
        <v>285</v>
      </c>
      <c r="B106" s="786"/>
      <c r="C106" s="786"/>
      <c r="D106" s="786"/>
      <c r="E106" s="786"/>
      <c r="F106" s="786"/>
      <c r="G106" s="786"/>
      <c r="H106" s="786"/>
      <c r="I106" s="174">
        <f>SUM(I107:I112)</f>
        <v>27.875416666666666</v>
      </c>
      <c r="J106" s="174">
        <f>SUM(J107:J112)</f>
        <v>27.875416666666666</v>
      </c>
      <c r="K106" s="174">
        <f>SUM(K107:K112)</f>
        <v>27.875416666666666</v>
      </c>
    </row>
    <row r="107" spans="1:11" ht="15" customHeight="1" x14ac:dyDescent="0.2">
      <c r="A107" s="124" t="s">
        <v>286</v>
      </c>
      <c r="B107" s="125" t="s">
        <v>157</v>
      </c>
      <c r="C107" s="125">
        <v>2</v>
      </c>
      <c r="D107" s="125">
        <v>2</v>
      </c>
      <c r="E107" s="125">
        <v>2</v>
      </c>
      <c r="F107" s="164">
        <v>17.809999999999999</v>
      </c>
      <c r="G107" s="175">
        <v>24.93</v>
      </c>
      <c r="H107" s="104">
        <f t="shared" ref="H107:H112" si="8">(F107+G107)/2</f>
        <v>21.369999999999997</v>
      </c>
      <c r="I107" s="105">
        <f t="shared" ref="I107:K112" si="9">(C107*$H107)/12</f>
        <v>3.5616666666666661</v>
      </c>
      <c r="J107" s="105">
        <f t="shared" si="9"/>
        <v>3.5616666666666661</v>
      </c>
      <c r="K107" s="105">
        <f t="shared" si="9"/>
        <v>3.5616666666666661</v>
      </c>
    </row>
    <row r="108" spans="1:11" ht="15" customHeight="1" x14ac:dyDescent="0.2">
      <c r="A108" s="129" t="s">
        <v>287</v>
      </c>
      <c r="B108" s="130" t="s">
        <v>157</v>
      </c>
      <c r="C108" s="130">
        <v>1</v>
      </c>
      <c r="D108" s="130">
        <v>1</v>
      </c>
      <c r="E108" s="130">
        <v>1</v>
      </c>
      <c r="F108" s="164">
        <v>38.08</v>
      </c>
      <c r="G108" s="175">
        <v>40.880000000000003</v>
      </c>
      <c r="H108" s="104">
        <f t="shared" si="8"/>
        <v>39.480000000000004</v>
      </c>
      <c r="I108" s="105">
        <f t="shared" si="9"/>
        <v>3.2900000000000005</v>
      </c>
      <c r="J108" s="105">
        <f t="shared" si="9"/>
        <v>3.2900000000000005</v>
      </c>
      <c r="K108" s="105">
        <f t="shared" si="9"/>
        <v>3.2900000000000005</v>
      </c>
    </row>
    <row r="109" spans="1:11" ht="15" customHeight="1" x14ac:dyDescent="0.2">
      <c r="A109" s="129" t="s">
        <v>288</v>
      </c>
      <c r="B109" s="130" t="s">
        <v>157</v>
      </c>
      <c r="C109" s="130">
        <v>2</v>
      </c>
      <c r="D109" s="130">
        <v>2</v>
      </c>
      <c r="E109" s="130">
        <v>2</v>
      </c>
      <c r="F109" s="164">
        <v>48.63</v>
      </c>
      <c r="G109" s="175">
        <v>58.87</v>
      </c>
      <c r="H109" s="104">
        <f t="shared" si="8"/>
        <v>53.75</v>
      </c>
      <c r="I109" s="105">
        <f t="shared" si="9"/>
        <v>8.9583333333333339</v>
      </c>
      <c r="J109" s="105">
        <f t="shared" si="9"/>
        <v>8.9583333333333339</v>
      </c>
      <c r="K109" s="105">
        <f t="shared" si="9"/>
        <v>8.9583333333333339</v>
      </c>
    </row>
    <row r="110" spans="1:11" ht="15" customHeight="1" x14ac:dyDescent="0.2">
      <c r="A110" s="129" t="s">
        <v>289</v>
      </c>
      <c r="B110" s="130" t="s">
        <v>157</v>
      </c>
      <c r="C110" s="130">
        <v>2</v>
      </c>
      <c r="D110" s="130">
        <v>2</v>
      </c>
      <c r="E110" s="130">
        <v>2</v>
      </c>
      <c r="F110" s="164">
        <v>19.149999999999999</v>
      </c>
      <c r="G110" s="175">
        <v>28.23</v>
      </c>
      <c r="H110" s="104">
        <f t="shared" si="8"/>
        <v>23.689999999999998</v>
      </c>
      <c r="I110" s="105">
        <f t="shared" si="9"/>
        <v>3.9483333333333328</v>
      </c>
      <c r="J110" s="105">
        <f t="shared" si="9"/>
        <v>3.9483333333333328</v>
      </c>
      <c r="K110" s="105">
        <f t="shared" si="9"/>
        <v>3.9483333333333328</v>
      </c>
    </row>
    <row r="111" spans="1:11" ht="15" customHeight="1" x14ac:dyDescent="0.2">
      <c r="A111" s="135" t="s">
        <v>290</v>
      </c>
      <c r="B111" s="136" t="s">
        <v>157</v>
      </c>
      <c r="C111" s="136">
        <v>1</v>
      </c>
      <c r="D111" s="136">
        <v>1</v>
      </c>
      <c r="E111" s="136">
        <v>1</v>
      </c>
      <c r="F111" s="176">
        <v>9.18</v>
      </c>
      <c r="G111" s="177">
        <v>9.3699999999999992</v>
      </c>
      <c r="H111" s="104">
        <f t="shared" si="8"/>
        <v>9.2749999999999986</v>
      </c>
      <c r="I111" s="105">
        <f t="shared" si="9"/>
        <v>0.77291666666666659</v>
      </c>
      <c r="J111" s="105">
        <f t="shared" si="9"/>
        <v>0.77291666666666659</v>
      </c>
      <c r="K111" s="105">
        <f t="shared" si="9"/>
        <v>0.77291666666666659</v>
      </c>
    </row>
    <row r="112" spans="1:11" ht="15" customHeight="1" x14ac:dyDescent="0.2">
      <c r="A112" s="178" t="s">
        <v>291</v>
      </c>
      <c r="B112" s="179" t="s">
        <v>177</v>
      </c>
      <c r="C112" s="179">
        <v>2</v>
      </c>
      <c r="D112" s="179">
        <v>2</v>
      </c>
      <c r="E112" s="179">
        <v>2</v>
      </c>
      <c r="F112" s="180">
        <v>47.88</v>
      </c>
      <c r="G112" s="181">
        <v>40.25</v>
      </c>
      <c r="H112" s="182">
        <f t="shared" si="8"/>
        <v>44.064999999999998</v>
      </c>
      <c r="I112" s="105">
        <f t="shared" si="9"/>
        <v>7.3441666666666663</v>
      </c>
      <c r="J112" s="105">
        <f t="shared" si="9"/>
        <v>7.3441666666666663</v>
      </c>
      <c r="K112" s="105">
        <f t="shared" si="9"/>
        <v>7.3441666666666663</v>
      </c>
    </row>
    <row r="113" spans="1:11" ht="20.25" customHeight="1" x14ac:dyDescent="0.2">
      <c r="A113" s="786" t="s">
        <v>292</v>
      </c>
      <c r="B113" s="786"/>
      <c r="C113" s="786"/>
      <c r="D113" s="786"/>
      <c r="E113" s="786"/>
      <c r="F113" s="786"/>
      <c r="G113" s="786"/>
      <c r="H113" s="786"/>
      <c r="I113" s="174">
        <f>SUM(I114:I117)</f>
        <v>34.030416666666667</v>
      </c>
      <c r="J113" s="174">
        <f>SUM(J114:J117)</f>
        <v>34.030416666666667</v>
      </c>
      <c r="K113" s="174">
        <f>SUM(K114:K117)</f>
        <v>34.030416666666667</v>
      </c>
    </row>
    <row r="114" spans="1:11" ht="15" customHeight="1" x14ac:dyDescent="0.2">
      <c r="A114" s="148" t="s">
        <v>293</v>
      </c>
      <c r="B114" s="125" t="s">
        <v>157</v>
      </c>
      <c r="C114" s="125">
        <v>2</v>
      </c>
      <c r="D114" s="125">
        <v>2</v>
      </c>
      <c r="E114" s="125">
        <v>2</v>
      </c>
      <c r="F114" s="164">
        <v>52.12</v>
      </c>
      <c r="G114" s="175">
        <v>57.27</v>
      </c>
      <c r="H114" s="104">
        <f>(F114+G114)/2</f>
        <v>54.695</v>
      </c>
      <c r="I114" s="105">
        <f t="shared" ref="I114:K117" si="10">(C114*$H114)/12</f>
        <v>9.1158333333333328</v>
      </c>
      <c r="J114" s="105">
        <f t="shared" si="10"/>
        <v>9.1158333333333328</v>
      </c>
      <c r="K114" s="105">
        <f t="shared" si="10"/>
        <v>9.1158333333333328</v>
      </c>
    </row>
    <row r="115" spans="1:11" ht="15" customHeight="1" x14ac:dyDescent="0.2">
      <c r="A115" s="148" t="s">
        <v>294</v>
      </c>
      <c r="B115" s="130" t="s">
        <v>157</v>
      </c>
      <c r="C115" s="130">
        <v>2</v>
      </c>
      <c r="D115" s="130">
        <v>2</v>
      </c>
      <c r="E115" s="130">
        <v>2</v>
      </c>
      <c r="F115" s="164">
        <v>58.38</v>
      </c>
      <c r="G115" s="175">
        <v>63.97</v>
      </c>
      <c r="H115" s="104">
        <f>(F115+G115)/2</f>
        <v>61.174999999999997</v>
      </c>
      <c r="I115" s="105">
        <f t="shared" si="10"/>
        <v>10.195833333333333</v>
      </c>
      <c r="J115" s="105">
        <f t="shared" si="10"/>
        <v>10.195833333333333</v>
      </c>
      <c r="K115" s="105">
        <f t="shared" si="10"/>
        <v>10.195833333333333</v>
      </c>
    </row>
    <row r="116" spans="1:11" ht="15" customHeight="1" x14ac:dyDescent="0.2">
      <c r="A116" s="148" t="s">
        <v>295</v>
      </c>
      <c r="B116" s="130" t="s">
        <v>157</v>
      </c>
      <c r="C116" s="130">
        <v>1</v>
      </c>
      <c r="D116" s="130">
        <v>1</v>
      </c>
      <c r="E116" s="130">
        <v>1</v>
      </c>
      <c r="F116" s="164">
        <v>9.18</v>
      </c>
      <c r="G116" s="175">
        <v>9.3699999999999992</v>
      </c>
      <c r="H116" s="104">
        <f>(F116+G116)/2</f>
        <v>9.2749999999999986</v>
      </c>
      <c r="I116" s="105">
        <f t="shared" si="10"/>
        <v>0.77291666666666659</v>
      </c>
      <c r="J116" s="105">
        <f t="shared" si="10"/>
        <v>0.77291666666666659</v>
      </c>
      <c r="K116" s="105">
        <f t="shared" si="10"/>
        <v>0.77291666666666659</v>
      </c>
    </row>
    <row r="117" spans="1:11" ht="15" customHeight="1" x14ac:dyDescent="0.2">
      <c r="A117" s="149" t="s">
        <v>296</v>
      </c>
      <c r="B117" s="136" t="s">
        <v>177</v>
      </c>
      <c r="C117" s="136">
        <v>2</v>
      </c>
      <c r="D117" s="136">
        <v>2</v>
      </c>
      <c r="E117" s="136">
        <v>2</v>
      </c>
      <c r="F117" s="176">
        <v>82.38</v>
      </c>
      <c r="G117" s="177">
        <v>84.97</v>
      </c>
      <c r="H117" s="104">
        <f>(F117+G117)/2</f>
        <v>83.674999999999997</v>
      </c>
      <c r="I117" s="105">
        <f t="shared" si="10"/>
        <v>13.945833333333333</v>
      </c>
      <c r="J117" s="105">
        <f t="shared" si="10"/>
        <v>13.945833333333333</v>
      </c>
      <c r="K117" s="105">
        <f t="shared" si="10"/>
        <v>13.945833333333333</v>
      </c>
    </row>
    <row r="118" spans="1:11" ht="20.25" customHeight="1" x14ac:dyDescent="0.2">
      <c r="A118" s="779" t="s">
        <v>297</v>
      </c>
      <c r="B118" s="779"/>
      <c r="C118" s="779"/>
      <c r="D118" s="779"/>
      <c r="E118" s="779"/>
      <c r="F118" s="779"/>
      <c r="G118" s="779"/>
      <c r="H118" s="779"/>
      <c r="I118" s="183">
        <f>I106</f>
        <v>27.875416666666666</v>
      </c>
      <c r="J118" s="183">
        <f>J106</f>
        <v>27.875416666666666</v>
      </c>
      <c r="K118" s="183">
        <f>K106</f>
        <v>27.875416666666666</v>
      </c>
    </row>
    <row r="119" spans="1:11" ht="20.25" customHeight="1" x14ac:dyDescent="0.2">
      <c r="A119" s="779" t="s">
        <v>298</v>
      </c>
      <c r="B119" s="779"/>
      <c r="C119" s="779"/>
      <c r="D119" s="779"/>
      <c r="E119" s="779"/>
      <c r="F119" s="779"/>
      <c r="G119" s="779"/>
      <c r="H119" s="779"/>
      <c r="I119" s="183">
        <f>I113</f>
        <v>34.030416666666667</v>
      </c>
      <c r="J119" s="183">
        <f>J113</f>
        <v>34.030416666666667</v>
      </c>
      <c r="K119" s="183">
        <f>K113</f>
        <v>34.030416666666667</v>
      </c>
    </row>
    <row r="120" spans="1:11" x14ac:dyDescent="0.2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</row>
    <row r="121" spans="1:11" ht="20.25" customHeight="1" x14ac:dyDescent="0.2">
      <c r="A121" s="780" t="s">
        <v>299</v>
      </c>
      <c r="B121" s="780"/>
      <c r="C121" s="780"/>
      <c r="D121" s="780"/>
      <c r="E121" s="780"/>
      <c r="F121" s="780"/>
      <c r="G121" s="780"/>
      <c r="H121" s="780"/>
      <c r="I121" s="780"/>
    </row>
    <row r="122" spans="1:11" s="160" customFormat="1" ht="59.25" customHeight="1" x14ac:dyDescent="0.2">
      <c r="A122" s="184" t="s">
        <v>123</v>
      </c>
      <c r="B122" s="185" t="s">
        <v>124</v>
      </c>
      <c r="C122" s="185" t="s">
        <v>300</v>
      </c>
      <c r="D122" s="185" t="s">
        <v>301</v>
      </c>
      <c r="E122" s="185" t="s">
        <v>231</v>
      </c>
      <c r="F122" s="186" t="s">
        <v>302</v>
      </c>
      <c r="G122" s="186" t="s">
        <v>281</v>
      </c>
      <c r="H122" s="187" t="s">
        <v>303</v>
      </c>
      <c r="I122" s="187" t="s">
        <v>304</v>
      </c>
    </row>
    <row r="123" spans="1:11" ht="20.25" customHeight="1" x14ac:dyDescent="0.2">
      <c r="A123" s="781" t="s">
        <v>305</v>
      </c>
      <c r="B123" s="781"/>
      <c r="C123" s="781"/>
      <c r="D123" s="781"/>
      <c r="E123" s="781"/>
      <c r="F123" s="781"/>
      <c r="G123" s="781"/>
      <c r="H123" s="188">
        <f>SUM(H124:H128)</f>
        <v>122.52333333333333</v>
      </c>
      <c r="I123" s="188">
        <f>SUM(I124:I128)</f>
        <v>142.21333333333334</v>
      </c>
    </row>
    <row r="124" spans="1:11" ht="15" customHeight="1" x14ac:dyDescent="0.2">
      <c r="A124" s="148" t="s">
        <v>306</v>
      </c>
      <c r="B124" s="189" t="s">
        <v>157</v>
      </c>
      <c r="C124" s="125">
        <f>22</f>
        <v>22</v>
      </c>
      <c r="D124" s="125">
        <f>22</f>
        <v>22</v>
      </c>
      <c r="E124" s="164">
        <v>2.83</v>
      </c>
      <c r="F124" s="126">
        <v>4.34</v>
      </c>
      <c r="G124" s="104">
        <f>(E124+F124)/2</f>
        <v>3.585</v>
      </c>
      <c r="H124" s="190">
        <f>C124*G124</f>
        <v>78.87</v>
      </c>
      <c r="I124" s="191">
        <f>D124*G124</f>
        <v>78.87</v>
      </c>
    </row>
    <row r="125" spans="1:11" ht="15" customHeight="1" x14ac:dyDescent="0.2">
      <c r="A125" s="148" t="s">
        <v>307</v>
      </c>
      <c r="B125" s="192" t="s">
        <v>157</v>
      </c>
      <c r="C125" s="193">
        <f>1/6</f>
        <v>0.16666666666666666</v>
      </c>
      <c r="D125" s="194">
        <f>1/6</f>
        <v>0.16666666666666666</v>
      </c>
      <c r="E125" s="164">
        <v>9.4499999999999993</v>
      </c>
      <c r="F125" s="126">
        <v>7.51</v>
      </c>
      <c r="G125" s="195">
        <f>(E125+F125)/2</f>
        <v>8.48</v>
      </c>
      <c r="H125" s="196">
        <f>C125*G125</f>
        <v>1.4133333333333333</v>
      </c>
      <c r="I125" s="191">
        <f>D125*G125</f>
        <v>1.4133333333333333</v>
      </c>
    </row>
    <row r="126" spans="1:11" ht="15" customHeight="1" x14ac:dyDescent="0.2">
      <c r="A126" s="148" t="s">
        <v>308</v>
      </c>
      <c r="B126" s="192" t="s">
        <v>177</v>
      </c>
      <c r="C126" s="130">
        <f>2*22</f>
        <v>44</v>
      </c>
      <c r="D126" s="125">
        <f>3*22</f>
        <v>66</v>
      </c>
      <c r="E126" s="164">
        <v>0.61</v>
      </c>
      <c r="F126" s="126">
        <v>0.54</v>
      </c>
      <c r="G126" s="195">
        <f>(E126+F126)/2</f>
        <v>0.57499999999999996</v>
      </c>
      <c r="H126" s="196">
        <f>C126*G126</f>
        <v>25.299999999999997</v>
      </c>
      <c r="I126" s="191">
        <f>D126*G126</f>
        <v>37.949999999999996</v>
      </c>
    </row>
    <row r="127" spans="1:11" ht="15" customHeight="1" x14ac:dyDescent="0.2">
      <c r="A127" s="148" t="s">
        <v>309</v>
      </c>
      <c r="B127" s="192" t="s">
        <v>157</v>
      </c>
      <c r="C127" s="136">
        <f>2*22</f>
        <v>44</v>
      </c>
      <c r="D127" s="197">
        <f>3*22</f>
        <v>66</v>
      </c>
      <c r="E127" s="176">
        <v>0.23</v>
      </c>
      <c r="F127" s="126">
        <v>0.41</v>
      </c>
      <c r="G127" s="195">
        <f>(E127+F127)/2</f>
        <v>0.32</v>
      </c>
      <c r="H127" s="196">
        <f>C127*G127</f>
        <v>14.08</v>
      </c>
      <c r="I127" s="191">
        <f>D127*G127</f>
        <v>21.12</v>
      </c>
    </row>
    <row r="128" spans="1:11" ht="15" customHeight="1" x14ac:dyDescent="0.2">
      <c r="A128" s="149" t="s">
        <v>310</v>
      </c>
      <c r="B128" s="198" t="s">
        <v>157</v>
      </c>
      <c r="C128" s="136">
        <f>22</f>
        <v>22</v>
      </c>
      <c r="D128" s="136">
        <f>22</f>
        <v>22</v>
      </c>
      <c r="E128" s="199">
        <v>0.13</v>
      </c>
      <c r="F128" s="137">
        <v>0.13</v>
      </c>
      <c r="G128" s="200">
        <f>(E128+F128)/2</f>
        <v>0.13</v>
      </c>
      <c r="H128" s="201">
        <f>C128*G128</f>
        <v>2.8600000000000003</v>
      </c>
      <c r="I128" s="191">
        <f>D128*G128</f>
        <v>2.8600000000000003</v>
      </c>
    </row>
    <row r="129" spans="1:9" s="160" customFormat="1" ht="56.25" customHeight="1" x14ac:dyDescent="0.2">
      <c r="A129" s="202" t="s">
        <v>123</v>
      </c>
      <c r="B129" s="203" t="s">
        <v>124</v>
      </c>
      <c r="C129" s="203" t="s">
        <v>311</v>
      </c>
      <c r="D129" s="203" t="s">
        <v>312</v>
      </c>
      <c r="E129" s="203" t="s">
        <v>313</v>
      </c>
      <c r="F129" s="204" t="s">
        <v>302</v>
      </c>
      <c r="G129" s="204" t="s">
        <v>281</v>
      </c>
      <c r="H129" s="205" t="s">
        <v>303</v>
      </c>
      <c r="I129" s="205" t="s">
        <v>304</v>
      </c>
    </row>
    <row r="130" spans="1:9" ht="20.25" customHeight="1" x14ac:dyDescent="0.2">
      <c r="A130" s="782" t="s">
        <v>314</v>
      </c>
      <c r="B130" s="782"/>
      <c r="C130" s="782"/>
      <c r="D130" s="782"/>
      <c r="E130" s="782"/>
      <c r="F130" s="782"/>
      <c r="G130" s="782"/>
      <c r="H130" s="206">
        <f>SUM(H131:H134)</f>
        <v>25.446666666666665</v>
      </c>
      <c r="I130" s="206">
        <f>SUM(I131:I134)</f>
        <v>36.666666666666671</v>
      </c>
    </row>
    <row r="131" spans="1:9" ht="15" customHeight="1" x14ac:dyDescent="0.2">
      <c r="A131" s="148" t="s">
        <v>315</v>
      </c>
      <c r="B131" s="125" t="s">
        <v>157</v>
      </c>
      <c r="C131" s="194">
        <v>1</v>
      </c>
      <c r="D131" s="194">
        <v>1</v>
      </c>
      <c r="E131" s="164">
        <v>11.69</v>
      </c>
      <c r="F131" s="126">
        <v>10</v>
      </c>
      <c r="G131" s="104">
        <f>(E131+F131)/2</f>
        <v>10.844999999999999</v>
      </c>
      <c r="H131" s="190">
        <f>(C131*G131)/12</f>
        <v>0.90374999999999994</v>
      </c>
      <c r="I131" s="190">
        <f>(D131*G131)/12</f>
        <v>0.90374999999999994</v>
      </c>
    </row>
    <row r="132" spans="1:9" ht="15" customHeight="1" x14ac:dyDescent="0.2">
      <c r="A132" s="148" t="s">
        <v>316</v>
      </c>
      <c r="B132" s="130" t="s">
        <v>177</v>
      </c>
      <c r="C132" s="193">
        <v>2</v>
      </c>
      <c r="D132" s="193">
        <v>2</v>
      </c>
      <c r="E132" s="164">
        <v>10.07</v>
      </c>
      <c r="F132" s="126">
        <v>10.98</v>
      </c>
      <c r="G132" s="195">
        <f>(E132+F132)/2</f>
        <v>10.525</v>
      </c>
      <c r="H132" s="190">
        <f>(C132*G132)/12</f>
        <v>1.7541666666666667</v>
      </c>
      <c r="I132" s="190">
        <f>(D132*G132)/12</f>
        <v>1.7541666666666667</v>
      </c>
    </row>
    <row r="133" spans="1:9" ht="15" customHeight="1" x14ac:dyDescent="0.2">
      <c r="A133" s="148" t="s">
        <v>309</v>
      </c>
      <c r="B133" s="130" t="s">
        <v>157</v>
      </c>
      <c r="C133" s="130">
        <f>2*22*12</f>
        <v>528</v>
      </c>
      <c r="D133" s="130">
        <f>3*22*12</f>
        <v>792</v>
      </c>
      <c r="E133" s="164">
        <v>0.61</v>
      </c>
      <c r="F133" s="126">
        <v>0.41</v>
      </c>
      <c r="G133" s="195">
        <f>(E133+F133)/2</f>
        <v>0.51</v>
      </c>
      <c r="H133" s="190">
        <f>(C133*G133)/12</f>
        <v>22.44</v>
      </c>
      <c r="I133" s="190">
        <f>(D133*G133)/12</f>
        <v>33.660000000000004</v>
      </c>
    </row>
    <row r="134" spans="1:9" ht="15" customHeight="1" x14ac:dyDescent="0.2">
      <c r="A134" s="148" t="s">
        <v>317</v>
      </c>
      <c r="B134" s="130" t="s">
        <v>157</v>
      </c>
      <c r="C134" s="193">
        <v>1</v>
      </c>
      <c r="D134" s="193">
        <v>1</v>
      </c>
      <c r="E134" s="164">
        <v>4.62</v>
      </c>
      <c r="F134" s="126">
        <v>3.75</v>
      </c>
      <c r="G134" s="195">
        <f>(E134+F134)/2</f>
        <v>4.1850000000000005</v>
      </c>
      <c r="H134" s="190">
        <f>(C134*G134)/12</f>
        <v>0.34875000000000006</v>
      </c>
      <c r="I134" s="190">
        <f>(D134*G134)/12</f>
        <v>0.34875000000000006</v>
      </c>
    </row>
    <row r="135" spans="1:9" x14ac:dyDescent="0.2">
      <c r="A135" s="141"/>
      <c r="B135" s="142"/>
      <c r="C135" s="142"/>
      <c r="D135" s="142"/>
      <c r="E135" s="142"/>
      <c r="F135" s="142"/>
      <c r="G135" s="142"/>
    </row>
    <row r="136" spans="1:9" ht="12.75" customHeight="1" x14ac:dyDescent="0.2">
      <c r="A136" s="783" t="s">
        <v>318</v>
      </c>
      <c r="B136" s="783"/>
      <c r="C136" s="783"/>
      <c r="D136" s="783"/>
      <c r="E136" s="783"/>
      <c r="F136" s="783"/>
      <c r="G136" s="142"/>
    </row>
    <row r="137" spans="1:9" ht="12.75" customHeight="1" x14ac:dyDescent="0.2">
      <c r="A137" s="207" t="s">
        <v>306</v>
      </c>
      <c r="B137" s="776" t="s">
        <v>319</v>
      </c>
      <c r="C137" s="776"/>
      <c r="D137" s="776"/>
      <c r="E137" s="776"/>
      <c r="F137" s="776"/>
      <c r="G137" s="142"/>
    </row>
    <row r="138" spans="1:9" ht="12.75" customHeight="1" x14ac:dyDescent="0.2">
      <c r="A138" s="207" t="s">
        <v>307</v>
      </c>
      <c r="B138" s="776" t="s">
        <v>320</v>
      </c>
      <c r="C138" s="776"/>
      <c r="D138" s="776"/>
      <c r="E138" s="776"/>
      <c r="F138" s="776"/>
      <c r="G138" s="142"/>
    </row>
    <row r="139" spans="1:9" ht="12.75" customHeight="1" x14ac:dyDescent="0.2">
      <c r="A139" s="207" t="s">
        <v>308</v>
      </c>
      <c r="B139" s="776" t="s">
        <v>321</v>
      </c>
      <c r="C139" s="776"/>
      <c r="D139" s="776"/>
      <c r="E139" s="776"/>
      <c r="F139" s="776"/>
      <c r="G139" s="142"/>
    </row>
    <row r="140" spans="1:9" ht="12.75" customHeight="1" x14ac:dyDescent="0.2">
      <c r="A140" s="207" t="s">
        <v>309</v>
      </c>
      <c r="B140" s="776" t="s">
        <v>322</v>
      </c>
      <c r="C140" s="776"/>
      <c r="D140" s="776"/>
      <c r="E140" s="776"/>
      <c r="F140" s="776"/>
      <c r="G140" s="142"/>
    </row>
    <row r="141" spans="1:9" ht="12.75" customHeight="1" x14ac:dyDescent="0.2">
      <c r="A141" s="207" t="s">
        <v>310</v>
      </c>
      <c r="B141" s="776" t="s">
        <v>319</v>
      </c>
      <c r="C141" s="776"/>
      <c r="D141" s="776"/>
      <c r="E141" s="776"/>
      <c r="F141" s="776"/>
      <c r="G141" s="142"/>
    </row>
    <row r="142" spans="1:9" ht="12.75" customHeight="1" x14ac:dyDescent="0.2">
      <c r="A142" s="207" t="s">
        <v>323</v>
      </c>
      <c r="B142" s="776" t="s">
        <v>324</v>
      </c>
      <c r="C142" s="776"/>
      <c r="D142" s="776"/>
      <c r="E142" s="776"/>
      <c r="F142" s="776"/>
      <c r="G142" s="142"/>
    </row>
    <row r="143" spans="1:9" ht="12.75" customHeight="1" x14ac:dyDescent="0.2">
      <c r="A143" s="207" t="s">
        <v>325</v>
      </c>
      <c r="B143" s="776" t="s">
        <v>326</v>
      </c>
      <c r="C143" s="776"/>
      <c r="D143" s="776"/>
      <c r="E143" s="776"/>
      <c r="F143" s="776"/>
      <c r="G143" s="142"/>
      <c r="H143" s="142"/>
    </row>
    <row r="144" spans="1:9" ht="12.75" customHeight="1" x14ac:dyDescent="0.2">
      <c r="A144" s="207" t="s">
        <v>327</v>
      </c>
      <c r="B144" s="776" t="s">
        <v>328</v>
      </c>
      <c r="C144" s="776"/>
      <c r="D144" s="776"/>
      <c r="E144" s="776"/>
      <c r="F144" s="776"/>
      <c r="G144" s="142"/>
      <c r="H144" s="142"/>
    </row>
    <row r="145" spans="1:8" x14ac:dyDescent="0.2">
      <c r="A145" s="141"/>
      <c r="B145" s="142"/>
      <c r="C145" s="142"/>
      <c r="D145" s="142"/>
      <c r="E145" s="142"/>
      <c r="F145" s="142"/>
      <c r="G145" s="142"/>
      <c r="H145" s="142"/>
    </row>
    <row r="146" spans="1:8" ht="20.25" customHeight="1" x14ac:dyDescent="0.2">
      <c r="A146" s="777" t="s">
        <v>329</v>
      </c>
      <c r="B146" s="777"/>
      <c r="C146" s="777"/>
      <c r="D146" s="777"/>
      <c r="E146" s="777"/>
      <c r="F146" s="777"/>
      <c r="G146" s="777"/>
      <c r="H146" s="208">
        <f>SUM(H147:H147)</f>
        <v>50.323333333333331</v>
      </c>
    </row>
    <row r="147" spans="1:8" ht="15" customHeight="1" x14ac:dyDescent="0.2">
      <c r="A147" s="209" t="s">
        <v>330</v>
      </c>
      <c r="B147" s="210" t="s">
        <v>157</v>
      </c>
      <c r="C147" s="210">
        <v>1</v>
      </c>
      <c r="D147" s="778">
        <f>(54.99+39.99+55.99)/3</f>
        <v>50.323333333333331</v>
      </c>
      <c r="E147" s="778"/>
      <c r="F147" s="778"/>
      <c r="G147" s="778"/>
      <c r="H147" s="211">
        <f>D147</f>
        <v>50.323333333333331</v>
      </c>
    </row>
  </sheetData>
  <mergeCells count="30">
    <mergeCell ref="A1:H1"/>
    <mergeCell ref="A37:F37"/>
    <mergeCell ref="A38:H38"/>
    <mergeCell ref="A59:F59"/>
    <mergeCell ref="A60:F60"/>
    <mergeCell ref="A62:H62"/>
    <mergeCell ref="A70:F70"/>
    <mergeCell ref="A86:K86"/>
    <mergeCell ref="A98:H98"/>
    <mergeCell ref="A99:H99"/>
    <mergeCell ref="A100:H100"/>
    <mergeCell ref="A104:K104"/>
    <mergeCell ref="A106:H106"/>
    <mergeCell ref="A113:H113"/>
    <mergeCell ref="A118:H118"/>
    <mergeCell ref="A119:H119"/>
    <mergeCell ref="A121:I121"/>
    <mergeCell ref="A123:G123"/>
    <mergeCell ref="A130:G130"/>
    <mergeCell ref="A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A146:G146"/>
    <mergeCell ref="D147:G14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J51"/>
  <sheetViews>
    <sheetView showGridLines="0" tabSelected="1" topLeftCell="D10" zoomScale="80" zoomScaleNormal="80" workbookViewId="0">
      <selection activeCell="AE47" sqref="AE47"/>
    </sheetView>
  </sheetViews>
  <sheetFormatPr defaultRowHeight="15" x14ac:dyDescent="0.25"/>
  <cols>
    <col min="1" max="1" width="31" customWidth="1"/>
    <col min="2" max="2" width="30.375" customWidth="1"/>
    <col min="3" max="3" width="24.5" customWidth="1"/>
    <col min="4" max="5" width="8.625" customWidth="1"/>
    <col min="6" max="6" width="8" customWidth="1"/>
    <col min="7" max="7" width="9.125" style="212" customWidth="1"/>
    <col min="8" max="8" width="8.5" customWidth="1"/>
    <col min="9" max="9" width="8.5" style="212" customWidth="1"/>
    <col min="10" max="10" width="6.625" customWidth="1"/>
    <col min="11" max="11" width="7.875" style="212" customWidth="1"/>
    <col min="12" max="12" width="7.375" customWidth="1"/>
    <col min="13" max="13" width="9.25" style="212" customWidth="1"/>
    <col min="14" max="14" width="7" customWidth="1"/>
    <col min="15" max="15" width="8.25" style="212" customWidth="1"/>
    <col min="16" max="16" width="7.375" customWidth="1"/>
    <col min="17" max="17" width="7.5" style="212" customWidth="1"/>
    <col min="18" max="18" width="7.375" customWidth="1"/>
    <col min="19" max="19" width="8.625" style="212" customWidth="1"/>
    <col min="20" max="20" width="6.875" customWidth="1"/>
    <col min="21" max="21" width="7.5" style="212" customWidth="1"/>
    <col min="22" max="22" width="7.375" customWidth="1"/>
    <col min="23" max="23" width="7.5" style="212" customWidth="1"/>
    <col min="24" max="24" width="7.375" customWidth="1"/>
    <col min="25" max="25" width="8.875" style="212" customWidth="1"/>
    <col min="26" max="26" width="7.25" customWidth="1"/>
    <col min="27" max="27" width="12.375" customWidth="1"/>
    <col min="28" max="29" width="11.5"/>
    <col min="30" max="30" width="13.375" customWidth="1"/>
    <col min="31" max="31" width="12.625" customWidth="1"/>
    <col min="32" max="1013" width="10.625" customWidth="1"/>
    <col min="1014" max="1025" width="10.5" customWidth="1"/>
  </cols>
  <sheetData>
    <row r="1" spans="1:1024" ht="23.25" x14ac:dyDescent="0.2">
      <c r="A1" s="213"/>
      <c r="B1" s="213"/>
      <c r="C1" s="213"/>
      <c r="D1" s="213"/>
      <c r="E1" s="214"/>
      <c r="F1" s="214"/>
      <c r="G1" s="4"/>
      <c r="H1" s="214"/>
      <c r="I1" s="4"/>
      <c r="J1" s="214"/>
      <c r="K1" s="4"/>
      <c r="L1" s="214"/>
      <c r="M1" s="4"/>
      <c r="N1" s="214"/>
      <c r="O1" s="4"/>
      <c r="P1" s="214"/>
      <c r="Q1" s="4"/>
      <c r="R1" s="214"/>
      <c r="S1" s="4"/>
      <c r="T1" s="214"/>
      <c r="U1" s="4"/>
      <c r="V1" s="214"/>
      <c r="W1" s="4"/>
      <c r="X1" s="214"/>
      <c r="Y1" s="4"/>
      <c r="Z1" s="214"/>
      <c r="AA1" s="214"/>
      <c r="AB1" s="214"/>
      <c r="AC1" s="214"/>
      <c r="AD1" s="214"/>
      <c r="AE1" s="214"/>
    </row>
    <row r="2" spans="1:1024" ht="15" customHeight="1" x14ac:dyDescent="0.2">
      <c r="A2" s="215"/>
      <c r="B2" s="215"/>
      <c r="C2" s="215"/>
      <c r="D2" s="215"/>
      <c r="E2" s="801" t="s">
        <v>331</v>
      </c>
      <c r="F2" s="801"/>
      <c r="G2" s="801"/>
      <c r="H2" s="801"/>
      <c r="I2" s="801"/>
      <c r="J2" s="801"/>
      <c r="K2" s="801"/>
      <c r="L2" s="801"/>
      <c r="M2" s="801"/>
      <c r="N2" s="801"/>
      <c r="O2" s="802" t="s">
        <v>332</v>
      </c>
      <c r="P2" s="802"/>
      <c r="Q2" s="802"/>
      <c r="R2" s="802"/>
      <c r="S2" s="802"/>
      <c r="T2" s="802"/>
      <c r="U2" s="803" t="s">
        <v>333</v>
      </c>
      <c r="V2" s="803"/>
      <c r="W2" s="803"/>
      <c r="X2" s="803"/>
      <c r="Y2" s="803"/>
      <c r="Z2" s="803"/>
      <c r="AA2" s="216" t="s">
        <v>334</v>
      </c>
      <c r="AB2" s="216" t="s">
        <v>335</v>
      </c>
      <c r="AC2" s="216" t="s">
        <v>336</v>
      </c>
      <c r="AD2" s="216" t="s">
        <v>337</v>
      </c>
      <c r="AE2" s="216" t="s">
        <v>338</v>
      </c>
    </row>
    <row r="3" spans="1:1024" ht="59.25" customHeight="1" x14ac:dyDescent="0.2">
      <c r="A3" s="804" t="s">
        <v>339</v>
      </c>
      <c r="B3" s="804"/>
      <c r="C3" s="804"/>
      <c r="D3" s="805" t="s">
        <v>340</v>
      </c>
      <c r="E3" s="806" t="s">
        <v>341</v>
      </c>
      <c r="F3" s="806"/>
      <c r="G3" s="807" t="s">
        <v>342</v>
      </c>
      <c r="H3" s="807"/>
      <c r="I3" s="808" t="s">
        <v>343</v>
      </c>
      <c r="J3" s="808"/>
      <c r="K3" s="808" t="s">
        <v>344</v>
      </c>
      <c r="L3" s="808"/>
      <c r="M3" s="808" t="s">
        <v>345</v>
      </c>
      <c r="N3" s="808"/>
      <c r="O3" s="809" t="s">
        <v>346</v>
      </c>
      <c r="P3" s="809"/>
      <c r="Q3" s="810" t="s">
        <v>347</v>
      </c>
      <c r="R3" s="810"/>
      <c r="S3" s="809" t="s">
        <v>348</v>
      </c>
      <c r="T3" s="809"/>
      <c r="U3" s="811" t="s">
        <v>349</v>
      </c>
      <c r="V3" s="811"/>
      <c r="W3" s="811" t="s">
        <v>350</v>
      </c>
      <c r="X3" s="811"/>
      <c r="Y3" s="812" t="s">
        <v>351</v>
      </c>
      <c r="Z3" s="812"/>
      <c r="AA3" s="796" t="s">
        <v>352</v>
      </c>
      <c r="AB3" s="797" t="s">
        <v>353</v>
      </c>
      <c r="AC3" s="798" t="s">
        <v>354</v>
      </c>
      <c r="AD3" s="799" t="s">
        <v>355</v>
      </c>
      <c r="AE3" s="800" t="s">
        <v>356</v>
      </c>
    </row>
    <row r="4" spans="1:1024" ht="33.6" customHeight="1" x14ac:dyDescent="0.2">
      <c r="A4" s="804"/>
      <c r="B4" s="804"/>
      <c r="C4" s="804"/>
      <c r="D4" s="805"/>
      <c r="E4" s="806"/>
      <c r="F4" s="806"/>
      <c r="G4" s="807"/>
      <c r="H4" s="807"/>
      <c r="I4" s="808"/>
      <c r="J4" s="808"/>
      <c r="K4" s="808"/>
      <c r="L4" s="808"/>
      <c r="M4" s="808"/>
      <c r="N4" s="808"/>
      <c r="O4" s="809"/>
      <c r="P4" s="809"/>
      <c r="Q4" s="810"/>
      <c r="R4" s="810"/>
      <c r="S4" s="809"/>
      <c r="T4" s="809"/>
      <c r="U4" s="811"/>
      <c r="V4" s="811"/>
      <c r="W4" s="811"/>
      <c r="X4" s="811"/>
      <c r="Y4" s="812"/>
      <c r="Z4" s="812"/>
      <c r="AA4" s="796"/>
      <c r="AB4" s="797"/>
      <c r="AC4" s="798"/>
      <c r="AD4" s="799"/>
      <c r="AE4" s="800"/>
    </row>
    <row r="5" spans="1:1024" ht="31.7" customHeight="1" x14ac:dyDescent="0.2">
      <c r="A5" s="804"/>
      <c r="B5" s="804"/>
      <c r="C5" s="804"/>
      <c r="D5" s="805"/>
      <c r="E5" s="217" t="s">
        <v>357</v>
      </c>
      <c r="F5" s="218" t="s">
        <v>358</v>
      </c>
      <c r="G5" s="217" t="s">
        <v>357</v>
      </c>
      <c r="H5" s="218" t="s">
        <v>358</v>
      </c>
      <c r="I5" s="217" t="s">
        <v>357</v>
      </c>
      <c r="J5" s="218" t="s">
        <v>358</v>
      </c>
      <c r="K5" s="217" t="s">
        <v>357</v>
      </c>
      <c r="L5" s="218" t="s">
        <v>358</v>
      </c>
      <c r="M5" s="217" t="s">
        <v>357</v>
      </c>
      <c r="N5" s="218" t="s">
        <v>358</v>
      </c>
      <c r="O5" s="219" t="s">
        <v>357</v>
      </c>
      <c r="P5" s="219" t="s">
        <v>358</v>
      </c>
      <c r="Q5" s="219" t="s">
        <v>357</v>
      </c>
      <c r="R5" s="219" t="s">
        <v>358</v>
      </c>
      <c r="S5" s="219" t="s">
        <v>357</v>
      </c>
      <c r="T5" s="219" t="s">
        <v>358</v>
      </c>
      <c r="U5" s="220" t="s">
        <v>357</v>
      </c>
      <c r="V5" s="220" t="s">
        <v>358</v>
      </c>
      <c r="W5" s="220" t="s">
        <v>357</v>
      </c>
      <c r="X5" s="220" t="s">
        <v>358</v>
      </c>
      <c r="Y5" s="220" t="s">
        <v>357</v>
      </c>
      <c r="Z5" s="221" t="s">
        <v>358</v>
      </c>
      <c r="AA5" s="222" t="s">
        <v>359</v>
      </c>
      <c r="AB5" s="223" t="s">
        <v>359</v>
      </c>
      <c r="AC5" s="224" t="s">
        <v>359</v>
      </c>
      <c r="AD5" s="225" t="s">
        <v>359</v>
      </c>
      <c r="AE5" s="226" t="s">
        <v>359</v>
      </c>
    </row>
    <row r="6" spans="1:1024" ht="14.25" x14ac:dyDescent="0.2">
      <c r="A6" s="227" t="s">
        <v>360</v>
      </c>
      <c r="B6" s="228" t="s">
        <v>361</v>
      </c>
      <c r="C6" s="229" t="s">
        <v>362</v>
      </c>
      <c r="D6" s="230">
        <f>MC!C71</f>
        <v>0.03</v>
      </c>
      <c r="E6" s="231">
        <f>'Prod. GEXCAN'!D4</f>
        <v>887.45399999999995</v>
      </c>
      <c r="F6" s="232">
        <f>'GEXCAN Limp.Ord.'!H$149</f>
        <v>4.8798289306653313</v>
      </c>
      <c r="G6" s="231">
        <f>'Prod. GEXCAN'!E4</f>
        <v>602.89599999999996</v>
      </c>
      <c r="H6" s="232">
        <f>'GEXCAN Limp.Ord.'!H$155</f>
        <v>5.4178015251204252</v>
      </c>
      <c r="I6" s="231">
        <f>'Prod. GEXCAN'!F4</f>
        <v>31.9</v>
      </c>
      <c r="J6" s="232">
        <f>'GEXCAN Limp.Ord.'!H$161</f>
        <v>1.91289294082081</v>
      </c>
      <c r="K6" s="231">
        <f>'Prod. GEXCAN'!G4</f>
        <v>44</v>
      </c>
      <c r="L6" s="232">
        <f>'GEXCAN Limp.Ord.'!H$167</f>
        <v>3.1881549013680166</v>
      </c>
      <c r="M6" s="231">
        <f>'Prod. GEXCAN'!H4</f>
        <v>96.2</v>
      </c>
      <c r="N6" s="232">
        <f>'GEXCAN Limp.Ord.'!H$173</f>
        <v>21.237781978472064</v>
      </c>
      <c r="O6" s="231">
        <f>'Prod. GEXCAN'!I4</f>
        <v>81.72</v>
      </c>
      <c r="P6" s="232">
        <f>'GEXCAN Limp.Ord.'!H$179</f>
        <v>2.2772535009771544</v>
      </c>
      <c r="Q6" s="231">
        <f>'Prod. GEXCAN'!J4</f>
        <v>333.78</v>
      </c>
      <c r="R6" s="232">
        <f>'GEXCAN Limp.Ord.'!H$182</f>
        <v>4.7822323520520252E-2</v>
      </c>
      <c r="S6" s="231">
        <f>'Prod. GEXCAN'!K4</f>
        <v>1116.3499999999999</v>
      </c>
      <c r="T6" s="232">
        <f>'GEXCAN Limp.Ord.'!H$185</f>
        <v>0.63763098027360332</v>
      </c>
      <c r="U6" s="231">
        <f>'Prod. GEXCAN'!L4</f>
        <v>0</v>
      </c>
      <c r="V6" s="232">
        <f>'GEXCAN Limp.Ord.'!H$191</f>
        <v>0.26112271364210926</v>
      </c>
      <c r="W6" s="231">
        <f>'Prod. GEXCAN'!M4</f>
        <v>150.505</v>
      </c>
      <c r="X6" s="232">
        <f>'GEXCAN Limp.Ord.'!H$194</f>
        <v>1.0667363406725388</v>
      </c>
      <c r="Y6" s="231">
        <f>'Prod. GEXCAN'!N4</f>
        <v>150.505</v>
      </c>
      <c r="Z6" s="232">
        <f>'GEXCAN Limp.Ord.'!H$197</f>
        <v>1.0667363406725388</v>
      </c>
      <c r="AA6" s="233">
        <f t="shared" ref="AA6:AA18" si="0">(E6*F6)+(G6*H6)+(I6*J6)+(K6*L6)+(M6*N6)+(O6*P6)+(Q6*R6)+(S6*T6)+(U6*V6)+(W6*X6)+(Y6*Z6)</f>
        <v>11076.346240903873</v>
      </c>
      <c r="AB6" s="234">
        <f>('GEXCAN Covid'!C$131*'Prod. GEXCAN'!T4)+('GEXCAN Covid'!D$131*'Prod. GEXCAN'!U4)</f>
        <v>0</v>
      </c>
      <c r="AC6" s="235">
        <f>'GEXCAN Limp.Ord.'!C$141*'Prod. GEXCAN'!V4</f>
        <v>151.94345877432548</v>
      </c>
      <c r="AD6" s="236">
        <f>'GEXCAN Covid'!C$136*'Prod. GEXCAN'!W4</f>
        <v>130.76759662138099</v>
      </c>
      <c r="AE6" s="237">
        <f>'Prod. GEXCAN'!X4*MC!C15</f>
        <v>4043.6000000000004</v>
      </c>
    </row>
    <row r="7" spans="1:1024" ht="14.25" x14ac:dyDescent="0.2">
      <c r="A7" s="238" t="s">
        <v>82</v>
      </c>
      <c r="B7" s="239" t="s">
        <v>363</v>
      </c>
      <c r="C7" s="240" t="s">
        <v>362</v>
      </c>
      <c r="D7" s="241">
        <f>MC!C72</f>
        <v>0.03</v>
      </c>
      <c r="E7" s="242">
        <f>'Prod. GEXCAN'!D5</f>
        <v>0</v>
      </c>
      <c r="F7" s="243">
        <f>'GEXCAN Limp.Ord.'!H$149</f>
        <v>4.8798289306653313</v>
      </c>
      <c r="G7" s="242">
        <f>'Prod. GEXCAN'!E5</f>
        <v>980</v>
      </c>
      <c r="H7" s="243">
        <f>'GEXCAN Limp.Ord.'!H$155</f>
        <v>5.4178015251204252</v>
      </c>
      <c r="I7" s="242">
        <f>'Prod. GEXCAN'!F5</f>
        <v>0</v>
      </c>
      <c r="J7" s="243">
        <f>'GEXCAN Limp.Ord.'!H$161</f>
        <v>1.91289294082081</v>
      </c>
      <c r="K7" s="242">
        <f>'Prod. GEXCAN'!G5</f>
        <v>0</v>
      </c>
      <c r="L7" s="243">
        <f>'GEXCAN Limp.Ord.'!H$167</f>
        <v>3.1881549013680166</v>
      </c>
      <c r="M7" s="242">
        <f>'Prod. GEXCAN'!H5</f>
        <v>0</v>
      </c>
      <c r="N7" s="243">
        <f>'GEXCAN Limp.Ord.'!H$173</f>
        <v>21.237781978472064</v>
      </c>
      <c r="O7" s="242">
        <f>'Prod. GEXCAN'!I5</f>
        <v>0</v>
      </c>
      <c r="P7" s="243">
        <f>'GEXCAN Limp.Ord.'!H$179</f>
        <v>2.2772535009771544</v>
      </c>
      <c r="Q7" s="242">
        <f>'Prod. GEXCAN'!J5</f>
        <v>0</v>
      </c>
      <c r="R7" s="243">
        <f>'GEXCAN Limp.Ord.'!H$182</f>
        <v>4.7822323520520252E-2</v>
      </c>
      <c r="S7" s="242">
        <f>'Prod. GEXCAN'!K5</f>
        <v>0</v>
      </c>
      <c r="T7" s="243">
        <f>'GEXCAN Limp.Ord.'!H$185</f>
        <v>0.63763098027360332</v>
      </c>
      <c r="U7" s="242">
        <f>'Prod. GEXCAN'!L5</f>
        <v>0</v>
      </c>
      <c r="V7" s="243">
        <f>'GEXCAN Limp.Ord.'!H$191</f>
        <v>0.26112271364210926</v>
      </c>
      <c r="W7" s="242">
        <f>'Prod. GEXCAN'!M5</f>
        <v>0</v>
      </c>
      <c r="X7" s="243">
        <f>'GEXCAN Limp.Ord.'!H$194</f>
        <v>1.0667363406725388</v>
      </c>
      <c r="Y7" s="242">
        <f>'Prod. GEXCAN'!N5</f>
        <v>0</v>
      </c>
      <c r="Z7" s="243">
        <f>'GEXCAN Limp.Ord.'!H$197</f>
        <v>1.0667363406725388</v>
      </c>
      <c r="AA7" s="244">
        <f t="shared" si="0"/>
        <v>5309.4454946180167</v>
      </c>
      <c r="AB7" s="245">
        <f>('GEXCAN Covid'!C$131*'Prod. GEXCAN'!T5)+('GEXCAN Covid'!D$131*'Prod. GEXCAN'!U5)</f>
        <v>0</v>
      </c>
      <c r="AC7" s="246">
        <f>'GEXCAN Limp.Ord.'!C$141*'Prod. GEXCAN'!V5</f>
        <v>151.94345877432548</v>
      </c>
      <c r="AD7" s="247">
        <f>'GEXCAN Covid'!C$136*'Prod. GEXCAN'!W5</f>
        <v>130.76759662138099</v>
      </c>
      <c r="AE7" s="248"/>
    </row>
    <row r="8" spans="1:1024" ht="14.25" x14ac:dyDescent="0.2">
      <c r="A8" s="238" t="s">
        <v>84</v>
      </c>
      <c r="B8" s="239" t="s">
        <v>364</v>
      </c>
      <c r="C8" s="240" t="s">
        <v>365</v>
      </c>
      <c r="D8" s="241">
        <f>MC!C73</f>
        <v>0.03</v>
      </c>
      <c r="E8" s="242">
        <f>'Prod. GEXCAN'!D6</f>
        <v>0</v>
      </c>
      <c r="F8" s="243">
        <f>'GEXCAN Limp.Ord.'!H$149</f>
        <v>4.8798289306653313</v>
      </c>
      <c r="G8" s="242">
        <f>'Prod. GEXCAN'!E6</f>
        <v>980</v>
      </c>
      <c r="H8" s="243">
        <f>'GEXCAN Limp.Ord.'!H$155</f>
        <v>5.4178015251204252</v>
      </c>
      <c r="I8" s="242">
        <f>'Prod. GEXCAN'!F6</f>
        <v>0</v>
      </c>
      <c r="J8" s="243">
        <f>'GEXCAN Limp.Ord.'!H$161</f>
        <v>1.91289294082081</v>
      </c>
      <c r="K8" s="242">
        <f>'Prod. GEXCAN'!G6</f>
        <v>0</v>
      </c>
      <c r="L8" s="243">
        <f>'GEXCAN Limp.Ord.'!H$167</f>
        <v>3.1881549013680166</v>
      </c>
      <c r="M8" s="242">
        <f>'Prod. GEXCAN'!H6</f>
        <v>0</v>
      </c>
      <c r="N8" s="243">
        <f>'GEXCAN Limp.Ord.'!H$173</f>
        <v>21.237781978472064</v>
      </c>
      <c r="O8" s="242">
        <f>'Prod. GEXCAN'!I6</f>
        <v>0</v>
      </c>
      <c r="P8" s="243">
        <f>'GEXCAN Limp.Ord.'!H$179</f>
        <v>2.2772535009771544</v>
      </c>
      <c r="Q8" s="242">
        <f>'Prod. GEXCAN'!J6</f>
        <v>0</v>
      </c>
      <c r="R8" s="243">
        <f>'GEXCAN Limp.Ord.'!H$182</f>
        <v>4.7822323520520252E-2</v>
      </c>
      <c r="S8" s="242">
        <f>'Prod. GEXCAN'!K6</f>
        <v>0</v>
      </c>
      <c r="T8" s="243">
        <f>'GEXCAN Limp.Ord.'!H$185</f>
        <v>0.63763098027360332</v>
      </c>
      <c r="U8" s="242">
        <f>'Prod. GEXCAN'!L6</f>
        <v>0</v>
      </c>
      <c r="V8" s="243">
        <f>'GEXCAN Limp.Ord.'!H$191</f>
        <v>0.26112271364210926</v>
      </c>
      <c r="W8" s="242">
        <f>'Prod. GEXCAN'!M6</f>
        <v>0</v>
      </c>
      <c r="X8" s="243">
        <f>'GEXCAN Limp.Ord.'!H$194</f>
        <v>1.0667363406725388</v>
      </c>
      <c r="Y8" s="242">
        <f>'Prod. GEXCAN'!N6</f>
        <v>0</v>
      </c>
      <c r="Z8" s="243">
        <f>'GEXCAN Limp.Ord.'!H$197</f>
        <v>1.0667363406725388</v>
      </c>
      <c r="AA8" s="244">
        <f t="shared" si="0"/>
        <v>5309.4454946180167</v>
      </c>
      <c r="AB8" s="245">
        <f>('GEXCAN Covid'!C$131*'Prod. GEXCAN'!T6)+('GEXCAN Covid'!D$131*'Prod. GEXCAN'!U6)</f>
        <v>0</v>
      </c>
      <c r="AC8" s="246">
        <f>'GEXCAN Limp.Ord.'!C$141*'Prod. GEXCAN'!V6</f>
        <v>151.94345877432548</v>
      </c>
      <c r="AD8" s="247">
        <f>'GEXCAN Covid'!C$136*'Prod. GEXCAN'!W6</f>
        <v>130.76759662138099</v>
      </c>
      <c r="AE8" s="248"/>
    </row>
    <row r="9" spans="1:1024" s="212" customFormat="1" x14ac:dyDescent="0.25">
      <c r="A9" s="238" t="s">
        <v>86</v>
      </c>
      <c r="B9" s="239" t="s">
        <v>366</v>
      </c>
      <c r="C9" s="240" t="s">
        <v>367</v>
      </c>
      <c r="D9" s="241">
        <f>MC!C74</f>
        <v>2.5000000000000001E-2</v>
      </c>
      <c r="E9" s="242">
        <f>'Prod. GEXCAN'!D7</f>
        <v>0</v>
      </c>
      <c r="F9" s="243">
        <f>'GEXCAN Limp.Ord.'!F$149</f>
        <v>4.8535956600601491</v>
      </c>
      <c r="G9" s="242">
        <f>'Prod. GEXCAN'!E7</f>
        <v>980</v>
      </c>
      <c r="H9" s="243">
        <f>'GEXCAN Limp.Ord.'!F$155</f>
        <v>5.3885202511472263</v>
      </c>
      <c r="I9" s="242">
        <f>'Prod. GEXCAN'!F7</f>
        <v>0</v>
      </c>
      <c r="J9" s="243">
        <f>'GEXCAN Limp.Ord.'!F$161</f>
        <v>1.9026094987435787</v>
      </c>
      <c r="K9" s="242">
        <f>'Prod. GEXCAN'!G7</f>
        <v>0</v>
      </c>
      <c r="L9" s="243">
        <f>'GEXCAN Limp.Ord.'!F$167</f>
        <v>3.1710158312392975</v>
      </c>
      <c r="M9" s="242">
        <f>'Prod. GEXCAN'!H7</f>
        <v>0</v>
      </c>
      <c r="N9" s="243">
        <f>'GEXCAN Limp.Ord.'!F$173</f>
        <v>21.122999384497128</v>
      </c>
      <c r="O9" s="242">
        <f>'Prod. GEXCAN'!I7</f>
        <v>0</v>
      </c>
      <c r="P9" s="243">
        <f>'GEXCAN Limp.Ord.'!F$179</f>
        <v>2.2650113080280696</v>
      </c>
      <c r="Q9" s="242">
        <f>'Prod. GEXCAN'!J7</f>
        <v>0</v>
      </c>
      <c r="R9" s="243">
        <f>'GEXCAN Limp.Ord.'!F$182</f>
        <v>4.7565237468589469E-2</v>
      </c>
      <c r="S9" s="242">
        <f>'Prod. GEXCAN'!K7</f>
        <v>0</v>
      </c>
      <c r="T9" s="243">
        <f>'GEXCAN Limp.Ord.'!F$185</f>
        <v>0.63420316624785955</v>
      </c>
      <c r="U9" s="242">
        <f>'Prod. GEXCAN'!L7</f>
        <v>91.656000000000006</v>
      </c>
      <c r="V9" s="243">
        <f>'GEXCAN Limp.Ord.'!F$191</f>
        <v>0.25991892875093536</v>
      </c>
      <c r="W9" s="242">
        <f>'Prod. GEXCAN'!M7</f>
        <v>0</v>
      </c>
      <c r="X9" s="243">
        <f>'GEXCAN Limp.Ord.'!F$194</f>
        <v>1.0610017168800141</v>
      </c>
      <c r="Y9" s="242">
        <f>'Prod. GEXCAN'!N7</f>
        <v>0</v>
      </c>
      <c r="Z9" s="243">
        <f>'GEXCAN Limp.Ord.'!F$197</f>
        <v>1.0610017168800141</v>
      </c>
      <c r="AA9" s="244">
        <f t="shared" si="0"/>
        <v>5304.5729754578779</v>
      </c>
      <c r="AB9" s="249">
        <f>('GEXCAN Covid'!C$130*'Prod. GEXCAN'!T7)+('GEXCAN Covid'!D$130*'Prod. GEXCAN'!U7)</f>
        <v>0</v>
      </c>
      <c r="AC9" s="250">
        <f>'GEXCAN Limp.Ord.'!C140*'Prod. GEXCAN'!V7</f>
        <v>151.08258931951343</v>
      </c>
      <c r="AD9" s="251">
        <f>'GEXCAN Covid'!C$135*'Prod. GEXCAN'!W7</f>
        <v>130.0267037226763</v>
      </c>
      <c r="AE9" s="252"/>
      <c r="ALZ9"/>
      <c r="AMA9"/>
      <c r="AMB9"/>
      <c r="AMC9"/>
      <c r="AMD9"/>
      <c r="AME9"/>
      <c r="AMF9"/>
      <c r="AMG9"/>
      <c r="AMH9"/>
      <c r="AMI9"/>
      <c r="AMJ9"/>
    </row>
    <row r="10" spans="1:1024" ht="14.25" x14ac:dyDescent="0.2">
      <c r="A10" s="238" t="s">
        <v>88</v>
      </c>
      <c r="B10" s="239" t="s">
        <v>361</v>
      </c>
      <c r="C10" s="240" t="s">
        <v>362</v>
      </c>
      <c r="D10" s="241">
        <f>MC!C75</f>
        <v>0.03</v>
      </c>
      <c r="E10" s="242">
        <f>'Prod. GEXCAN'!D8</f>
        <v>887.45399999999995</v>
      </c>
      <c r="F10" s="243">
        <f>'GEXCAN Limp.Ord.'!H$149</f>
        <v>4.8798289306653313</v>
      </c>
      <c r="G10" s="242">
        <f>'Prod. GEXCAN'!E8</f>
        <v>602.89599999999996</v>
      </c>
      <c r="H10" s="243">
        <f>'GEXCAN Limp.Ord.'!H$155</f>
        <v>5.4178015251204252</v>
      </c>
      <c r="I10" s="242">
        <f>'Prod. GEXCAN'!F8</f>
        <v>31.9</v>
      </c>
      <c r="J10" s="243">
        <f>'GEXCAN Limp.Ord.'!H$161</f>
        <v>1.91289294082081</v>
      </c>
      <c r="K10" s="242">
        <f>'Prod. GEXCAN'!G8</f>
        <v>44</v>
      </c>
      <c r="L10" s="243">
        <f>'GEXCAN Limp.Ord.'!H$167</f>
        <v>3.1881549013680166</v>
      </c>
      <c r="M10" s="242">
        <f>'Prod. GEXCAN'!H8</f>
        <v>96.2</v>
      </c>
      <c r="N10" s="243">
        <f>'GEXCAN Limp.Ord.'!H$173</f>
        <v>21.237781978472064</v>
      </c>
      <c r="O10" s="242">
        <f>'Prod. GEXCAN'!I8</f>
        <v>0</v>
      </c>
      <c r="P10" s="243">
        <f>'GEXCAN Limp.Ord.'!H$179</f>
        <v>2.2772535009771544</v>
      </c>
      <c r="Q10" s="242">
        <f>'Prod. GEXCAN'!J8</f>
        <v>0</v>
      </c>
      <c r="R10" s="243">
        <f>'GEXCAN Limp.Ord.'!H$182</f>
        <v>4.7822323520520252E-2</v>
      </c>
      <c r="S10" s="242">
        <f>'Prod. GEXCAN'!K8</f>
        <v>0</v>
      </c>
      <c r="T10" s="243">
        <f>'GEXCAN Limp.Ord.'!H$185</f>
        <v>0.63763098027360332</v>
      </c>
      <c r="U10" s="242">
        <f>'Prod. GEXCAN'!L8</f>
        <v>0</v>
      </c>
      <c r="V10" s="243">
        <f>'GEXCAN Limp.Ord.'!H$191</f>
        <v>0.26112271364210926</v>
      </c>
      <c r="W10" s="242">
        <f>'Prod. GEXCAN'!M8</f>
        <v>150.505</v>
      </c>
      <c r="X10" s="243">
        <f>'GEXCAN Limp.Ord.'!H$194</f>
        <v>1.0667363406725388</v>
      </c>
      <c r="Y10" s="242">
        <f>'Prod. GEXCAN'!N8</f>
        <v>150.505</v>
      </c>
      <c r="Z10" s="243">
        <f>'GEXCAN Limp.Ord.'!H$197</f>
        <v>1.0667363406725388</v>
      </c>
      <c r="AA10" s="244">
        <f t="shared" si="0"/>
        <v>10162.467604830905</v>
      </c>
      <c r="AB10" s="245">
        <f>('GEXCAN Covid'!C$131*'Prod. GEXCAN'!T8)+('GEXCAN Covid'!D$131*'Prod. GEXCAN'!U8)</f>
        <v>8717.8397747587333</v>
      </c>
      <c r="AC10" s="246">
        <f>'GEXCAN Limp.Ord.'!C$141*'Prod. GEXCAN'!V8</f>
        <v>151.94345877432548</v>
      </c>
      <c r="AD10" s="247">
        <f>'GEXCAN Covid'!C$136*'Prod. GEXCAN'!W8</f>
        <v>130.76759662138099</v>
      </c>
      <c r="AE10" s="248"/>
    </row>
    <row r="11" spans="1:1024" ht="14.25" x14ac:dyDescent="0.2">
      <c r="A11" s="238" t="s">
        <v>90</v>
      </c>
      <c r="B11" s="239" t="s">
        <v>368</v>
      </c>
      <c r="C11" s="240" t="s">
        <v>365</v>
      </c>
      <c r="D11" s="241">
        <f>MC!C76</f>
        <v>0.03</v>
      </c>
      <c r="E11" s="242">
        <f>'Prod. GEXCAN'!D9</f>
        <v>50.995999999999952</v>
      </c>
      <c r="F11" s="243">
        <f>'GEXCAN Limp.Ord.'!H$149</f>
        <v>4.8798289306653313</v>
      </c>
      <c r="G11" s="242">
        <f>'Prod. GEXCAN'!E9</f>
        <v>747.54399999999998</v>
      </c>
      <c r="H11" s="243">
        <f>'GEXCAN Limp.Ord.'!H$155</f>
        <v>5.4178015251204252</v>
      </c>
      <c r="I11" s="242">
        <f>'Prod. GEXCAN'!F9</f>
        <v>215.5</v>
      </c>
      <c r="J11" s="243">
        <f>'GEXCAN Limp.Ord.'!H$161</f>
        <v>1.91289294082081</v>
      </c>
      <c r="K11" s="242">
        <f>'Prod. GEXCAN'!G9</f>
        <v>19.739999999999998</v>
      </c>
      <c r="L11" s="243">
        <f>'GEXCAN Limp.Ord.'!H$167</f>
        <v>3.1881549013680166</v>
      </c>
      <c r="M11" s="242">
        <f>'Prod. GEXCAN'!H9</f>
        <v>59.3</v>
      </c>
      <c r="N11" s="243">
        <f>'GEXCAN Limp.Ord.'!H$173</f>
        <v>21.237781978472064</v>
      </c>
      <c r="O11" s="242">
        <f>'Prod. GEXCAN'!I9</f>
        <v>503.12</v>
      </c>
      <c r="P11" s="243">
        <f>'GEXCAN Limp.Ord.'!H$179</f>
        <v>2.2772535009771544</v>
      </c>
      <c r="Q11" s="242">
        <f>'Prod. GEXCAN'!J9</f>
        <v>574</v>
      </c>
      <c r="R11" s="243">
        <f>'GEXCAN Limp.Ord.'!H$182</f>
        <v>4.7822323520520252E-2</v>
      </c>
      <c r="S11" s="242">
        <f>'Prod. GEXCAN'!K9</f>
        <v>708</v>
      </c>
      <c r="T11" s="243">
        <f>'GEXCAN Limp.Ord.'!H$185</f>
        <v>0.63763098027360332</v>
      </c>
      <c r="U11" s="242">
        <f>'Prod. GEXCAN'!L9</f>
        <v>0</v>
      </c>
      <c r="V11" s="243">
        <f>'GEXCAN Limp.Ord.'!H$191</f>
        <v>0.26112271364210926</v>
      </c>
      <c r="W11" s="242">
        <f>'Prod. GEXCAN'!M9</f>
        <v>79.59</v>
      </c>
      <c r="X11" s="243">
        <f>'GEXCAN Limp.Ord.'!H$194</f>
        <v>1.0667363406725388</v>
      </c>
      <c r="Y11" s="242">
        <f>'Prod. GEXCAN'!N9</f>
        <v>79.59</v>
      </c>
      <c r="Z11" s="243">
        <f>'GEXCAN Limp.Ord.'!H$197</f>
        <v>1.0667363406725388</v>
      </c>
      <c r="AA11" s="244">
        <f t="shared" si="0"/>
        <v>7827.8874771204846</v>
      </c>
      <c r="AB11" s="245">
        <f>('GEXCAN Covid'!C$131*'Prod. GEXCAN'!T9)+('GEXCAN Covid'!D$131*'Prod. GEXCAN'!U9)</f>
        <v>4358.9198873793666</v>
      </c>
      <c r="AC11" s="246">
        <f>'GEXCAN Limp.Ord.'!C$141*'Prod. GEXCAN'!V9</f>
        <v>151.94345877432548</v>
      </c>
      <c r="AD11" s="247">
        <f>'GEXCAN Covid'!C$136*'Prod. GEXCAN'!W9</f>
        <v>130.76759662138099</v>
      </c>
      <c r="AE11" s="248"/>
    </row>
    <row r="12" spans="1:1024" ht="14.25" x14ac:dyDescent="0.2">
      <c r="A12" s="238" t="s">
        <v>92</v>
      </c>
      <c r="B12" s="239" t="s">
        <v>369</v>
      </c>
      <c r="C12" s="240" t="s">
        <v>370</v>
      </c>
      <c r="D12" s="241">
        <f>MC!C77</f>
        <v>0.03</v>
      </c>
      <c r="E12" s="242">
        <f>'Prod. GEXCAN'!D10</f>
        <v>593.49600000000009</v>
      </c>
      <c r="F12" s="243">
        <f>'GEXCAN Limp.Ord.'!H$149</f>
        <v>4.8798289306653313</v>
      </c>
      <c r="G12" s="242">
        <f>'Prod. GEXCAN'!E10</f>
        <v>778.904</v>
      </c>
      <c r="H12" s="243">
        <f>'GEXCAN Limp.Ord.'!H$155</f>
        <v>5.4178015251204252</v>
      </c>
      <c r="I12" s="242">
        <f>'Prod. GEXCAN'!F10</f>
        <v>231.55</v>
      </c>
      <c r="J12" s="243">
        <f>'GEXCAN Limp.Ord.'!H$161</f>
        <v>1.91289294082081</v>
      </c>
      <c r="K12" s="242">
        <f>'Prod. GEXCAN'!G10</f>
        <v>50.55</v>
      </c>
      <c r="L12" s="243">
        <f>'GEXCAN Limp.Ord.'!H$167</f>
        <v>3.1881549013680166</v>
      </c>
      <c r="M12" s="242">
        <f>'Prod. GEXCAN'!H10</f>
        <v>51.3</v>
      </c>
      <c r="N12" s="243">
        <f>'GEXCAN Limp.Ord.'!H$173</f>
        <v>21.237781978472064</v>
      </c>
      <c r="O12" s="242">
        <f>'Prod. GEXCAN'!I10</f>
        <v>124.13</v>
      </c>
      <c r="P12" s="243">
        <f>'GEXCAN Limp.Ord.'!H$179</f>
        <v>2.2772535009771544</v>
      </c>
      <c r="Q12" s="242">
        <f>'Prod. GEXCAN'!J10</f>
        <v>786</v>
      </c>
      <c r="R12" s="243">
        <f>'GEXCAN Limp.Ord.'!H$182</f>
        <v>4.7822323520520252E-2</v>
      </c>
      <c r="S12" s="242">
        <f>'Prod. GEXCAN'!K10</f>
        <v>234</v>
      </c>
      <c r="T12" s="243">
        <f>'GEXCAN Limp.Ord.'!H$185</f>
        <v>0.63763098027360332</v>
      </c>
      <c r="U12" s="242">
        <f>'Prod. GEXCAN'!L10</f>
        <v>0</v>
      </c>
      <c r="V12" s="243">
        <f>'GEXCAN Limp.Ord.'!H$191</f>
        <v>0.26112271364210926</v>
      </c>
      <c r="W12" s="242">
        <f>'Prod. GEXCAN'!M10</f>
        <v>133.22999999999999</v>
      </c>
      <c r="X12" s="243">
        <f>'GEXCAN Limp.Ord.'!H$194</f>
        <v>1.0667363406725388</v>
      </c>
      <c r="Y12" s="242">
        <f>'Prod. GEXCAN'!N10</f>
        <v>133.22999999999999</v>
      </c>
      <c r="Z12" s="243">
        <f>'GEXCAN Limp.Ord.'!H$197</f>
        <v>1.0667363406725388</v>
      </c>
      <c r="AA12" s="244">
        <f t="shared" si="0"/>
        <v>9563.4080744464318</v>
      </c>
      <c r="AB12" s="245">
        <f>('GEXCAN Covid'!C$131*'Prod. GEXCAN'!T10)+('GEXCAN Covid'!D$131*'Prod. GEXCAN'!U10)</f>
        <v>8717.8397747587333</v>
      </c>
      <c r="AC12" s="246">
        <f>'GEXCAN Limp.Ord.'!C$141*'Prod. GEXCAN'!V10</f>
        <v>151.94345877432548</v>
      </c>
      <c r="AD12" s="247">
        <f>'GEXCAN Covid'!C$136*'Prod. GEXCAN'!W10</f>
        <v>130.76759662138099</v>
      </c>
      <c r="AE12" s="248"/>
    </row>
    <row r="13" spans="1:1024" s="212" customFormat="1" x14ac:dyDescent="0.25">
      <c r="A13" s="238" t="s">
        <v>94</v>
      </c>
      <c r="B13" s="239" t="s">
        <v>371</v>
      </c>
      <c r="C13" s="240" t="s">
        <v>372</v>
      </c>
      <c r="D13" s="241">
        <f>MC!C78</f>
        <v>0.02</v>
      </c>
      <c r="E13" s="242">
        <f>'Prod. GEXCAN'!D11</f>
        <v>436.71599999999984</v>
      </c>
      <c r="F13" s="243">
        <f>'GEXCAN Limp.Ord.'!D$149</f>
        <v>4.8276579756026328</v>
      </c>
      <c r="G13" s="242">
        <f>'Prod. GEXCAN'!E11</f>
        <v>892.58400000000006</v>
      </c>
      <c r="H13" s="243">
        <f>'GEXCAN Limp.Ord.'!D$155</f>
        <v>5.3595689070216137</v>
      </c>
      <c r="I13" s="242">
        <f>'Prod. GEXCAN'!F11</f>
        <v>50</v>
      </c>
      <c r="J13" s="243">
        <f>'GEXCAN Limp.Ord.'!D$161</f>
        <v>1.892441926436232</v>
      </c>
      <c r="K13" s="242">
        <f>'Prod. GEXCAN'!G11</f>
        <v>30</v>
      </c>
      <c r="L13" s="243">
        <f>'GEXCAN Limp.Ord.'!D$167</f>
        <v>3.1540698773937201</v>
      </c>
      <c r="M13" s="242">
        <f>'Prod. GEXCAN'!H11</f>
        <v>22.3</v>
      </c>
      <c r="N13" s="243">
        <f>'GEXCAN Limp.Ord.'!D$173</f>
        <v>21.009510115524723</v>
      </c>
      <c r="O13" s="242">
        <f>'Prod. GEXCAN'!I11</f>
        <v>37.83</v>
      </c>
      <c r="P13" s="243">
        <f>'GEXCAN Limp.Ord.'!D$179</f>
        <v>2.2529070552812285</v>
      </c>
      <c r="Q13" s="242">
        <f>'Prod. GEXCAN'!J11</f>
        <v>0</v>
      </c>
      <c r="R13" s="243">
        <f>'GEXCAN Limp.Ord.'!D$182</f>
        <v>4.7311048160905804E-2</v>
      </c>
      <c r="S13" s="242">
        <f>'Prod. GEXCAN'!K11</f>
        <v>210.17000000000002</v>
      </c>
      <c r="T13" s="243">
        <f>'GEXCAN Limp.Ord.'!D$185</f>
        <v>0.63081397547874396</v>
      </c>
      <c r="U13" s="242">
        <f>'Prod. GEXCAN'!L11</f>
        <v>0</v>
      </c>
      <c r="V13" s="243">
        <f>'GEXCAN Limp.Ord.'!D$191</f>
        <v>0.25872870763318312</v>
      </c>
      <c r="W13" s="242">
        <f>'Prod. GEXCAN'!M11</f>
        <v>152.55000000000001</v>
      </c>
      <c r="X13" s="243">
        <f>'GEXCAN Limp.Ord.'!D$194</f>
        <v>1.0553317085668419</v>
      </c>
      <c r="Y13" s="242">
        <f>'Prod. GEXCAN'!N11</f>
        <v>152.55000000000001</v>
      </c>
      <c r="Z13" s="243">
        <f>'GEXCAN Limp.Ord.'!D$197</f>
        <v>1.0553317085668419</v>
      </c>
      <c r="AA13" s="244">
        <f t="shared" si="0"/>
        <v>8089.7245534094845</v>
      </c>
      <c r="AB13" s="249">
        <f>('GEXCAN Covid'!C$129*'Prod. GEXCAN'!T11)+('GEXCAN Covid'!D$129*'Prod. GEXCAN'!U11)</f>
        <v>4309.8052970990357</v>
      </c>
      <c r="AC13" s="250">
        <f>'GEXCAN Limp.Ord.'!C$139*'Prod. GEXCAN'!V11</f>
        <v>150.23141980222039</v>
      </c>
      <c r="AD13" s="251">
        <f>'GEXCAN Covid'!C$134*'Prod. GEXCAN'!W11</f>
        <v>129.29415891297108</v>
      </c>
      <c r="AE13" s="252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212" customFormat="1" x14ac:dyDescent="0.25">
      <c r="A14" s="238" t="s">
        <v>96</v>
      </c>
      <c r="B14" s="239" t="s">
        <v>373</v>
      </c>
      <c r="C14" s="240" t="s">
        <v>374</v>
      </c>
      <c r="D14" s="241">
        <f>MC!C79</f>
        <v>0.02</v>
      </c>
      <c r="E14" s="242">
        <f>'Prod. GEXCAN'!D12</f>
        <v>715.51200000000017</v>
      </c>
      <c r="F14" s="243">
        <f>'GEXCAN Limp.Ord.'!D$149</f>
        <v>4.8276579756026328</v>
      </c>
      <c r="G14" s="242">
        <f>'Prod. GEXCAN'!E12</f>
        <v>305.36799999999999</v>
      </c>
      <c r="H14" s="243">
        <f>'GEXCAN Limp.Ord.'!D$155</f>
        <v>5.3595689070216137</v>
      </c>
      <c r="I14" s="242">
        <f>'Prod. GEXCAN'!F12</f>
        <v>48.75</v>
      </c>
      <c r="J14" s="243">
        <f>'GEXCAN Limp.Ord.'!D$161</f>
        <v>1.892441926436232</v>
      </c>
      <c r="K14" s="242">
        <f>'Prod. GEXCAN'!G12</f>
        <v>29.67</v>
      </c>
      <c r="L14" s="243">
        <f>'GEXCAN Limp.Ord.'!D$167</f>
        <v>3.1540698773937201</v>
      </c>
      <c r="M14" s="242">
        <f>'Prod. GEXCAN'!H12</f>
        <v>172.1</v>
      </c>
      <c r="N14" s="243">
        <f>'GEXCAN Limp.Ord.'!D$173</f>
        <v>21.009510115524723</v>
      </c>
      <c r="O14" s="242">
        <f>'Prod. GEXCAN'!I12</f>
        <v>0</v>
      </c>
      <c r="P14" s="243">
        <f>'GEXCAN Limp.Ord.'!D$179</f>
        <v>2.2529070552812285</v>
      </c>
      <c r="Q14" s="242">
        <f>'Prod. GEXCAN'!J12</f>
        <v>195</v>
      </c>
      <c r="R14" s="243">
        <f>'GEXCAN Limp.Ord.'!D$182</f>
        <v>4.7311048160905804E-2</v>
      </c>
      <c r="S14" s="242">
        <f>'Prod. GEXCAN'!K12</f>
        <v>233</v>
      </c>
      <c r="T14" s="243">
        <f>'GEXCAN Limp.Ord.'!D$185</f>
        <v>0.63081397547874396</v>
      </c>
      <c r="U14" s="242">
        <f>'Prod. GEXCAN'!L12</f>
        <v>0</v>
      </c>
      <c r="V14" s="243">
        <f>'GEXCAN Limp.Ord.'!D$191</f>
        <v>0.25872870763318312</v>
      </c>
      <c r="W14" s="242">
        <f>'Prod. GEXCAN'!M12</f>
        <v>138</v>
      </c>
      <c r="X14" s="243">
        <f>'GEXCAN Limp.Ord.'!D$194</f>
        <v>1.0553317085668419</v>
      </c>
      <c r="Y14" s="242">
        <f>'Prod. GEXCAN'!N12</f>
        <v>138</v>
      </c>
      <c r="Z14" s="243">
        <f>'GEXCAN Limp.Ord.'!D$197</f>
        <v>1.0553317085668419</v>
      </c>
      <c r="AA14" s="244">
        <f t="shared" si="0"/>
        <v>9339.9394017389823</v>
      </c>
      <c r="AB14" s="249">
        <f>('GEXCAN Covid'!C$129*'Prod. GEXCAN'!T12)+('GEXCAN Covid'!D$129*'Prod. GEXCAN'!U12)</f>
        <v>4309.8052970990357</v>
      </c>
      <c r="AC14" s="250">
        <f>'GEXCAN Limp.Ord.'!C$139*'Prod. GEXCAN'!V12</f>
        <v>150.23141980222039</v>
      </c>
      <c r="AD14" s="251">
        <f>'GEXCAN Covid'!C$134*'Prod. GEXCAN'!W12</f>
        <v>129.29415891297108</v>
      </c>
      <c r="AE14" s="252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12" customFormat="1" x14ac:dyDescent="0.25">
      <c r="A15" s="238" t="s">
        <v>98</v>
      </c>
      <c r="B15" s="239" t="s">
        <v>375</v>
      </c>
      <c r="C15" s="240" t="s">
        <v>376</v>
      </c>
      <c r="D15" s="241">
        <f>MC!C80</f>
        <v>0.02</v>
      </c>
      <c r="E15" s="242">
        <f>'Prod. GEXCAN'!D13</f>
        <v>0</v>
      </c>
      <c r="F15" s="243">
        <f>'GEXCAN Limp.Ord.'!D$149</f>
        <v>4.8276579756026328</v>
      </c>
      <c r="G15" s="242">
        <f>'Prod. GEXCAN'!E13</f>
        <v>980</v>
      </c>
      <c r="H15" s="243">
        <f>'GEXCAN Limp.Ord.'!D$155</f>
        <v>5.3595689070216137</v>
      </c>
      <c r="I15" s="242">
        <f>'Prod. GEXCAN'!F13</f>
        <v>0</v>
      </c>
      <c r="J15" s="243">
        <f>'GEXCAN Limp.Ord.'!D$161</f>
        <v>1.892441926436232</v>
      </c>
      <c r="K15" s="242">
        <f>'Prod. GEXCAN'!G13</f>
        <v>0</v>
      </c>
      <c r="L15" s="243">
        <f>'GEXCAN Limp.Ord.'!D$167</f>
        <v>3.1540698773937201</v>
      </c>
      <c r="M15" s="242">
        <f>'Prod. GEXCAN'!H13</f>
        <v>0</v>
      </c>
      <c r="N15" s="243">
        <f>'GEXCAN Limp.Ord.'!D$173</f>
        <v>21.009510115524723</v>
      </c>
      <c r="O15" s="242">
        <f>'Prod. GEXCAN'!I13</f>
        <v>0</v>
      </c>
      <c r="P15" s="243">
        <f>'GEXCAN Limp.Ord.'!D$179</f>
        <v>2.2529070552812285</v>
      </c>
      <c r="Q15" s="242">
        <f>'Prod. GEXCAN'!J13</f>
        <v>0</v>
      </c>
      <c r="R15" s="243">
        <f>'GEXCAN Limp.Ord.'!D$182</f>
        <v>4.7311048160905804E-2</v>
      </c>
      <c r="S15" s="242">
        <f>'Prod. GEXCAN'!K13</f>
        <v>0</v>
      </c>
      <c r="T15" s="243">
        <f>'GEXCAN Limp.Ord.'!D$185</f>
        <v>0.63081397547874396</v>
      </c>
      <c r="U15" s="242">
        <f>'Prod. GEXCAN'!L13</f>
        <v>0</v>
      </c>
      <c r="V15" s="243">
        <f>'GEXCAN Limp.Ord.'!D$191</f>
        <v>0.25872870763318312</v>
      </c>
      <c r="W15" s="242">
        <f>'Prod. GEXCAN'!M13</f>
        <v>0</v>
      </c>
      <c r="X15" s="243">
        <f>'GEXCAN Limp.Ord.'!D$194</f>
        <v>1.0553317085668419</v>
      </c>
      <c r="Y15" s="242">
        <f>'Prod. GEXCAN'!N13</f>
        <v>0</v>
      </c>
      <c r="Z15" s="243">
        <f>'GEXCAN Limp.Ord.'!D$197</f>
        <v>1.0553317085668419</v>
      </c>
      <c r="AA15" s="244">
        <f t="shared" si="0"/>
        <v>5252.3775288811812</v>
      </c>
      <c r="AB15" s="249">
        <f>('GEXCAN Covid'!C$129*'Prod. GEXCAN'!T13)+('GEXCAN Covid'!D$129*'Prod. GEXCAN'!U13)</f>
        <v>0</v>
      </c>
      <c r="AC15" s="250">
        <f>'GEXCAN Limp.Ord.'!C$139*'Prod. GEXCAN'!V13</f>
        <v>150.23141980222039</v>
      </c>
      <c r="AD15" s="251">
        <f>'GEXCAN Covid'!C$134*'Prod. GEXCAN'!W13</f>
        <v>129.29415891297108</v>
      </c>
      <c r="AE15" s="252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4.25" x14ac:dyDescent="0.2">
      <c r="A16" s="238" t="s">
        <v>100</v>
      </c>
      <c r="B16" s="239" t="s">
        <v>377</v>
      </c>
      <c r="C16" s="240" t="s">
        <v>378</v>
      </c>
      <c r="D16" s="241">
        <f>MC!C81</f>
        <v>0.03</v>
      </c>
      <c r="E16" s="242">
        <f>'Prod. GEXCAN'!D14</f>
        <v>-468.58199999999999</v>
      </c>
      <c r="F16" s="243">
        <f>'GEXCAN Limp.Ord.'!H$149</f>
        <v>4.8798289306653313</v>
      </c>
      <c r="G16" s="242">
        <f>'Prod. GEXCAN'!E14</f>
        <v>813.79200000000003</v>
      </c>
      <c r="H16" s="243">
        <f>'GEXCAN Limp.Ord.'!H$155</f>
        <v>5.4178015251204252</v>
      </c>
      <c r="I16" s="242">
        <f>'Prod. GEXCAN'!F14</f>
        <v>42.85</v>
      </c>
      <c r="J16" s="243">
        <f>'GEXCAN Limp.Ord.'!H$161</f>
        <v>1.91289294082081</v>
      </c>
      <c r="K16" s="242">
        <f>'Prod. GEXCAN'!G14</f>
        <v>49.96</v>
      </c>
      <c r="L16" s="243">
        <f>'GEXCAN Limp.Ord.'!H$167</f>
        <v>3.1881549013680166</v>
      </c>
      <c r="M16" s="242">
        <f>'Prod. GEXCAN'!H14</f>
        <v>42.4</v>
      </c>
      <c r="N16" s="243">
        <f>'GEXCAN Limp.Ord.'!H$173</f>
        <v>21.237781978472064</v>
      </c>
      <c r="O16" s="242">
        <f>'Prod. GEXCAN'!I14</f>
        <v>74</v>
      </c>
      <c r="P16" s="243">
        <f>'GEXCAN Limp.Ord.'!H$179</f>
        <v>2.2772535009771544</v>
      </c>
      <c r="Q16" s="242">
        <f>'Prod. GEXCAN'!J14</f>
        <v>579</v>
      </c>
      <c r="R16" s="243">
        <f>'GEXCAN Limp.Ord.'!H$182</f>
        <v>4.7822323520520252E-2</v>
      </c>
      <c r="S16" s="242">
        <f>'Prod. GEXCAN'!K14</f>
        <v>681</v>
      </c>
      <c r="T16" s="243">
        <f>'GEXCAN Limp.Ord.'!H$185</f>
        <v>0.63763098027360332</v>
      </c>
      <c r="U16" s="242">
        <f>'Prod. GEXCAN'!L14</f>
        <v>0</v>
      </c>
      <c r="V16" s="243">
        <f>'GEXCAN Limp.Ord.'!H$191</f>
        <v>0.26112271364210926</v>
      </c>
      <c r="W16" s="242">
        <f>'Prod. GEXCAN'!M14</f>
        <v>42.1</v>
      </c>
      <c r="X16" s="243">
        <f>'GEXCAN Limp.Ord.'!H$194</f>
        <v>1.0667363406725388</v>
      </c>
      <c r="Y16" s="242">
        <f>'Prod. GEXCAN'!N14</f>
        <v>42.1</v>
      </c>
      <c r="Z16" s="243">
        <f>'GEXCAN Limp.Ord.'!H$197</f>
        <v>1.0667363406725388</v>
      </c>
      <c r="AA16" s="244">
        <f t="shared" si="0"/>
        <v>3984.3449578571549</v>
      </c>
      <c r="AB16" s="245">
        <f>('GEXCAN Covid'!C$131*'Prod. GEXCAN'!T14)+('GEXCAN Covid'!D$131*'Prod. GEXCAN'!U14)</f>
        <v>0</v>
      </c>
      <c r="AC16" s="246">
        <f>'GEXCAN Limp.Ord.'!C$141*'Prod. GEXCAN'!V14</f>
        <v>151.94345877432548</v>
      </c>
      <c r="AD16" s="247">
        <f>'GEXCAN Covid'!C$136*'Prod. GEXCAN'!W14</f>
        <v>130.76759662138099</v>
      </c>
      <c r="AE16" s="248"/>
    </row>
    <row r="17" spans="1:1012" ht="14.25" x14ac:dyDescent="0.2">
      <c r="A17" s="238" t="s">
        <v>102</v>
      </c>
      <c r="B17" s="239" t="s">
        <v>379</v>
      </c>
      <c r="C17" s="240" t="s">
        <v>380</v>
      </c>
      <c r="D17" s="241">
        <f>MC!C82</f>
        <v>0.03</v>
      </c>
      <c r="E17" s="242">
        <f>'Prod. GEXCAN'!D15</f>
        <v>0</v>
      </c>
      <c r="F17" s="243">
        <f>'GEXCAN Limp.Ord.'!H$149</f>
        <v>4.8798289306653313</v>
      </c>
      <c r="G17" s="242">
        <f>'Prod. GEXCAN'!E15</f>
        <v>980</v>
      </c>
      <c r="H17" s="243">
        <f>'GEXCAN Limp.Ord.'!H$155</f>
        <v>5.4178015251204252</v>
      </c>
      <c r="I17" s="242">
        <f>'Prod. GEXCAN'!F15</f>
        <v>0</v>
      </c>
      <c r="J17" s="243">
        <f>'GEXCAN Limp.Ord.'!H$161</f>
        <v>1.91289294082081</v>
      </c>
      <c r="K17" s="242">
        <f>'Prod. GEXCAN'!G15</f>
        <v>0</v>
      </c>
      <c r="L17" s="243">
        <f>'GEXCAN Limp.Ord.'!H$167</f>
        <v>3.1881549013680166</v>
      </c>
      <c r="M17" s="242">
        <f>'Prod. GEXCAN'!H15</f>
        <v>0</v>
      </c>
      <c r="N17" s="243">
        <f>'GEXCAN Limp.Ord.'!H$173</f>
        <v>21.237781978472064</v>
      </c>
      <c r="O17" s="242">
        <f>'Prod. GEXCAN'!I15</f>
        <v>0</v>
      </c>
      <c r="P17" s="243">
        <f>'GEXCAN Limp.Ord.'!H$179</f>
        <v>2.2772535009771544</v>
      </c>
      <c r="Q17" s="242">
        <f>'Prod. GEXCAN'!J15</f>
        <v>0</v>
      </c>
      <c r="R17" s="243">
        <f>'GEXCAN Limp.Ord.'!H$182</f>
        <v>4.7822323520520252E-2</v>
      </c>
      <c r="S17" s="242">
        <f>'Prod. GEXCAN'!K15</f>
        <v>0</v>
      </c>
      <c r="T17" s="243">
        <f>'GEXCAN Limp.Ord.'!H$185</f>
        <v>0.63763098027360332</v>
      </c>
      <c r="U17" s="242">
        <f>'Prod. GEXCAN'!L15</f>
        <v>0</v>
      </c>
      <c r="V17" s="243">
        <f>'GEXCAN Limp.Ord.'!H$191</f>
        <v>0.26112271364210926</v>
      </c>
      <c r="W17" s="242">
        <f>'Prod. GEXCAN'!M15</f>
        <v>0</v>
      </c>
      <c r="X17" s="243">
        <f>'GEXCAN Limp.Ord.'!H$194</f>
        <v>1.0667363406725388</v>
      </c>
      <c r="Y17" s="242">
        <f>'Prod. GEXCAN'!N15</f>
        <v>0</v>
      </c>
      <c r="Z17" s="243">
        <f>'GEXCAN Limp.Ord.'!H$197</f>
        <v>1.0667363406725388</v>
      </c>
      <c r="AA17" s="244">
        <f t="shared" si="0"/>
        <v>5309.4454946180167</v>
      </c>
      <c r="AB17" s="245">
        <f>('GEXCAN Covid'!C$131*'Prod. GEXCAN'!T15)+('GEXCAN Covid'!D$131*'Prod. GEXCAN'!U15)</f>
        <v>0</v>
      </c>
      <c r="AC17" s="246">
        <f>'GEXCAN Limp.Ord.'!C$141*'Prod. GEXCAN'!V15</f>
        <v>151.94345877432548</v>
      </c>
      <c r="AD17" s="247">
        <f>'GEXCAN Covid'!C$136*'Prod. GEXCAN'!W15</f>
        <v>130.76759662138099</v>
      </c>
      <c r="AE17" s="248"/>
    </row>
    <row r="18" spans="1:1012" ht="14.25" x14ac:dyDescent="0.2">
      <c r="A18" s="253" t="s">
        <v>104</v>
      </c>
      <c r="B18" s="254" t="s">
        <v>381</v>
      </c>
      <c r="C18" s="255" t="s">
        <v>382</v>
      </c>
      <c r="D18" s="256">
        <f>MC!C83</f>
        <v>0.03</v>
      </c>
      <c r="E18" s="257">
        <f>'Prod. GEXCAN'!D16</f>
        <v>0</v>
      </c>
      <c r="F18" s="258">
        <f>'GEXCAN Limp.Ord.'!H$149</f>
        <v>4.8798289306653313</v>
      </c>
      <c r="G18" s="257">
        <f>'Prod. GEXCAN'!E16</f>
        <v>980</v>
      </c>
      <c r="H18" s="258">
        <f>'GEXCAN Limp.Ord.'!H$155</f>
        <v>5.4178015251204252</v>
      </c>
      <c r="I18" s="257">
        <f>'Prod. GEXCAN'!F16</f>
        <v>0</v>
      </c>
      <c r="J18" s="258">
        <f>'GEXCAN Limp.Ord.'!H$161</f>
        <v>1.91289294082081</v>
      </c>
      <c r="K18" s="257">
        <f>'Prod. GEXCAN'!G16</f>
        <v>0</v>
      </c>
      <c r="L18" s="258">
        <f>'GEXCAN Limp.Ord.'!H$167</f>
        <v>3.1881549013680166</v>
      </c>
      <c r="M18" s="257">
        <f>'Prod. GEXCAN'!H16</f>
        <v>0</v>
      </c>
      <c r="N18" s="258">
        <f>'GEXCAN Limp.Ord.'!H$173</f>
        <v>21.237781978472064</v>
      </c>
      <c r="O18" s="257">
        <f>'Prod. GEXCAN'!I16</f>
        <v>0</v>
      </c>
      <c r="P18" s="258">
        <f>'GEXCAN Limp.Ord.'!H$179</f>
        <v>2.2772535009771544</v>
      </c>
      <c r="Q18" s="257">
        <f>'Prod. GEXCAN'!J16</f>
        <v>0</v>
      </c>
      <c r="R18" s="258">
        <f>'GEXCAN Limp.Ord.'!H$182</f>
        <v>4.7822323520520252E-2</v>
      </c>
      <c r="S18" s="257">
        <f>'Prod. GEXCAN'!K16</f>
        <v>0</v>
      </c>
      <c r="T18" s="258">
        <f>'GEXCAN Limp.Ord.'!H$185</f>
        <v>0.63763098027360332</v>
      </c>
      <c r="U18" s="257">
        <f>'Prod. GEXCAN'!L16</f>
        <v>0</v>
      </c>
      <c r="V18" s="258">
        <f>'GEXCAN Limp.Ord.'!H$191</f>
        <v>0.26112271364210926</v>
      </c>
      <c r="W18" s="257">
        <f>'Prod. GEXCAN'!M16</f>
        <v>0</v>
      </c>
      <c r="X18" s="258">
        <f>'GEXCAN Limp.Ord.'!H$194</f>
        <v>1.0667363406725388</v>
      </c>
      <c r="Y18" s="257">
        <f>'Prod. GEXCAN'!N16</f>
        <v>0</v>
      </c>
      <c r="Z18" s="258">
        <f>'GEXCAN Limp.Ord.'!H$197</f>
        <v>1.0667363406725388</v>
      </c>
      <c r="AA18" s="259">
        <f t="shared" si="0"/>
        <v>5309.4454946180167</v>
      </c>
      <c r="AB18" s="260">
        <f>('GEXCAN Covid'!C$131*'Prod. GEXCAN'!T16)+('GEXCAN Covid'!D$131*'Prod. GEXCAN'!U16)</f>
        <v>0</v>
      </c>
      <c r="AC18" s="261">
        <f>'GEXCAN Limp.Ord.'!C$141*'Prod. GEXCAN'!V16</f>
        <v>151.94345877432548</v>
      </c>
      <c r="AD18" s="262">
        <f>'GEXCAN Covid'!C$136*'Prod. GEXCAN'!W16</f>
        <v>130.76759662138099</v>
      </c>
      <c r="AE18" s="263"/>
    </row>
    <row r="19" spans="1:1012" ht="14.25" customHeight="1" x14ac:dyDescent="0.2">
      <c r="A19" s="792"/>
      <c r="B19" s="792"/>
      <c r="C19" s="792"/>
      <c r="D19" s="792"/>
      <c r="E19" s="264">
        <f>SUM(E6:E18)</f>
        <v>3103.0459999999998</v>
      </c>
      <c r="F19" s="265"/>
      <c r="G19" s="264">
        <f>SUM(G6:G18)</f>
        <v>10623.984</v>
      </c>
      <c r="H19" s="265"/>
      <c r="I19" s="266">
        <f>SUM(I6:I18)</f>
        <v>652.45000000000005</v>
      </c>
      <c r="J19" s="267"/>
      <c r="K19" s="266">
        <f>SUM(K6:K18)</f>
        <v>267.91999999999996</v>
      </c>
      <c r="L19" s="267"/>
      <c r="M19" s="266">
        <f>SUM(M6:M18)</f>
        <v>539.79999999999995</v>
      </c>
      <c r="N19" s="267"/>
      <c r="O19" s="266">
        <f>SUM(O6:O18)</f>
        <v>820.80000000000007</v>
      </c>
      <c r="P19" s="267"/>
      <c r="Q19" s="268">
        <f>SUM(Q6:Q18)</f>
        <v>2467.7799999999997</v>
      </c>
      <c r="R19" s="267"/>
      <c r="S19" s="266">
        <f>SUM(S6:S18)</f>
        <v>3182.52</v>
      </c>
      <c r="T19" s="267"/>
      <c r="U19" s="266">
        <f>SUM(U6:U18)</f>
        <v>91.656000000000006</v>
      </c>
      <c r="V19" s="269"/>
      <c r="W19" s="268">
        <f>SUM(W6:W18)</f>
        <v>846.48000000000013</v>
      </c>
      <c r="X19" s="267"/>
      <c r="Y19" s="270">
        <f>SUM(Y6:Y18)</f>
        <v>846.48000000000013</v>
      </c>
      <c r="Z19" s="267"/>
      <c r="AA19" s="267">
        <f>SUM(AA6:AA18)</f>
        <v>91838.850793118443</v>
      </c>
      <c r="AB19" s="271">
        <f>SUM(AB6:AB18)</f>
        <v>30414.210031094903</v>
      </c>
      <c r="AC19" s="270">
        <f>SUM(AC6:AC18)</f>
        <v>1969.2679776951043</v>
      </c>
      <c r="AD19" s="271">
        <f>SUM(AD6:AD18)</f>
        <v>1694.8175500540187</v>
      </c>
      <c r="AE19" s="267">
        <f>SUM(AE6:AE18)</f>
        <v>4043.6000000000004</v>
      </c>
      <c r="ALN19" s="272"/>
      <c r="ALO19" s="272"/>
      <c r="ALP19" s="272"/>
      <c r="ALQ19" s="272"/>
      <c r="ALR19" s="272"/>
      <c r="ALS19" s="272"/>
      <c r="ALT19" s="272"/>
      <c r="ALU19" s="272"/>
      <c r="ALV19" s="272"/>
      <c r="ALW19" s="272"/>
      <c r="ALX19" s="272"/>
    </row>
    <row r="20" spans="1:1012" ht="14.25" x14ac:dyDescent="0.2">
      <c r="A20" s="227" t="s">
        <v>81</v>
      </c>
      <c r="B20" s="273" t="s">
        <v>383</v>
      </c>
      <c r="C20" s="274" t="s">
        <v>384</v>
      </c>
      <c r="D20" s="275">
        <f>MC!J71</f>
        <v>0.02</v>
      </c>
      <c r="E20" s="231">
        <f>'Prod. GEXNHB'!D4</f>
        <v>0</v>
      </c>
      <c r="F20" s="232">
        <f>'GEXNHB Limp.Ord. '!D$156</f>
        <v>4.2151477389473095</v>
      </c>
      <c r="G20" s="276">
        <f>'Prod. GEXNHB'!E4</f>
        <v>825</v>
      </c>
      <c r="H20" s="232">
        <f>'GEXNHB Limp.Ord. '!D$162</f>
        <v>4.689032023302401</v>
      </c>
      <c r="I20" s="276">
        <f>'Prod. GEXNHB'!F4</f>
        <v>0</v>
      </c>
      <c r="J20" s="277">
        <f>'GEXNHB Limp.Ord. '!D$168</f>
        <v>2.5759236182455778</v>
      </c>
      <c r="K20" s="276">
        <f>'Prod. GEXNHB'!G4</f>
        <v>0</v>
      </c>
      <c r="L20" s="277">
        <f>'GEXNHB Limp.Ord. '!D$174</f>
        <v>4.6366625128420402</v>
      </c>
      <c r="M20" s="276">
        <f>'Prod. GEXNHB'!H4</f>
        <v>0</v>
      </c>
      <c r="N20" s="277">
        <f>'GEXNHB Limp.Ord. '!D$180</f>
        <v>20.631740902530563</v>
      </c>
      <c r="O20" s="276">
        <f>'Prod. GEXNHB'!I4</f>
        <v>0</v>
      </c>
      <c r="P20" s="277">
        <f>'GEXNHB Limp.Ord. '!D$186</f>
        <v>1.7172824121637185</v>
      </c>
      <c r="Q20" s="276">
        <f>'Prod. GEXNHB'!J4</f>
        <v>0</v>
      </c>
      <c r="R20" s="277">
        <f>'GEXNHB Limp.Ord. '!D$189</f>
        <v>4.6366625128420408E-2</v>
      </c>
      <c r="S20" s="276">
        <f>'Prod. GEXNHB'!K4</f>
        <v>0</v>
      </c>
      <c r="T20" s="277">
        <f>'GEXNHB Limp.Ord. '!D$192</f>
        <v>0.51518472364911561</v>
      </c>
      <c r="U20" s="278">
        <f>'Prod. GEXNHB'!L4</f>
        <v>82.1</v>
      </c>
      <c r="V20" s="277">
        <f>'GEXNHB Limp.Ord. '!D$198</f>
        <v>0.25793896412170053</v>
      </c>
      <c r="W20" s="276">
        <f>'Prod. GEXNHB'!M4</f>
        <v>0</v>
      </c>
      <c r="X20" s="277">
        <f>'GEXNHB Limp.Ord. '!D$201</f>
        <v>1.0342651794742508</v>
      </c>
      <c r="Y20" s="276">
        <f>'Prod. GEXNHB'!N4</f>
        <v>0</v>
      </c>
      <c r="Z20" s="277">
        <f>'GEXNHB Limp.Ord. '!H204</f>
        <v>1.0456275968945872</v>
      </c>
      <c r="AA20" s="233">
        <f t="shared" ref="AA20:AA37" si="1">(E20*F20)+(G20*H20)+(I20*J20)+(K20*L20)+(M20*N20)+(O20*P20)+(Q20*R20)+(S20*T20)+(U20*V20)+(W20*X20)+(Y20*Z20)</f>
        <v>3889.6282081788727</v>
      </c>
      <c r="AB20" s="234">
        <f>('GEXNHB Covid '!C$134*'Prod. GEXNHB'!V4)+('GEXNHB Covid '!D$134*'Prod. GEXNHB'!W4)</f>
        <v>0</v>
      </c>
      <c r="AC20" s="235">
        <f>'GEXNHB Limp.Ord. '!C$145*'Prod. GEXNHB'!X4</f>
        <v>149.73321774196523</v>
      </c>
      <c r="AD20" s="236">
        <f>'GEXNHB Covid '!C$140*'Prod. GEXNHB'!Y4</f>
        <v>129.25724531217608</v>
      </c>
      <c r="AE20" s="237">
        <f>MC!C15*'Prod. GEXNHB'!Z4</f>
        <v>4043.6000000000004</v>
      </c>
      <c r="ALN20" s="272"/>
      <c r="ALO20" s="272"/>
      <c r="ALP20" s="272"/>
      <c r="ALQ20" s="272"/>
      <c r="ALR20" s="272"/>
      <c r="ALS20" s="272"/>
      <c r="ALT20" s="272"/>
      <c r="ALU20" s="272"/>
      <c r="ALV20" s="272"/>
      <c r="ALW20" s="272"/>
      <c r="ALX20" s="272"/>
    </row>
    <row r="21" spans="1:1012" ht="14.25" x14ac:dyDescent="0.2">
      <c r="A21" s="238" t="s">
        <v>83</v>
      </c>
      <c r="B21" s="279" t="s">
        <v>385</v>
      </c>
      <c r="C21" s="240" t="s">
        <v>384</v>
      </c>
      <c r="D21" s="280">
        <f>MC!J72</f>
        <v>0.02</v>
      </c>
      <c r="E21" s="242">
        <f>'Prod. GEXNHB'!D5</f>
        <v>0</v>
      </c>
      <c r="F21" s="243">
        <f>'GEXNHB Limp.Ord. '!D$156</f>
        <v>4.2151477389473095</v>
      </c>
      <c r="G21" s="281">
        <f>'Prod. GEXNHB'!E5</f>
        <v>550</v>
      </c>
      <c r="H21" s="243">
        <f>'GEXNHB Limp.Ord. '!D$162</f>
        <v>4.689032023302401</v>
      </c>
      <c r="I21" s="281">
        <f>'Prod. GEXNHB'!F5</f>
        <v>0</v>
      </c>
      <c r="J21" s="282">
        <f>'GEXNHB Limp.Ord. '!D$168</f>
        <v>2.5759236182455778</v>
      </c>
      <c r="K21" s="281">
        <f>'Prod. GEXNHB'!G5</f>
        <v>0</v>
      </c>
      <c r="L21" s="282">
        <f>'GEXNHB Limp.Ord. '!D$174</f>
        <v>4.6366625128420402</v>
      </c>
      <c r="M21" s="281">
        <f>'Prod. GEXNHB'!H5</f>
        <v>0</v>
      </c>
      <c r="N21" s="282">
        <f>'GEXNHB Limp.Ord. '!D$180</f>
        <v>20.631740902530563</v>
      </c>
      <c r="O21" s="281">
        <f>'Prod. GEXNHB'!I5</f>
        <v>0</v>
      </c>
      <c r="P21" s="282">
        <f>'GEXNHB Limp.Ord. '!D$186</f>
        <v>1.7172824121637185</v>
      </c>
      <c r="Q21" s="281">
        <f>'Prod. GEXNHB'!J5</f>
        <v>0</v>
      </c>
      <c r="R21" s="282">
        <f>'GEXNHB Limp.Ord. '!D$189</f>
        <v>4.6366625128420408E-2</v>
      </c>
      <c r="S21" s="281">
        <f>'Prod. GEXNHB'!K5</f>
        <v>0</v>
      </c>
      <c r="T21" s="282">
        <f>'GEXNHB Limp.Ord. '!D$192</f>
        <v>0.51518472364911561</v>
      </c>
      <c r="U21" s="283">
        <f>'Prod. GEXNHB'!L5</f>
        <v>0</v>
      </c>
      <c r="V21" s="282">
        <f>'GEXNHB Limp.Ord. '!D$198</f>
        <v>0.25793896412170053</v>
      </c>
      <c r="W21" s="281">
        <f>'Prod. GEXNHB'!M5</f>
        <v>0</v>
      </c>
      <c r="X21" s="282">
        <f>'GEXNHB Limp.Ord. '!D$201</f>
        <v>1.0342651794742508</v>
      </c>
      <c r="Y21" s="281">
        <f>'Prod. GEXNHB'!N5</f>
        <v>0</v>
      </c>
      <c r="Z21" s="282">
        <f>'GEXNHB Limp.Ord. '!H205</f>
        <v>0</v>
      </c>
      <c r="AA21" s="244">
        <f t="shared" si="1"/>
        <v>2578.9676128163205</v>
      </c>
      <c r="AB21" s="245">
        <f>('GEXNHB Covid '!C$134*'Prod. GEXNHB'!V5)+('GEXNHB Covid '!D$134*'Prod. GEXNHB'!W5)</f>
        <v>0</v>
      </c>
      <c r="AC21" s="246">
        <f>'GEXNHB Limp.Ord. '!C$145*'Prod. GEXNHB'!X5</f>
        <v>149.73321774196523</v>
      </c>
      <c r="AD21" s="247">
        <f>'GEXNHB Covid '!C$140*'Prod. GEXNHB'!Y5</f>
        <v>129.25724531217608</v>
      </c>
      <c r="AE21" s="248"/>
      <c r="ALN21" s="272"/>
      <c r="ALO21" s="272"/>
      <c r="ALP21" s="272"/>
      <c r="ALQ21" s="272"/>
      <c r="ALR21" s="272"/>
      <c r="ALS21" s="272"/>
      <c r="ALT21" s="272"/>
      <c r="ALU21" s="272"/>
      <c r="ALV21" s="272"/>
      <c r="ALW21" s="272"/>
      <c r="ALX21" s="272"/>
    </row>
    <row r="22" spans="1:1012" ht="14.25" x14ac:dyDescent="0.2">
      <c r="A22" s="238" t="s">
        <v>85</v>
      </c>
      <c r="B22" s="279" t="s">
        <v>386</v>
      </c>
      <c r="C22" s="240" t="s">
        <v>387</v>
      </c>
      <c r="D22" s="280">
        <f>MC!J73</f>
        <v>0.02</v>
      </c>
      <c r="E22" s="242">
        <f>'Prod. GEXNHB'!D6</f>
        <v>0</v>
      </c>
      <c r="F22" s="243">
        <f>'GEXNHB Limp.Ord. '!D$156</f>
        <v>4.2151477389473095</v>
      </c>
      <c r="G22" s="281">
        <f>'Prod. GEXNHB'!E6</f>
        <v>825</v>
      </c>
      <c r="H22" s="243">
        <f>'GEXNHB Limp.Ord. '!D$162</f>
        <v>4.689032023302401</v>
      </c>
      <c r="I22" s="281">
        <f>'Prod. GEXNHB'!F6</f>
        <v>0</v>
      </c>
      <c r="J22" s="282">
        <f>'GEXNHB Limp.Ord. '!D$168</f>
        <v>2.5759236182455778</v>
      </c>
      <c r="K22" s="281">
        <f>'Prod. GEXNHB'!G6</f>
        <v>0</v>
      </c>
      <c r="L22" s="282">
        <f>'GEXNHB Limp.Ord. '!D$174</f>
        <v>4.6366625128420402</v>
      </c>
      <c r="M22" s="281">
        <f>'Prod. GEXNHB'!H6</f>
        <v>0</v>
      </c>
      <c r="N22" s="282">
        <f>'GEXNHB Limp.Ord. '!D$180</f>
        <v>20.631740902530563</v>
      </c>
      <c r="O22" s="281">
        <f>'Prod. GEXNHB'!I6</f>
        <v>0</v>
      </c>
      <c r="P22" s="282">
        <f>'GEXNHB Limp.Ord. '!D$186</f>
        <v>1.7172824121637185</v>
      </c>
      <c r="Q22" s="281">
        <f>'Prod. GEXNHB'!J6</f>
        <v>0</v>
      </c>
      <c r="R22" s="282">
        <f>'GEXNHB Limp.Ord. '!D$189</f>
        <v>4.6366625128420408E-2</v>
      </c>
      <c r="S22" s="281">
        <f>'Prod. GEXNHB'!K6</f>
        <v>0</v>
      </c>
      <c r="T22" s="282">
        <f>'GEXNHB Limp.Ord. '!D$192</f>
        <v>0.51518472364911561</v>
      </c>
      <c r="U22" s="283">
        <f>'Prod. GEXNHB'!L6</f>
        <v>0</v>
      </c>
      <c r="V22" s="282">
        <f>'GEXNHB Limp.Ord. '!D$198</f>
        <v>0.25793896412170053</v>
      </c>
      <c r="W22" s="281">
        <f>'Prod. GEXNHB'!M6</f>
        <v>0</v>
      </c>
      <c r="X22" s="282">
        <f>'GEXNHB Limp.Ord. '!D$201</f>
        <v>1.0342651794742508</v>
      </c>
      <c r="Y22" s="281">
        <f>'Prod. GEXNHB'!N6</f>
        <v>0</v>
      </c>
      <c r="Z22" s="282">
        <f>'GEXNHB Limp.Ord. '!H206</f>
        <v>0</v>
      </c>
      <c r="AA22" s="244">
        <f t="shared" si="1"/>
        <v>3868.451419224481</v>
      </c>
      <c r="AB22" s="245">
        <f>('GEXNHB Covid '!C$134*'Prod. GEXNHB'!V6)+('GEXNHB Covid '!D$134*'Prod. GEXNHB'!W6)</f>
        <v>0</v>
      </c>
      <c r="AC22" s="246">
        <f>'GEXNHB Limp.Ord. '!C$145*'Prod. GEXNHB'!X6</f>
        <v>149.73321774196523</v>
      </c>
      <c r="AD22" s="247">
        <f>'GEXNHB Covid '!C$140*'Prod. GEXNHB'!Y6</f>
        <v>129.25724531217608</v>
      </c>
      <c r="AE22" s="248"/>
      <c r="ALN22" s="272"/>
      <c r="ALO22" s="272"/>
      <c r="ALP22" s="272"/>
      <c r="ALQ22" s="272"/>
      <c r="ALR22" s="272"/>
      <c r="ALS22" s="272"/>
      <c r="ALT22" s="272"/>
      <c r="ALU22" s="272"/>
      <c r="ALV22" s="272"/>
      <c r="ALW22" s="272"/>
      <c r="ALX22" s="272"/>
    </row>
    <row r="23" spans="1:1012" ht="14.25" x14ac:dyDescent="0.2">
      <c r="A23" s="238" t="s">
        <v>87</v>
      </c>
      <c r="B23" s="279" t="s">
        <v>388</v>
      </c>
      <c r="C23" s="240" t="s">
        <v>389</v>
      </c>
      <c r="D23" s="280">
        <f>MC!J74</f>
        <v>0.02</v>
      </c>
      <c r="E23" s="242">
        <f>'Prod. GEXNHB'!D7</f>
        <v>0</v>
      </c>
      <c r="F23" s="243">
        <f>'GEXNHB Limp.Ord. '!D$156</f>
        <v>4.2151477389473095</v>
      </c>
      <c r="G23" s="281">
        <f>'Prod. GEXNHB'!E7</f>
        <v>825</v>
      </c>
      <c r="H23" s="243">
        <f>'GEXNHB Limp.Ord. '!D$162</f>
        <v>4.689032023302401</v>
      </c>
      <c r="I23" s="281">
        <f>'Prod. GEXNHB'!F7</f>
        <v>0</v>
      </c>
      <c r="J23" s="282">
        <f>'GEXNHB Limp.Ord. '!D$168</f>
        <v>2.5759236182455778</v>
      </c>
      <c r="K23" s="281">
        <f>'Prod. GEXNHB'!G7</f>
        <v>0</v>
      </c>
      <c r="L23" s="282">
        <f>'GEXNHB Limp.Ord. '!D$174</f>
        <v>4.6366625128420402</v>
      </c>
      <c r="M23" s="281">
        <f>'Prod. GEXNHB'!H7</f>
        <v>0</v>
      </c>
      <c r="N23" s="282">
        <f>'GEXNHB Limp.Ord. '!D$180</f>
        <v>20.631740902530563</v>
      </c>
      <c r="O23" s="281">
        <f>'Prod. GEXNHB'!I7</f>
        <v>0</v>
      </c>
      <c r="P23" s="282">
        <f>'GEXNHB Limp.Ord. '!D$186</f>
        <v>1.7172824121637185</v>
      </c>
      <c r="Q23" s="281">
        <f>'Prod. GEXNHB'!J7</f>
        <v>0</v>
      </c>
      <c r="R23" s="282">
        <f>'GEXNHB Limp.Ord. '!D$189</f>
        <v>4.6366625128420408E-2</v>
      </c>
      <c r="S23" s="281">
        <f>'Prod. GEXNHB'!K7</f>
        <v>0</v>
      </c>
      <c r="T23" s="282">
        <f>'GEXNHB Limp.Ord. '!D$192</f>
        <v>0.51518472364911561</v>
      </c>
      <c r="U23" s="283">
        <f>'Prod. GEXNHB'!L7</f>
        <v>0</v>
      </c>
      <c r="V23" s="282">
        <f>'GEXNHB Limp.Ord. '!D$198</f>
        <v>0.25793896412170053</v>
      </c>
      <c r="W23" s="281">
        <f>'Prod. GEXNHB'!M7</f>
        <v>0</v>
      </c>
      <c r="X23" s="282">
        <f>'GEXNHB Limp.Ord. '!D$201</f>
        <v>1.0342651794742508</v>
      </c>
      <c r="Y23" s="281">
        <f>'Prod. GEXNHB'!N7</f>
        <v>0</v>
      </c>
      <c r="Z23" s="282">
        <f>'GEXNHB Limp.Ord. '!H207</f>
        <v>0</v>
      </c>
      <c r="AA23" s="244">
        <f t="shared" si="1"/>
        <v>3868.451419224481</v>
      </c>
      <c r="AB23" s="245">
        <f>('GEXNHB Covid '!C$134*'Prod. GEXNHB'!V7)+('GEXNHB Covid '!D$134*'Prod. GEXNHB'!W7)</f>
        <v>0</v>
      </c>
      <c r="AC23" s="246">
        <f>'GEXNHB Limp.Ord. '!C$145*'Prod. GEXNHB'!X7</f>
        <v>149.73321774196523</v>
      </c>
      <c r="AD23" s="247">
        <f>'GEXNHB Covid '!C$140*'Prod. GEXNHB'!Y7</f>
        <v>129.25724531217608</v>
      </c>
      <c r="AE23" s="248"/>
      <c r="ALN23" s="272"/>
      <c r="ALO23" s="272"/>
      <c r="ALP23" s="272"/>
      <c r="ALQ23" s="272"/>
      <c r="ALR23" s="272"/>
      <c r="ALS23" s="272"/>
      <c r="ALT23" s="272"/>
      <c r="ALU23" s="272"/>
      <c r="ALV23" s="272"/>
      <c r="ALW23" s="272"/>
      <c r="ALX23" s="272"/>
    </row>
    <row r="24" spans="1:1012" ht="14.25" x14ac:dyDescent="0.2">
      <c r="A24" s="238" t="s">
        <v>89</v>
      </c>
      <c r="B24" s="279" t="s">
        <v>390</v>
      </c>
      <c r="C24" s="240" t="s">
        <v>391</v>
      </c>
      <c r="D24" s="280">
        <f>MC!J75</f>
        <v>2.5000000000000001E-2</v>
      </c>
      <c r="E24" s="284">
        <f>'Prod. GEXNHB'!D8</f>
        <v>402.19799999999998</v>
      </c>
      <c r="F24" s="243">
        <f>'GEXNHB Limp.Ord. '!F$156</f>
        <v>4.2381703222348444</v>
      </c>
      <c r="G24" s="281">
        <f>'Prod. GEXNHB'!E8</f>
        <v>428.25200000000001</v>
      </c>
      <c r="H24" s="243">
        <f>'GEXNHB Limp.Ord. '!F$162</f>
        <v>4.7147395033851485</v>
      </c>
      <c r="I24" s="281">
        <f>'Prod. GEXNHB'!F8</f>
        <v>448.99</v>
      </c>
      <c r="J24" s="282">
        <f>'GEXNHB Limp.Ord. '!F$168</f>
        <v>2.5899929746990713</v>
      </c>
      <c r="K24" s="281">
        <f>'Prod. GEXNHB'!G8</f>
        <v>89</v>
      </c>
      <c r="L24" s="282">
        <f>'GEXNHB Limp.Ord. '!F$174</f>
        <v>4.6619873544583283</v>
      </c>
      <c r="M24" s="281">
        <f>'Prod. GEXNHB'!H8</f>
        <v>152.66999999999999</v>
      </c>
      <c r="N24" s="282">
        <f>'GEXNHB Limp.Ord. '!F$180</f>
        <v>20.744853814894654</v>
      </c>
      <c r="O24" s="281">
        <f>'Prod. GEXNHB'!I8</f>
        <v>0</v>
      </c>
      <c r="P24" s="282">
        <f>'GEXNHB Limp.Ord. '!F$186</f>
        <v>1.7266619831327144</v>
      </c>
      <c r="Q24" s="281">
        <f>'Prod. GEXNHB'!J8</f>
        <v>0</v>
      </c>
      <c r="R24" s="282">
        <f>'GEXNHB Limp.Ord. '!F$189</f>
        <v>4.6619873544583294E-2</v>
      </c>
      <c r="S24" s="281">
        <f>'Prod. GEXNHB'!K8</f>
        <v>1519.51</v>
      </c>
      <c r="T24" s="282">
        <f>'GEXNHB Limp.Ord. '!F$192</f>
        <v>0.51799859493981426</v>
      </c>
      <c r="U24" s="283">
        <f>'Prod. GEXNHB'!L8</f>
        <v>0</v>
      </c>
      <c r="V24" s="282">
        <f>'GEXNHB Limp.Ord. '!F$198</f>
        <v>0.25912886809745567</v>
      </c>
      <c r="W24" s="281">
        <f>'Prod. GEXNHB'!M8</f>
        <v>41.39</v>
      </c>
      <c r="X24" s="282">
        <f>'GEXNHB Limp.Ord. '!F$201</f>
        <v>1.0399142000330868</v>
      </c>
      <c r="Y24" s="281">
        <f>'Prod. GEXNHB'!N8</f>
        <v>41.39</v>
      </c>
      <c r="Z24" s="282">
        <f>'GEXNHB Limp.Ord. '!F$204</f>
        <v>1.0399142000330868</v>
      </c>
      <c r="AA24" s="285">
        <f t="shared" si="1"/>
        <v>9341.7830437185366</v>
      </c>
      <c r="AB24" s="245">
        <f>('GEXNHB Covid '!C$135*'Prod. GEXNHB'!V8)+('GEXNHB Covid '!D$135*'Prod. GEXNHB'!W8)</f>
        <v>0</v>
      </c>
      <c r="AC24" s="246">
        <f>'GEXNHB Limp.Ord. '!C$146*'Prod. GEXNHB'!X8</f>
        <v>150.58156458469591</v>
      </c>
      <c r="AD24" s="247">
        <f>'GEXNHB Covid '!C$141*'Prod. GEXNHB'!Y8</f>
        <v>129.98958097966718</v>
      </c>
      <c r="AE24" s="248"/>
      <c r="ALN24" s="272"/>
      <c r="ALO24" s="272"/>
      <c r="ALP24" s="272"/>
      <c r="ALQ24" s="272"/>
      <c r="ALR24" s="272"/>
      <c r="ALS24" s="272"/>
      <c r="ALT24" s="272"/>
      <c r="ALU24" s="272"/>
      <c r="ALV24" s="272"/>
      <c r="ALW24" s="272"/>
      <c r="ALX24" s="272"/>
    </row>
    <row r="25" spans="1:1012" ht="14.25" x14ac:dyDescent="0.2">
      <c r="A25" s="238" t="s">
        <v>91</v>
      </c>
      <c r="B25" s="279" t="s">
        <v>392</v>
      </c>
      <c r="C25" s="240" t="s">
        <v>393</v>
      </c>
      <c r="D25" s="280">
        <f>MC!J76</f>
        <v>2.5000000000000001E-2</v>
      </c>
      <c r="E25" s="284">
        <f>'Prod. GEXNHB'!D9</f>
        <v>0</v>
      </c>
      <c r="F25" s="243">
        <f>'GEXNHB Limp.Ord. '!F$156</f>
        <v>4.2381703222348444</v>
      </c>
      <c r="G25" s="281">
        <f>'Prod. GEXNHB'!E9</f>
        <v>825</v>
      </c>
      <c r="H25" s="243">
        <f>'GEXNHB Limp.Ord. '!F$162</f>
        <v>4.7147395033851485</v>
      </c>
      <c r="I25" s="281">
        <f>'Prod. GEXNHB'!F9</f>
        <v>0</v>
      </c>
      <c r="J25" s="282">
        <f>'GEXNHB Limp.Ord. '!F$168</f>
        <v>2.5899929746990713</v>
      </c>
      <c r="K25" s="281">
        <f>'Prod. GEXNHB'!G9</f>
        <v>0</v>
      </c>
      <c r="L25" s="282">
        <f>'GEXNHB Limp.Ord. '!F$174</f>
        <v>4.6619873544583283</v>
      </c>
      <c r="M25" s="281">
        <f>'Prod. GEXNHB'!H9</f>
        <v>0</v>
      </c>
      <c r="N25" s="282">
        <f>'GEXNHB Limp.Ord. '!F$180</f>
        <v>20.744853814894654</v>
      </c>
      <c r="O25" s="281">
        <f>'Prod. GEXNHB'!I9</f>
        <v>0</v>
      </c>
      <c r="P25" s="282">
        <f>'GEXNHB Limp.Ord. '!F$186</f>
        <v>1.7266619831327144</v>
      </c>
      <c r="Q25" s="281">
        <f>'Prod. GEXNHB'!J9</f>
        <v>0</v>
      </c>
      <c r="R25" s="282">
        <f>'GEXNHB Limp.Ord. '!F$189</f>
        <v>4.6619873544583294E-2</v>
      </c>
      <c r="S25" s="281">
        <f>'Prod. GEXNHB'!K9</f>
        <v>0</v>
      </c>
      <c r="T25" s="282">
        <f>'GEXNHB Limp.Ord. '!F$192</f>
        <v>0.51799859493981426</v>
      </c>
      <c r="U25" s="283">
        <f>'Prod. GEXNHB'!L9</f>
        <v>0</v>
      </c>
      <c r="V25" s="282">
        <f>'GEXNHB Limp.Ord. '!F$198</f>
        <v>0.25912886809745567</v>
      </c>
      <c r="W25" s="281">
        <f>'Prod. GEXNHB'!M9</f>
        <v>0</v>
      </c>
      <c r="X25" s="282">
        <f>'GEXNHB Limp.Ord. '!F$201</f>
        <v>1.0399142000330868</v>
      </c>
      <c r="Y25" s="281">
        <f>'Prod. GEXNHB'!N9</f>
        <v>0</v>
      </c>
      <c r="Z25" s="282">
        <f>'GEXNHB Limp.Ord. '!F$204</f>
        <v>1.0399142000330868</v>
      </c>
      <c r="AA25" s="285">
        <f t="shared" si="1"/>
        <v>3889.6600902927476</v>
      </c>
      <c r="AB25" s="245">
        <f>('GEXNHB Covid '!C$135*'Prod. GEXNHB'!V9)+('GEXNHB Covid '!D$135*'Prod. GEXNHB'!W9)</f>
        <v>0</v>
      </c>
      <c r="AC25" s="246">
        <f>'GEXNHB Limp.Ord. '!C$146*'Prod. GEXNHB'!X9</f>
        <v>150.58156458469591</v>
      </c>
      <c r="AD25" s="247">
        <f>'GEXNHB Covid '!C$141*'Prod. GEXNHB'!Y9</f>
        <v>129.98958097966718</v>
      </c>
      <c r="AE25" s="248"/>
      <c r="ALN25" s="272"/>
      <c r="ALO25" s="272"/>
      <c r="ALP25" s="272"/>
      <c r="ALQ25" s="272"/>
      <c r="ALR25" s="272"/>
      <c r="ALS25" s="272"/>
      <c r="ALT25" s="272"/>
      <c r="ALU25" s="272"/>
      <c r="ALV25" s="272"/>
      <c r="ALW25" s="272"/>
      <c r="ALX25" s="272"/>
    </row>
    <row r="26" spans="1:1012" ht="14.25" x14ac:dyDescent="0.2">
      <c r="A26" s="238" t="s">
        <v>93</v>
      </c>
      <c r="B26" s="279" t="s">
        <v>394</v>
      </c>
      <c r="C26" s="240" t="s">
        <v>395</v>
      </c>
      <c r="D26" s="280">
        <f>MC!J77</f>
        <v>2.5000000000000001E-2</v>
      </c>
      <c r="E26" s="284">
        <f>'Prod. GEXNHB'!D10</f>
        <v>543.80600000000004</v>
      </c>
      <c r="F26" s="243">
        <f>'GEXNHB Limp.Ord. '!F$156</f>
        <v>4.2381703222348444</v>
      </c>
      <c r="G26" s="281">
        <f>'Prod. GEXNHB'!E10</f>
        <v>782.14400000000001</v>
      </c>
      <c r="H26" s="243">
        <f>'GEXNHB Limp.Ord. '!F$162</f>
        <v>4.7147395033851485</v>
      </c>
      <c r="I26" s="281">
        <f>'Prod. GEXNHB'!F10</f>
        <v>350.46</v>
      </c>
      <c r="J26" s="282">
        <f>'GEXNHB Limp.Ord. '!F$168</f>
        <v>2.5899929746990713</v>
      </c>
      <c r="K26" s="281">
        <f>'Prod. GEXNHB'!G10</f>
        <v>45</v>
      </c>
      <c r="L26" s="282">
        <f>'GEXNHB Limp.Ord. '!F$174</f>
        <v>4.6619873544583283</v>
      </c>
      <c r="M26" s="281">
        <f>'Prod. GEXNHB'!H10</f>
        <v>72.239999999999995</v>
      </c>
      <c r="N26" s="282">
        <f>'GEXNHB Limp.Ord. '!F$180</f>
        <v>20.744853814894654</v>
      </c>
      <c r="O26" s="281">
        <f>'Prod. GEXNHB'!I10</f>
        <v>0</v>
      </c>
      <c r="P26" s="282">
        <f>'GEXNHB Limp.Ord. '!F$186</f>
        <v>1.7266619831327144</v>
      </c>
      <c r="Q26" s="281">
        <f>'Prod. GEXNHB'!J10</f>
        <v>0</v>
      </c>
      <c r="R26" s="282">
        <f>'GEXNHB Limp.Ord. '!F$189</f>
        <v>4.6619873544583294E-2</v>
      </c>
      <c r="S26" s="281">
        <f>'Prod. GEXNHB'!K10</f>
        <v>603.89</v>
      </c>
      <c r="T26" s="282">
        <f>'GEXNHB Limp.Ord. '!F$192</f>
        <v>0.51799859493981426</v>
      </c>
      <c r="U26" s="283">
        <f>'Prod. GEXNHB'!L10</f>
        <v>0</v>
      </c>
      <c r="V26" s="282">
        <f>'GEXNHB Limp.Ord. '!F$198</f>
        <v>0.25912886809745567</v>
      </c>
      <c r="W26" s="281">
        <f>'Prod. GEXNHB'!M10</f>
        <v>56.61</v>
      </c>
      <c r="X26" s="282">
        <f>'GEXNHB Limp.Ord. '!F$201</f>
        <v>1.0399142000330868</v>
      </c>
      <c r="Y26" s="281">
        <f>'Prod. GEXNHB'!N10</f>
        <v>56.61</v>
      </c>
      <c r="Z26" s="282">
        <f>'GEXNHB Limp.Ord. '!F$204</f>
        <v>1.0399142000330868</v>
      </c>
      <c r="AA26" s="285">
        <f t="shared" si="1"/>
        <v>9038.9875300665171</v>
      </c>
      <c r="AB26" s="245">
        <f>('GEXNHB Covid '!C$135*'Prod. GEXNHB'!V10)+('GEXNHB Covid '!D$135*'Prod. GEXNHB'!W10)</f>
        <v>3300.1766937073426</v>
      </c>
      <c r="AC26" s="246">
        <f>'GEXNHB Limp.Ord. '!C$146*'Prod. GEXNHB'!X10</f>
        <v>150.58156458469591</v>
      </c>
      <c r="AD26" s="247">
        <f>'GEXNHB Covid '!C$141*'Prod. GEXNHB'!Y10</f>
        <v>129.98958097966718</v>
      </c>
      <c r="AE26" s="248"/>
      <c r="ALN26" s="272"/>
      <c r="ALO26" s="272"/>
      <c r="ALP26" s="272"/>
      <c r="ALQ26" s="272"/>
      <c r="ALR26" s="272"/>
      <c r="ALS26" s="272"/>
      <c r="ALT26" s="272"/>
      <c r="ALU26" s="272"/>
      <c r="ALV26" s="272"/>
      <c r="ALW26" s="272"/>
      <c r="ALX26" s="272"/>
    </row>
    <row r="27" spans="1:1012" ht="14.25" x14ac:dyDescent="0.2">
      <c r="A27" s="238" t="s">
        <v>95</v>
      </c>
      <c r="B27" s="279" t="s">
        <v>396</v>
      </c>
      <c r="C27" s="240" t="s">
        <v>397</v>
      </c>
      <c r="D27" s="280">
        <f>MC!J78</f>
        <v>3.5000000000000003E-2</v>
      </c>
      <c r="E27" s="284">
        <f>'Prod. GEXNHB'!D11</f>
        <v>-518.63400000000001</v>
      </c>
      <c r="F27" s="243">
        <f>'GEXNHB Limp.Ord. '!J$156</f>
        <v>4.2850070962581954</v>
      </c>
      <c r="G27" s="281">
        <f>'Prod. GEXNHB'!E11</f>
        <v>951.98400000000004</v>
      </c>
      <c r="H27" s="243">
        <f>'GEXNHB Limp.Ord. '!J$162</f>
        <v>4.7670383883672436</v>
      </c>
      <c r="I27" s="281">
        <f>'Prod. GEXNHB'!F11</f>
        <v>424.45</v>
      </c>
      <c r="J27" s="282">
        <f>'GEXNHB Limp.Ord. '!J$168</f>
        <v>2.6186154477133416</v>
      </c>
      <c r="K27" s="281">
        <f>'Prod. GEXNHB'!G11</f>
        <v>998.64</v>
      </c>
      <c r="L27" s="282">
        <f>'GEXNHB Limp.Ord. '!J$174</f>
        <v>4.7135078058840154</v>
      </c>
      <c r="M27" s="281">
        <f>'Prod. GEXNHB'!H11</f>
        <v>33.64</v>
      </c>
      <c r="N27" s="282">
        <f>'GEXNHB Limp.Ord. '!J$180</f>
        <v>20.974968908815871</v>
      </c>
      <c r="O27" s="281">
        <f>'Prod. GEXNHB'!I11</f>
        <v>264.85000000000002</v>
      </c>
      <c r="P27" s="282">
        <f>'GEXNHB Limp.Ord. '!J$186</f>
        <v>1.7457436318088946</v>
      </c>
      <c r="Q27" s="281">
        <f>'Prod. GEXNHB'!J11</f>
        <v>0</v>
      </c>
      <c r="R27" s="282">
        <f>'GEXNHB Limp.Ord. '!J$189</f>
        <v>4.7135078058840159E-2</v>
      </c>
      <c r="S27" s="281">
        <f>'Prod. GEXNHB'!K11</f>
        <v>186.29</v>
      </c>
      <c r="T27" s="282">
        <f>'GEXNHB Limp.Ord. '!J$192</f>
        <v>0.52372308954266844</v>
      </c>
      <c r="U27" s="283">
        <f>'Prod. GEXNHB'!L11</f>
        <v>0</v>
      </c>
      <c r="V27" s="282">
        <f>'GEXNHB Limp.Ord. '!J$198</f>
        <v>0.26154958965271691</v>
      </c>
      <c r="W27" s="281">
        <f>'Prod. GEXNHB'!M11</f>
        <v>28.83</v>
      </c>
      <c r="X27" s="282">
        <f>'GEXNHB Limp.Ord. '!J$201</f>
        <v>1.051406476814672</v>
      </c>
      <c r="Y27" s="281">
        <f>'Prod. GEXNHB'!N11</f>
        <v>28.83</v>
      </c>
      <c r="Z27" s="282">
        <f>'GEXNHB Limp.Ord. '!J$204</f>
        <v>1.051406476814672</v>
      </c>
      <c r="AA27" s="285">
        <f t="shared" si="1"/>
        <v>9460.5092915817622</v>
      </c>
      <c r="AB27" s="245">
        <f>('GEXNHB Covid '!C$137*'Prod. GEXNHB'!V11)+('GEXNHB Covid '!D$137*'Prod. GEXNHB'!W11)</f>
        <v>3338.0010684203207</v>
      </c>
      <c r="AC27" s="246">
        <f>'GEXNHB Limp.Ord. '!C$148*'Prod. GEXNHB'!X11</f>
        <v>152.30742778910502</v>
      </c>
      <c r="AD27" s="247">
        <f>'GEXNHB Covid '!C$143*'Prod. GEXNHB'!Y11</f>
        <v>131.47943291066622</v>
      </c>
      <c r="AE27" s="248"/>
      <c r="ALN27" s="272"/>
      <c r="ALO27" s="272"/>
      <c r="ALP27" s="272"/>
      <c r="ALQ27" s="272"/>
      <c r="ALR27" s="272"/>
      <c r="ALS27" s="272"/>
      <c r="ALT27" s="272"/>
      <c r="ALU27" s="272"/>
      <c r="ALV27" s="272"/>
      <c r="ALW27" s="272"/>
      <c r="ALX27" s="272"/>
    </row>
    <row r="28" spans="1:1012" ht="14.25" x14ac:dyDescent="0.2">
      <c r="A28" s="238" t="s">
        <v>97</v>
      </c>
      <c r="B28" s="279" t="s">
        <v>398</v>
      </c>
      <c r="C28" s="240" t="s">
        <v>384</v>
      </c>
      <c r="D28" s="280">
        <f>MC!J79</f>
        <v>0.02</v>
      </c>
      <c r="E28" s="242">
        <f>'Prod. GEXNHB'!D12</f>
        <v>-58.773999999999944</v>
      </c>
      <c r="F28" s="243">
        <f>'GEXNHB Limp.Ord. '!D$156</f>
        <v>4.2151477389473095</v>
      </c>
      <c r="G28" s="281">
        <f>'Prod. GEXNHB'!E12</f>
        <v>737.2639999999999</v>
      </c>
      <c r="H28" s="243">
        <f>'GEXNHB Limp.Ord. '!D$162</f>
        <v>4.689032023302401</v>
      </c>
      <c r="I28" s="281">
        <f>'Prod. GEXNHB'!F12</f>
        <v>0</v>
      </c>
      <c r="J28" s="282">
        <f>'GEXNHB Limp.Ord. '!D$168</f>
        <v>2.5759236182455778</v>
      </c>
      <c r="K28" s="281">
        <f>'Prod. GEXNHB'!G12</f>
        <v>0</v>
      </c>
      <c r="L28" s="282">
        <f>'GEXNHB Limp.Ord. '!D$174</f>
        <v>4.6366625128420402</v>
      </c>
      <c r="M28" s="281">
        <f>'Prod. GEXNHB'!H12</f>
        <v>82.44</v>
      </c>
      <c r="N28" s="282">
        <f>'GEXNHB Limp.Ord. '!D$180</f>
        <v>20.631740902530563</v>
      </c>
      <c r="O28" s="281">
        <f>'Prod. GEXNHB'!I12</f>
        <v>0</v>
      </c>
      <c r="P28" s="282">
        <f>'GEXNHB Limp.Ord. '!D$186</f>
        <v>1.7172824121637185</v>
      </c>
      <c r="Q28" s="281">
        <f>'Prod. GEXNHB'!J12</f>
        <v>0</v>
      </c>
      <c r="R28" s="282">
        <f>'GEXNHB Limp.Ord. '!D$189</f>
        <v>4.6366625128420408E-2</v>
      </c>
      <c r="S28" s="281">
        <f>'Prod. GEXNHB'!K12</f>
        <v>82.48</v>
      </c>
      <c r="T28" s="282">
        <f>'GEXNHB Limp.Ord. '!D$192</f>
        <v>0.51518472364911561</v>
      </c>
      <c r="U28" s="283">
        <f>'Prod. GEXNHB'!L12</f>
        <v>0</v>
      </c>
      <c r="V28" s="282">
        <f>'GEXNHB Limp.Ord. '!D$198</f>
        <v>0.25793896412170053</v>
      </c>
      <c r="W28" s="281">
        <f>'Prod. GEXNHB'!M12</f>
        <v>23.75</v>
      </c>
      <c r="X28" s="282">
        <f>'GEXNHB Limp.Ord. '!D$201</f>
        <v>1.0342651794742508</v>
      </c>
      <c r="Y28" s="281">
        <f>'Prod. GEXNHB'!N12</f>
        <v>23.75</v>
      </c>
      <c r="Z28" s="282">
        <f>'GEXNHB Limp.Ord. '!H212</f>
        <v>0</v>
      </c>
      <c r="AA28" s="244">
        <f t="shared" si="1"/>
        <v>4977.2503664428441</v>
      </c>
      <c r="AB28" s="245">
        <f>('GEXNHB Covid '!C$134*'Prod. GEXNHB'!V12)+('GEXNHB Covid '!D$134*'Prod. GEXNHB'!W12)</f>
        <v>3281.5841489540617</v>
      </c>
      <c r="AC28" s="246">
        <f>'GEXNHB Limp.Ord. '!C$145*'Prod. GEXNHB'!X12</f>
        <v>149.73321774196523</v>
      </c>
      <c r="AD28" s="247">
        <f>'GEXNHB Covid '!C$140*'Prod. GEXNHB'!Y12</f>
        <v>129.25724531217608</v>
      </c>
      <c r="AE28" s="248"/>
      <c r="ALN28" s="272"/>
      <c r="ALO28" s="272"/>
      <c r="ALP28" s="272"/>
      <c r="ALQ28" s="272"/>
      <c r="ALR28" s="272"/>
      <c r="ALS28" s="272"/>
      <c r="ALT28" s="272"/>
      <c r="ALU28" s="272"/>
      <c r="ALV28" s="272"/>
      <c r="ALW28" s="272"/>
      <c r="ALX28" s="272"/>
    </row>
    <row r="29" spans="1:1012" ht="14.25" x14ac:dyDescent="0.2">
      <c r="A29" s="238" t="s">
        <v>99</v>
      </c>
      <c r="B29" s="279" t="s">
        <v>399</v>
      </c>
      <c r="C29" s="240" t="s">
        <v>400</v>
      </c>
      <c r="D29" s="280">
        <f>MC!J80</f>
        <v>0.03</v>
      </c>
      <c r="E29" s="284">
        <f>'Prod. GEXNHB'!D13</f>
        <v>580.49800000000005</v>
      </c>
      <c r="F29" s="243">
        <f>'GEXNHB Limp.Ord. '!H$156</f>
        <v>4.2614552711438893</v>
      </c>
      <c r="G29" s="281">
        <f>'Prod. GEXNHB'!E13</f>
        <v>524.83199999999999</v>
      </c>
      <c r="H29" s="243">
        <f>'GEXNHB Limp.Ord. '!H$162</f>
        <v>4.7407399462038819</v>
      </c>
      <c r="I29" s="281">
        <f>'Prod. GEXNHB'!F13</f>
        <v>614.05000000000007</v>
      </c>
      <c r="J29" s="282">
        <f>'GEXNHB Limp.Ord. '!H$168</f>
        <v>2.6042226656990435</v>
      </c>
      <c r="K29" s="281">
        <f>'Prod. GEXNHB'!G13</f>
        <v>588.51</v>
      </c>
      <c r="L29" s="282">
        <f>'GEXNHB Limp.Ord. '!H$174</f>
        <v>4.6876007982582788</v>
      </c>
      <c r="M29" s="281">
        <f>'Prod. GEXNHB'!H13</f>
        <v>130.72</v>
      </c>
      <c r="N29" s="282">
        <f>'GEXNHB Limp.Ord. '!H$180</f>
        <v>20.859255763297082</v>
      </c>
      <c r="O29" s="281">
        <f>'Prod. GEXNHB'!I13</f>
        <v>493.61</v>
      </c>
      <c r="P29" s="282">
        <f>'GEXNHB Limp.Ord. '!H$186</f>
        <v>1.7361484437993624</v>
      </c>
      <c r="Q29" s="281">
        <f>'Prod. GEXNHB'!J13</f>
        <v>0</v>
      </c>
      <c r="R29" s="282">
        <f>'GEXNHB Limp.Ord. '!H$189</f>
        <v>4.687600798258279E-2</v>
      </c>
      <c r="S29" s="281">
        <f>'Prod. GEXNHB'!K13</f>
        <v>369</v>
      </c>
      <c r="T29" s="282">
        <f>'GEXNHB Limp.Ord. '!H$192</f>
        <v>0.52084453313980872</v>
      </c>
      <c r="U29" s="283">
        <f>'Prod. GEXNHB'!L13</f>
        <v>0</v>
      </c>
      <c r="V29" s="282">
        <f>'GEXNHB Limp.Ord. '!H$198</f>
        <v>0.26033233223247876</v>
      </c>
      <c r="W29" s="281">
        <f>'Prod. GEXNHB'!M13</f>
        <v>79.91</v>
      </c>
      <c r="X29" s="282">
        <f>'GEXNHB Limp.Ord. '!H$201</f>
        <v>1.0456275968945872</v>
      </c>
      <c r="Y29" s="281">
        <f>'Prod. GEXNHB'!N13</f>
        <v>79.91</v>
      </c>
      <c r="Z29" s="282">
        <f>'GEXNHB Limp.Ord. '!H$204</f>
        <v>1.0456275968945872</v>
      </c>
      <c r="AA29" s="285">
        <f t="shared" si="1"/>
        <v>13262.687145076319</v>
      </c>
      <c r="AB29" s="245">
        <f>('GEXNHB Covid '!C$136*'Prod. GEXNHB'!V13)+('GEXNHB Covid '!D$136*'Prod. GEXNHB'!W13)</f>
        <v>3318.9811193125124</v>
      </c>
      <c r="AC29" s="246">
        <f>'GEXNHB Limp.Ord. '!C$147*'Prod. GEXNHB'!X13</f>
        <v>151.43957919771412</v>
      </c>
      <c r="AD29" s="247">
        <f>'GEXNHB Covid '!C$142*'Prod. GEXNHB'!Y13</f>
        <v>130.73026235277069</v>
      </c>
      <c r="AE29" s="248"/>
      <c r="ALN29" s="272"/>
      <c r="ALO29" s="272"/>
      <c r="ALP29" s="272"/>
      <c r="ALQ29" s="272"/>
      <c r="ALR29" s="272"/>
      <c r="ALS29" s="272"/>
      <c r="ALT29" s="272"/>
      <c r="ALU29" s="272"/>
      <c r="ALV29" s="272"/>
      <c r="ALW29" s="272"/>
      <c r="ALX29" s="272"/>
    </row>
    <row r="30" spans="1:1012" ht="14.25" x14ac:dyDescent="0.2">
      <c r="A30" s="238" t="s">
        <v>101</v>
      </c>
      <c r="B30" s="279" t="s">
        <v>401</v>
      </c>
      <c r="C30" s="240" t="s">
        <v>402</v>
      </c>
      <c r="D30" s="280">
        <f>MC!J81</f>
        <v>0.03</v>
      </c>
      <c r="E30" s="284">
        <f>'Prod. GEXNHB'!D14</f>
        <v>12.119999999999948</v>
      </c>
      <c r="F30" s="243">
        <f>'GEXNHB Limp.Ord. '!H$156</f>
        <v>4.2614552711438893</v>
      </c>
      <c r="G30" s="281">
        <f>'Prod. GEXNHB'!E14</f>
        <v>502.04</v>
      </c>
      <c r="H30" s="243">
        <f>'GEXNHB Limp.Ord. '!H$162</f>
        <v>4.7407399462038819</v>
      </c>
      <c r="I30" s="281">
        <f>'Prod. GEXNHB'!F14</f>
        <v>40.090000000000003</v>
      </c>
      <c r="J30" s="282">
        <f>'GEXNHB Limp.Ord. '!H$168</f>
        <v>2.6042226656990435</v>
      </c>
      <c r="K30" s="281">
        <f>'Prod. GEXNHB'!G14</f>
        <v>44</v>
      </c>
      <c r="L30" s="282">
        <f>'GEXNHB Limp.Ord. '!H$174</f>
        <v>4.6876007982582788</v>
      </c>
      <c r="M30" s="281">
        <f>'Prod. GEXNHB'!H14</f>
        <v>135.9</v>
      </c>
      <c r="N30" s="282">
        <f>'GEXNHB Limp.Ord. '!H$180</f>
        <v>20.859255763297082</v>
      </c>
      <c r="O30" s="281">
        <f>'Prod. GEXNHB'!I14</f>
        <v>0</v>
      </c>
      <c r="P30" s="282">
        <f>'GEXNHB Limp.Ord. '!H$186</f>
        <v>1.7361484437993624</v>
      </c>
      <c r="Q30" s="281">
        <f>'Prod. GEXNHB'!J14</f>
        <v>0</v>
      </c>
      <c r="R30" s="282">
        <f>'GEXNHB Limp.Ord. '!H$189</f>
        <v>4.687600798258279E-2</v>
      </c>
      <c r="S30" s="281">
        <f>'Prod. GEXNHB'!K14</f>
        <v>1238.5</v>
      </c>
      <c r="T30" s="282">
        <f>'GEXNHB Limp.Ord. '!H$192</f>
        <v>0.52084453313980872</v>
      </c>
      <c r="U30" s="283">
        <f>'Prod. GEXNHB'!L14</f>
        <v>0</v>
      </c>
      <c r="V30" s="282">
        <f>'GEXNHB Limp.Ord. '!H$198</f>
        <v>0.26033233223247876</v>
      </c>
      <c r="W30" s="281">
        <f>'Prod. GEXNHB'!M14</f>
        <v>47.96</v>
      </c>
      <c r="X30" s="282">
        <f>'GEXNHB Limp.Ord. '!H$201</f>
        <v>1.0456275968945872</v>
      </c>
      <c r="Y30" s="281">
        <f>'Prod. GEXNHB'!N14</f>
        <v>47.96</v>
      </c>
      <c r="Z30" s="282">
        <f>'GEXNHB Limp.Ord. '!H$204</f>
        <v>1.0456275968945872</v>
      </c>
      <c r="AA30" s="285">
        <f t="shared" si="1"/>
        <v>6322.483053889554</v>
      </c>
      <c r="AB30" s="245">
        <f>('GEXNHB Covid '!C$136*'Prod. GEXNHB'!V14)+('GEXNHB Covid '!D$136*'Prod. GEXNHB'!W14)</f>
        <v>0</v>
      </c>
      <c r="AC30" s="246">
        <f>'GEXNHB Limp.Ord. '!C$147*'Prod. GEXNHB'!X14</f>
        <v>151.43957919771412</v>
      </c>
      <c r="AD30" s="247">
        <f>'GEXNHB Covid '!C$142*'Prod. GEXNHB'!Y14</f>
        <v>130.73026235277069</v>
      </c>
      <c r="AE30" s="248"/>
      <c r="ALN30" s="272"/>
      <c r="ALO30" s="272"/>
      <c r="ALP30" s="272"/>
      <c r="ALQ30" s="272"/>
      <c r="ALR30" s="272"/>
      <c r="ALS30" s="272"/>
      <c r="ALT30" s="272"/>
      <c r="ALU30" s="272"/>
      <c r="ALV30" s="272"/>
      <c r="ALW30" s="272"/>
      <c r="ALX30" s="272"/>
    </row>
    <row r="31" spans="1:1012" ht="14.25" x14ac:dyDescent="0.2">
      <c r="A31" s="238" t="s">
        <v>103</v>
      </c>
      <c r="B31" s="279" t="s">
        <v>403</v>
      </c>
      <c r="C31" s="240" t="s">
        <v>404</v>
      </c>
      <c r="D31" s="280">
        <f>MC!J82</f>
        <v>0.02</v>
      </c>
      <c r="E31" s="242">
        <f>'Prod. GEXNHB'!D15</f>
        <v>-241.43599999999995</v>
      </c>
      <c r="F31" s="243">
        <f>'GEXNHB Limp.Ord. '!D$156</f>
        <v>4.2151477389473095</v>
      </c>
      <c r="G31" s="281">
        <f>'Prod. GEXNHB'!E15</f>
        <v>866.09600000000012</v>
      </c>
      <c r="H31" s="243">
        <f>'GEXNHB Limp.Ord. '!D$162</f>
        <v>4.689032023302401</v>
      </c>
      <c r="I31" s="281">
        <f>'Prod. GEXNHB'!F15</f>
        <v>1052.0899999999999</v>
      </c>
      <c r="J31" s="282">
        <f>'GEXNHB Limp.Ord. '!D$168</f>
        <v>2.5759236182455778</v>
      </c>
      <c r="K31" s="281">
        <f>'Prod. GEXNHB'!G15</f>
        <v>71</v>
      </c>
      <c r="L31" s="282">
        <f>'GEXNHB Limp.Ord. '!D$174</f>
        <v>4.6366625128420402</v>
      </c>
      <c r="M31" s="281">
        <f>'Prod. GEXNHB'!H15</f>
        <v>53.16</v>
      </c>
      <c r="N31" s="282">
        <f>'GEXNHB Limp.Ord. '!D$180</f>
        <v>20.631740902530563</v>
      </c>
      <c r="O31" s="281">
        <f>'Prod. GEXNHB'!I15</f>
        <v>0</v>
      </c>
      <c r="P31" s="282">
        <f>'GEXNHB Limp.Ord. '!D$186</f>
        <v>1.7172824121637185</v>
      </c>
      <c r="Q31" s="281">
        <f>'Prod. GEXNHB'!J15</f>
        <v>0</v>
      </c>
      <c r="R31" s="282">
        <f>'GEXNHB Limp.Ord. '!D$189</f>
        <v>4.6366625128420408E-2</v>
      </c>
      <c r="S31" s="281">
        <f>'Prod. GEXNHB'!K15</f>
        <v>1660.66</v>
      </c>
      <c r="T31" s="282">
        <f>'GEXNHB Limp.Ord. '!D$192</f>
        <v>0.51518472364911561</v>
      </c>
      <c r="U31" s="283">
        <f>'Prod. GEXNHB'!L15</f>
        <v>0</v>
      </c>
      <c r="V31" s="282">
        <f>'GEXNHB Limp.Ord. '!D$198</f>
        <v>0.25793896412170053</v>
      </c>
      <c r="W31" s="281">
        <f>'Prod. GEXNHB'!M15</f>
        <v>47.75</v>
      </c>
      <c r="X31" s="282">
        <f>'GEXNHB Limp.Ord. '!D$201</f>
        <v>1.0342651794742508</v>
      </c>
      <c r="Y31" s="281">
        <f>'Prod. GEXNHB'!N15</f>
        <v>47.75</v>
      </c>
      <c r="Z31" s="282">
        <f>'GEXNHB Limp.Ord. '!H215</f>
        <v>0</v>
      </c>
      <c r="AA31" s="244">
        <f t="shared" si="1"/>
        <v>8084.48615955897</v>
      </c>
      <c r="AB31" s="245">
        <f>('GEXNHB Covid '!C$134*'Prod. GEXNHB'!V15)+('GEXNHB Covid '!D$134*'Prod. GEXNHB'!W15)</f>
        <v>0</v>
      </c>
      <c r="AC31" s="246">
        <f>'GEXNHB Limp.Ord. '!C$145*'Prod. GEXNHB'!X15</f>
        <v>149.73321774196523</v>
      </c>
      <c r="AD31" s="247">
        <f>'GEXNHB Covid '!C$140*'Prod. GEXNHB'!Y15</f>
        <v>129.25724531217608</v>
      </c>
      <c r="AE31" s="248"/>
      <c r="ALN31" s="272"/>
      <c r="ALO31" s="272"/>
      <c r="ALP31" s="272"/>
      <c r="ALQ31" s="272"/>
      <c r="ALR31" s="272"/>
      <c r="ALS31" s="272"/>
      <c r="ALT31" s="272"/>
      <c r="ALU31" s="272"/>
      <c r="ALV31" s="272"/>
      <c r="ALW31" s="272"/>
      <c r="ALX31" s="272"/>
    </row>
    <row r="32" spans="1:1012" ht="14.25" x14ac:dyDescent="0.2">
      <c r="A32" s="238" t="s">
        <v>105</v>
      </c>
      <c r="B32" s="279" t="s">
        <v>405</v>
      </c>
      <c r="C32" s="240" t="s">
        <v>406</v>
      </c>
      <c r="D32" s="280">
        <f>MC!J83</f>
        <v>0.03</v>
      </c>
      <c r="E32" s="284">
        <f>'Prod. GEXNHB'!D16</f>
        <v>696.85200000000009</v>
      </c>
      <c r="F32" s="243">
        <f>'GEXNHB Limp.Ord. '!H$156</f>
        <v>4.2614552711438893</v>
      </c>
      <c r="G32" s="281">
        <f>'Prod. GEXNHB'!E16</f>
        <v>232.62800000000001</v>
      </c>
      <c r="H32" s="243">
        <f>'GEXNHB Limp.Ord. '!H$162</f>
        <v>4.7407399462038819</v>
      </c>
      <c r="I32" s="281">
        <f>'Prod. GEXNHB'!F16</f>
        <v>548.89</v>
      </c>
      <c r="J32" s="282">
        <f>'GEXNHB Limp.Ord. '!H$168</f>
        <v>2.6042226656990435</v>
      </c>
      <c r="K32" s="281">
        <f>'Prod. GEXNHB'!G16</f>
        <v>86</v>
      </c>
      <c r="L32" s="282">
        <f>'GEXNHB Limp.Ord. '!H$174</f>
        <v>4.6876007982582788</v>
      </c>
      <c r="M32" s="281">
        <f>'Prod. GEXNHB'!H16</f>
        <v>197.13</v>
      </c>
      <c r="N32" s="282">
        <f>'GEXNHB Limp.Ord. '!H$180</f>
        <v>20.859255763297082</v>
      </c>
      <c r="O32" s="281">
        <f>'Prod. GEXNHB'!I16</f>
        <v>0</v>
      </c>
      <c r="P32" s="282">
        <f>'GEXNHB Limp.Ord. '!H$186</f>
        <v>1.7361484437993624</v>
      </c>
      <c r="Q32" s="281">
        <f>'Prod. GEXNHB'!J16</f>
        <v>0</v>
      </c>
      <c r="R32" s="282">
        <f>'GEXNHB Limp.Ord. '!H$189</f>
        <v>4.687600798258279E-2</v>
      </c>
      <c r="S32" s="281">
        <f>'Prod. GEXNHB'!K16</f>
        <v>267.45</v>
      </c>
      <c r="T32" s="282">
        <f>'GEXNHB Limp.Ord. '!H$192</f>
        <v>0.52084453313980872</v>
      </c>
      <c r="U32" s="283">
        <f>'Prod. GEXNHB'!L16</f>
        <v>0</v>
      </c>
      <c r="V32" s="282">
        <f>'GEXNHB Limp.Ord. '!H$198</f>
        <v>0.26033233223247876</v>
      </c>
      <c r="W32" s="281">
        <f>'Prod. GEXNHB'!M16</f>
        <v>17.75</v>
      </c>
      <c r="X32" s="282">
        <f>'GEXNHB Limp.Ord. '!H$201</f>
        <v>1.0456275968945872</v>
      </c>
      <c r="Y32" s="281">
        <f>'Prod. GEXNHB'!N16</f>
        <v>17.75</v>
      </c>
      <c r="Z32" s="282">
        <f>'GEXNHB Limp.Ord. '!H$204</f>
        <v>1.0456275968945872</v>
      </c>
      <c r="AA32" s="285">
        <f t="shared" si="1"/>
        <v>10193.402667135191</v>
      </c>
      <c r="AB32" s="245">
        <f>('GEXNHB Covid '!C$136*'Prod. GEXNHB'!V16)+('GEXNHB Covid '!D$136*'Prod. GEXNHB'!W16)</f>
        <v>3318.9811193125124</v>
      </c>
      <c r="AC32" s="246">
        <f>'GEXNHB Limp.Ord. '!C$147*'Prod. GEXNHB'!X16</f>
        <v>151.43957919771412</v>
      </c>
      <c r="AD32" s="247">
        <f>'GEXNHB Covid '!C$142*'Prod. GEXNHB'!Y16</f>
        <v>130.73026235277069</v>
      </c>
      <c r="AE32" s="248"/>
      <c r="ALN32" s="272"/>
      <c r="ALO32" s="272"/>
      <c r="ALP32" s="272"/>
      <c r="ALQ32" s="272"/>
      <c r="ALR32" s="272"/>
      <c r="ALS32" s="272"/>
      <c r="ALT32" s="272"/>
      <c r="ALU32" s="272"/>
      <c r="ALV32" s="272"/>
      <c r="ALW32" s="272"/>
      <c r="ALX32" s="272"/>
    </row>
    <row r="33" spans="1:1012" ht="14.25" x14ac:dyDescent="0.2">
      <c r="A33" s="238" t="s">
        <v>107</v>
      </c>
      <c r="B33" s="279" t="s">
        <v>407</v>
      </c>
      <c r="C33" s="240" t="s">
        <v>408</v>
      </c>
      <c r="D33" s="280">
        <f>MC!J84</f>
        <v>0.02</v>
      </c>
      <c r="E33" s="242">
        <f>'Prod. GEXNHB'!D17</f>
        <v>0</v>
      </c>
      <c r="F33" s="243">
        <f>'GEXNHB Limp.Ord. '!D$156</f>
        <v>4.2151477389473095</v>
      </c>
      <c r="G33" s="281">
        <f>'Prod. GEXNHB'!E17</f>
        <v>1100</v>
      </c>
      <c r="H33" s="243">
        <f>'GEXNHB Limp.Ord. '!D$162</f>
        <v>4.689032023302401</v>
      </c>
      <c r="I33" s="281">
        <f>'Prod. GEXNHB'!F17</f>
        <v>0</v>
      </c>
      <c r="J33" s="282">
        <f>'GEXNHB Limp.Ord. '!D$168</f>
        <v>2.5759236182455778</v>
      </c>
      <c r="K33" s="281">
        <f>'Prod. GEXNHB'!G17</f>
        <v>0</v>
      </c>
      <c r="L33" s="282">
        <f>'GEXNHB Limp.Ord. '!D$174</f>
        <v>4.6366625128420402</v>
      </c>
      <c r="M33" s="281">
        <f>'Prod. GEXNHB'!H17</f>
        <v>0</v>
      </c>
      <c r="N33" s="282">
        <f>'GEXNHB Limp.Ord. '!D$180</f>
        <v>20.631740902530563</v>
      </c>
      <c r="O33" s="281">
        <f>'Prod. GEXNHB'!I17</f>
        <v>0</v>
      </c>
      <c r="P33" s="282">
        <f>'GEXNHB Limp.Ord. '!D$186</f>
        <v>1.7172824121637185</v>
      </c>
      <c r="Q33" s="281">
        <f>'Prod. GEXNHB'!J17</f>
        <v>0</v>
      </c>
      <c r="R33" s="282">
        <f>'GEXNHB Limp.Ord. '!D$189</f>
        <v>4.6366625128420408E-2</v>
      </c>
      <c r="S33" s="281">
        <f>'Prod. GEXNHB'!K17</f>
        <v>0</v>
      </c>
      <c r="T33" s="282">
        <f>'GEXNHB Limp.Ord. '!D$192</f>
        <v>0.51518472364911561</v>
      </c>
      <c r="U33" s="283">
        <f>'Prod. GEXNHB'!L17</f>
        <v>0</v>
      </c>
      <c r="V33" s="282">
        <f>'GEXNHB Limp.Ord. '!D$198</f>
        <v>0.25793896412170053</v>
      </c>
      <c r="W33" s="281">
        <f>'Prod. GEXNHB'!M17</f>
        <v>0</v>
      </c>
      <c r="X33" s="282">
        <f>'GEXNHB Limp.Ord. '!D$201</f>
        <v>1.0342651794742508</v>
      </c>
      <c r="Y33" s="281">
        <f>'Prod. GEXNHB'!N17</f>
        <v>0</v>
      </c>
      <c r="Z33" s="282">
        <f>'GEXNHB Limp.Ord. '!H217</f>
        <v>0</v>
      </c>
      <c r="AA33" s="244">
        <f t="shared" si="1"/>
        <v>5157.935225632641</v>
      </c>
      <c r="AB33" s="245">
        <f>('GEXNHB Covid '!C$134*'Prod. GEXNHB'!V17)+('GEXNHB Covid '!D$134*'Prod. GEXNHB'!W17)</f>
        <v>0</v>
      </c>
      <c r="AC33" s="246">
        <f>'GEXNHB Limp.Ord. '!C$145*'Prod. GEXNHB'!X17</f>
        <v>149.73321774196523</v>
      </c>
      <c r="AD33" s="247">
        <f>'GEXNHB Covid '!C$140*'Prod. GEXNHB'!Y17</f>
        <v>129.25724531217608</v>
      </c>
      <c r="AE33" s="248"/>
      <c r="ALN33" s="272"/>
      <c r="ALO33" s="272"/>
      <c r="ALP33" s="272"/>
      <c r="ALQ33" s="272"/>
      <c r="ALR33" s="272"/>
      <c r="ALS33" s="272"/>
      <c r="ALT33" s="272"/>
      <c r="ALU33" s="272"/>
      <c r="ALV33" s="272"/>
      <c r="ALW33" s="272"/>
      <c r="ALX33" s="272"/>
    </row>
    <row r="34" spans="1:1012" ht="14.25" x14ac:dyDescent="0.2">
      <c r="A34" s="238" t="s">
        <v>109</v>
      </c>
      <c r="B34" s="279" t="s">
        <v>409</v>
      </c>
      <c r="C34" s="240" t="s">
        <v>410</v>
      </c>
      <c r="D34" s="280">
        <f>MC!J85</f>
        <v>0.03</v>
      </c>
      <c r="E34" s="284">
        <f>'Prod. GEXNHB'!D18</f>
        <v>0</v>
      </c>
      <c r="F34" s="243">
        <f>'GEXNHB Limp.Ord. '!H$156</f>
        <v>4.2614552711438893</v>
      </c>
      <c r="G34" s="281">
        <f>'Prod. GEXNHB'!E18</f>
        <v>825</v>
      </c>
      <c r="H34" s="243">
        <f>'GEXNHB Limp.Ord. '!H$162</f>
        <v>4.7407399462038819</v>
      </c>
      <c r="I34" s="281">
        <f>'Prod. GEXNHB'!F18</f>
        <v>0</v>
      </c>
      <c r="J34" s="282">
        <f>'GEXNHB Limp.Ord. '!H$168</f>
        <v>2.6042226656990435</v>
      </c>
      <c r="K34" s="281">
        <f>'Prod. GEXNHB'!G18</f>
        <v>0</v>
      </c>
      <c r="L34" s="282">
        <f>'GEXNHB Limp.Ord. '!H$174</f>
        <v>4.6876007982582788</v>
      </c>
      <c r="M34" s="281">
        <f>'Prod. GEXNHB'!H18</f>
        <v>0</v>
      </c>
      <c r="N34" s="282">
        <f>'GEXNHB Limp.Ord. '!H$180</f>
        <v>20.859255763297082</v>
      </c>
      <c r="O34" s="281">
        <f>'Prod. GEXNHB'!I18</f>
        <v>0</v>
      </c>
      <c r="P34" s="282">
        <f>'GEXNHB Limp.Ord. '!H$186</f>
        <v>1.7361484437993624</v>
      </c>
      <c r="Q34" s="281">
        <f>'Prod. GEXNHB'!J18</f>
        <v>0</v>
      </c>
      <c r="R34" s="282">
        <f>'GEXNHB Limp.Ord. '!H$189</f>
        <v>4.687600798258279E-2</v>
      </c>
      <c r="S34" s="281">
        <f>'Prod. GEXNHB'!K18</f>
        <v>0</v>
      </c>
      <c r="T34" s="282">
        <f>'GEXNHB Limp.Ord. '!H$192</f>
        <v>0.52084453313980872</v>
      </c>
      <c r="U34" s="283">
        <f>'Prod. GEXNHB'!L18</f>
        <v>0</v>
      </c>
      <c r="V34" s="282">
        <f>'GEXNHB Limp.Ord. '!H$198</f>
        <v>0.26033233223247876</v>
      </c>
      <c r="W34" s="281">
        <f>'Prod. GEXNHB'!M18</f>
        <v>0</v>
      </c>
      <c r="X34" s="282">
        <f>'GEXNHB Limp.Ord. '!H$201</f>
        <v>1.0456275968945872</v>
      </c>
      <c r="Y34" s="281">
        <f>'Prod. GEXNHB'!N18</f>
        <v>0</v>
      </c>
      <c r="Z34" s="282">
        <f>'GEXNHB Limp.Ord. '!H$204</f>
        <v>1.0456275968945872</v>
      </c>
      <c r="AA34" s="285">
        <f t="shared" si="1"/>
        <v>3911.1104556182026</v>
      </c>
      <c r="AB34" s="245">
        <f>('GEXNHB Covid '!C$136*'Prod. GEXNHB'!V18)+('GEXNHB Covid '!D$136*'Prod. GEXNHB'!W18)</f>
        <v>0</v>
      </c>
      <c r="AC34" s="246">
        <f>'GEXNHB Limp.Ord. '!C$147*'Prod. GEXNHB'!X18</f>
        <v>151.43957919771412</v>
      </c>
      <c r="AD34" s="247">
        <f>'GEXNHB Covid '!C$142*'Prod. GEXNHB'!Y18</f>
        <v>130.73026235277069</v>
      </c>
      <c r="AE34" s="248"/>
      <c r="ALN34" s="272"/>
      <c r="ALO34" s="272"/>
      <c r="ALP34" s="272"/>
      <c r="ALQ34" s="272"/>
      <c r="ALR34" s="272"/>
      <c r="ALS34" s="272"/>
      <c r="ALT34" s="272"/>
      <c r="ALU34" s="272"/>
      <c r="ALV34" s="272"/>
      <c r="ALW34" s="272"/>
      <c r="ALX34" s="272"/>
    </row>
    <row r="35" spans="1:1012" ht="14.25" x14ac:dyDescent="0.2">
      <c r="A35" s="238" t="s">
        <v>110</v>
      </c>
      <c r="B35" s="279" t="s">
        <v>411</v>
      </c>
      <c r="C35" s="240" t="s">
        <v>412</v>
      </c>
      <c r="D35" s="280">
        <f>MC!J86</f>
        <v>2.5000000000000001E-2</v>
      </c>
      <c r="E35" s="284">
        <f>'Prod. GEXNHB'!D19</f>
        <v>0</v>
      </c>
      <c r="F35" s="243">
        <f>'GEXNHB Limp.Ord. '!F$156</f>
        <v>4.2381703222348444</v>
      </c>
      <c r="G35" s="281">
        <f>'Prod. GEXNHB'!E19</f>
        <v>825</v>
      </c>
      <c r="H35" s="243">
        <f>'GEXNHB Limp.Ord. '!F$162</f>
        <v>4.7147395033851485</v>
      </c>
      <c r="I35" s="281">
        <f>'Prod. GEXNHB'!F19</f>
        <v>0</v>
      </c>
      <c r="J35" s="282">
        <f>'GEXNHB Limp.Ord. '!F$168</f>
        <v>2.5899929746990713</v>
      </c>
      <c r="K35" s="281">
        <f>'Prod. GEXNHB'!G19</f>
        <v>0</v>
      </c>
      <c r="L35" s="282">
        <f>'GEXNHB Limp.Ord. '!F$174</f>
        <v>4.6619873544583283</v>
      </c>
      <c r="M35" s="281">
        <f>'Prod. GEXNHB'!H19</f>
        <v>0</v>
      </c>
      <c r="N35" s="282">
        <f>'GEXNHB Limp.Ord. '!F$180</f>
        <v>20.744853814894654</v>
      </c>
      <c r="O35" s="281">
        <f>'Prod. GEXNHB'!I19</f>
        <v>0</v>
      </c>
      <c r="P35" s="282">
        <f>'GEXNHB Limp.Ord. '!F$186</f>
        <v>1.7266619831327144</v>
      </c>
      <c r="Q35" s="281">
        <f>'Prod. GEXNHB'!J19</f>
        <v>0</v>
      </c>
      <c r="R35" s="282">
        <f>'GEXNHB Limp.Ord. '!F$189</f>
        <v>4.6619873544583294E-2</v>
      </c>
      <c r="S35" s="281">
        <f>'Prod. GEXNHB'!K19</f>
        <v>0</v>
      </c>
      <c r="T35" s="282">
        <f>'GEXNHB Limp.Ord. '!F$192</f>
        <v>0.51799859493981426</v>
      </c>
      <c r="U35" s="283">
        <f>'Prod. GEXNHB'!L19</f>
        <v>0</v>
      </c>
      <c r="V35" s="282">
        <f>'GEXNHB Limp.Ord. '!F$198</f>
        <v>0.25912886809745567</v>
      </c>
      <c r="W35" s="281">
        <f>'Prod. GEXNHB'!M19</f>
        <v>0</v>
      </c>
      <c r="X35" s="282">
        <f>'GEXNHB Limp.Ord. '!F$201</f>
        <v>1.0399142000330868</v>
      </c>
      <c r="Y35" s="281">
        <f>'Prod. GEXNHB'!N19</f>
        <v>0</v>
      </c>
      <c r="Z35" s="282">
        <f>'GEXNHB Limp.Ord. '!F$204</f>
        <v>1.0399142000330868</v>
      </c>
      <c r="AA35" s="285">
        <f t="shared" si="1"/>
        <v>3889.6600902927476</v>
      </c>
      <c r="AB35" s="245">
        <f>('GEXNHB Covid '!C$135*'Prod. GEXNHB'!V19)+('GEXNHB Covid '!D$135*'Prod. GEXNHB'!W19)</f>
        <v>0</v>
      </c>
      <c r="AC35" s="246">
        <f>'GEXNHB Limp.Ord. '!C$146*'Prod. GEXNHB'!X19</f>
        <v>150.58156458469591</v>
      </c>
      <c r="AD35" s="247">
        <f>'GEXNHB Covid '!C$141*'Prod. GEXNHB'!Y19</f>
        <v>129.98958097966718</v>
      </c>
      <c r="AE35" s="248"/>
      <c r="ALN35" s="272"/>
      <c r="ALO35" s="272"/>
      <c r="ALP35" s="272"/>
      <c r="ALQ35" s="272"/>
      <c r="ALR35" s="272"/>
      <c r="ALS35" s="272"/>
      <c r="ALT35" s="272"/>
      <c r="ALU35" s="272"/>
      <c r="ALV35" s="272"/>
      <c r="ALW35" s="272"/>
      <c r="ALX35" s="272"/>
    </row>
    <row r="36" spans="1:1012" ht="14.25" x14ac:dyDescent="0.2">
      <c r="A36" s="238" t="s">
        <v>111</v>
      </c>
      <c r="B36" s="279" t="s">
        <v>413</v>
      </c>
      <c r="C36" s="240" t="s">
        <v>414</v>
      </c>
      <c r="D36" s="280">
        <f>MC!J87</f>
        <v>0.03</v>
      </c>
      <c r="E36" s="284">
        <f>'Prod. GEXNHB'!D20</f>
        <v>0</v>
      </c>
      <c r="F36" s="243">
        <f>'GEXNHB Limp.Ord. '!H$156</f>
        <v>4.2614552711438893</v>
      </c>
      <c r="G36" s="281">
        <f>'Prod. GEXNHB'!E20</f>
        <v>0</v>
      </c>
      <c r="H36" s="243">
        <f>'GEXNHB Limp.Ord. '!H$162</f>
        <v>4.7407399462038819</v>
      </c>
      <c r="I36" s="281">
        <f>'Prod. GEXNHB'!F20</f>
        <v>0</v>
      </c>
      <c r="J36" s="282">
        <f>'GEXNHB Limp.Ord. '!H$168</f>
        <v>2.6042226656990435</v>
      </c>
      <c r="K36" s="281">
        <f>'Prod. GEXNHB'!G20</f>
        <v>0</v>
      </c>
      <c r="L36" s="282">
        <f>'GEXNHB Limp.Ord. '!H$174</f>
        <v>4.6876007982582788</v>
      </c>
      <c r="M36" s="281">
        <f>'Prod. GEXNHB'!H20</f>
        <v>0</v>
      </c>
      <c r="N36" s="282">
        <f>'GEXNHB Limp.Ord. '!H$180</f>
        <v>20.859255763297082</v>
      </c>
      <c r="O36" s="281">
        <f>'Prod. GEXNHB'!I20</f>
        <v>0</v>
      </c>
      <c r="P36" s="282">
        <f>'GEXNHB Limp.Ord. '!H$186</f>
        <v>1.7361484437993624</v>
      </c>
      <c r="Q36" s="281">
        <f>'Prod. GEXNHB'!J20</f>
        <v>0</v>
      </c>
      <c r="R36" s="282">
        <f>'GEXNHB Limp.Ord. '!H$189</f>
        <v>4.687600798258279E-2</v>
      </c>
      <c r="S36" s="281">
        <f>'Prod. GEXNHB'!K20</f>
        <v>0</v>
      </c>
      <c r="T36" s="282">
        <f>'GEXNHB Limp.Ord. '!H$192</f>
        <v>0.52084453313980872</v>
      </c>
      <c r="U36" s="283">
        <f>'Prod. GEXNHB'!L20</f>
        <v>0</v>
      </c>
      <c r="V36" s="282">
        <f>'GEXNHB Limp.Ord. '!H$198</f>
        <v>0.26033233223247876</v>
      </c>
      <c r="W36" s="281">
        <f>'Prod. GEXNHB'!M20</f>
        <v>0</v>
      </c>
      <c r="X36" s="282">
        <f>'GEXNHB Limp.Ord. '!H$201</f>
        <v>1.0456275968945872</v>
      </c>
      <c r="Y36" s="281">
        <f>'Prod. GEXNHB'!N20</f>
        <v>0</v>
      </c>
      <c r="Z36" s="282">
        <f>'GEXNHB Limp.Ord. '!H$204</f>
        <v>1.0456275968945872</v>
      </c>
      <c r="AA36" s="285">
        <f t="shared" si="1"/>
        <v>0</v>
      </c>
      <c r="AB36" s="245">
        <f>('GEXNHB Covid '!C$136*'Prod. GEXNHB'!V20)+('GEXNHB Covid '!D$136*'Prod. GEXNHB'!W20)</f>
        <v>0</v>
      </c>
      <c r="AC36" s="246">
        <f>'GEXNHB Limp.Ord. '!C$147*'Prod. GEXNHB'!X20</f>
        <v>0</v>
      </c>
      <c r="AD36" s="247">
        <f>'GEXNHB Covid '!C$142*'Prod. GEXNHB'!Y20</f>
        <v>0</v>
      </c>
      <c r="AE36" s="248"/>
      <c r="ALN36" s="272"/>
      <c r="ALO36" s="272"/>
      <c r="ALP36" s="272"/>
      <c r="ALQ36" s="272"/>
      <c r="ALR36" s="272"/>
      <c r="ALS36" s="272"/>
      <c r="ALT36" s="272"/>
      <c r="ALU36" s="272"/>
      <c r="ALV36" s="272"/>
      <c r="ALW36" s="272"/>
      <c r="ALX36" s="272"/>
    </row>
    <row r="37" spans="1:1012" ht="14.25" x14ac:dyDescent="0.2">
      <c r="A37" s="253" t="s">
        <v>114</v>
      </c>
      <c r="B37" s="286" t="s">
        <v>415</v>
      </c>
      <c r="C37" s="255" t="s">
        <v>416</v>
      </c>
      <c r="D37" s="287">
        <f>MC!J88</f>
        <v>0.02</v>
      </c>
      <c r="E37" s="257">
        <f>'Prod. GEXNHB'!D21</f>
        <v>0</v>
      </c>
      <c r="F37" s="258">
        <f>'GEXNHB Limp.Ord. '!D$156</f>
        <v>4.2151477389473095</v>
      </c>
      <c r="G37" s="288">
        <f>'Prod. GEXNHB'!E21</f>
        <v>825</v>
      </c>
      <c r="H37" s="258">
        <f>'GEXNHB Limp.Ord. '!D$162</f>
        <v>4.689032023302401</v>
      </c>
      <c r="I37" s="288">
        <f>'Prod. GEXNHB'!F21</f>
        <v>0</v>
      </c>
      <c r="J37" s="289">
        <f>'GEXNHB Limp.Ord. '!D$168</f>
        <v>2.5759236182455778</v>
      </c>
      <c r="K37" s="288">
        <f>'Prod. GEXNHB'!G21</f>
        <v>0</v>
      </c>
      <c r="L37" s="289">
        <f>'GEXNHB Limp.Ord. '!D$174</f>
        <v>4.6366625128420402</v>
      </c>
      <c r="M37" s="288">
        <f>'Prod. GEXNHB'!H21</f>
        <v>0</v>
      </c>
      <c r="N37" s="289">
        <f>'GEXNHB Limp.Ord. '!D$180</f>
        <v>20.631740902530563</v>
      </c>
      <c r="O37" s="288">
        <f>'Prod. GEXNHB'!I21</f>
        <v>0</v>
      </c>
      <c r="P37" s="289">
        <f>'GEXNHB Limp.Ord. '!D$186</f>
        <v>1.7172824121637185</v>
      </c>
      <c r="Q37" s="288">
        <f>'Prod. GEXNHB'!J21</f>
        <v>0</v>
      </c>
      <c r="R37" s="289">
        <f>'GEXNHB Limp.Ord. '!D$189</f>
        <v>4.6366625128420408E-2</v>
      </c>
      <c r="S37" s="288">
        <f>'Prod. GEXNHB'!K21</f>
        <v>0</v>
      </c>
      <c r="T37" s="289">
        <f>'GEXNHB Limp.Ord. '!D$192</f>
        <v>0.51518472364911561</v>
      </c>
      <c r="U37" s="290">
        <f>'Prod. GEXNHB'!L21</f>
        <v>0</v>
      </c>
      <c r="V37" s="289">
        <f>'GEXNHB Limp.Ord. '!D$198</f>
        <v>0.25793896412170053</v>
      </c>
      <c r="W37" s="288">
        <f>'Prod. GEXNHB'!M21</f>
        <v>0</v>
      </c>
      <c r="X37" s="289">
        <f>'GEXNHB Limp.Ord. '!D$201</f>
        <v>1.0342651794742508</v>
      </c>
      <c r="Y37" s="288">
        <f>'Prod. GEXNHB'!N21</f>
        <v>0</v>
      </c>
      <c r="Z37" s="289">
        <f>'GEXNHB Limp.Ord. '!H221</f>
        <v>0</v>
      </c>
      <c r="AA37" s="259">
        <f t="shared" si="1"/>
        <v>3868.451419224481</v>
      </c>
      <c r="AB37" s="260">
        <f>('GEXNHB Covid '!C$134*'Prod. GEXNHB'!V21)+('GEXNHB Covid '!D$134*'Prod. GEXNHB'!W21)</f>
        <v>0</v>
      </c>
      <c r="AC37" s="261">
        <f>'GEXNHB Limp.Ord. '!C$145*'Prod. GEXNHB'!X21</f>
        <v>149.73321774196523</v>
      </c>
      <c r="AD37" s="262">
        <f>'GEXNHB Covid '!C$140*'Prod. GEXNHB'!Y21</f>
        <v>129.25724531217608</v>
      </c>
      <c r="AE37" s="263"/>
      <c r="ALN37" s="272"/>
      <c r="ALO37" s="272"/>
      <c r="ALP37" s="272"/>
      <c r="ALQ37" s="272"/>
      <c r="ALR37" s="272"/>
      <c r="ALS37" s="272"/>
      <c r="ALT37" s="272"/>
      <c r="ALU37" s="272"/>
      <c r="ALV37" s="272"/>
      <c r="ALW37" s="272"/>
      <c r="ALX37" s="272"/>
    </row>
    <row r="38" spans="1:1012" ht="14.25" x14ac:dyDescent="0.2">
      <c r="A38" s="792"/>
      <c r="B38" s="792"/>
      <c r="C38" s="792"/>
      <c r="D38" s="792"/>
      <c r="E38" s="264">
        <f>SUM(E20:E37)</f>
        <v>1416.63</v>
      </c>
      <c r="F38" s="265"/>
      <c r="G38" s="291">
        <f>SUM(G20:G37)</f>
        <v>12450.240000000002</v>
      </c>
      <c r="H38" s="265"/>
      <c r="I38" s="292">
        <f>SUM(I20:I37)</f>
        <v>3479.02</v>
      </c>
      <c r="J38" s="267"/>
      <c r="K38" s="292">
        <f>SUM(K20:K37)</f>
        <v>1922.1499999999999</v>
      </c>
      <c r="L38" s="267"/>
      <c r="M38" s="292">
        <f>SUM(M20:M37)</f>
        <v>857.89999999999986</v>
      </c>
      <c r="N38" s="267"/>
      <c r="O38" s="292">
        <f>SUM(O20:O37)</f>
        <v>758.46</v>
      </c>
      <c r="P38" s="293"/>
      <c r="Q38" s="292">
        <f>SUM(Q20:Q37)</f>
        <v>0</v>
      </c>
      <c r="R38" s="267"/>
      <c r="S38" s="292">
        <f>SUM(S20:S37)</f>
        <v>5927.78</v>
      </c>
      <c r="T38" s="267"/>
      <c r="U38" s="292">
        <f>SUM(U20:U37)</f>
        <v>82.1</v>
      </c>
      <c r="V38" s="269"/>
      <c r="W38" s="292">
        <f>SUM(W20:W37)</f>
        <v>343.95</v>
      </c>
      <c r="X38" s="267"/>
      <c r="Y38" s="294">
        <f>SUM(Y20:Y37)</f>
        <v>343.95</v>
      </c>
      <c r="Z38" s="267"/>
      <c r="AA38" s="267">
        <f>SUM(AA20:AA37)</f>
        <v>105603.90519797466</v>
      </c>
      <c r="AB38" s="271">
        <f>SUM(AB20:AB37)</f>
        <v>16557.724149706752</v>
      </c>
      <c r="AC38" s="270">
        <f>SUM(AC20:AC37)</f>
        <v>2558.2577448544671</v>
      </c>
      <c r="AD38" s="271">
        <f>SUM(AD20:AD37)</f>
        <v>2208.4167687378267</v>
      </c>
      <c r="AE38" s="267">
        <f>SUM(AE20:AE37)</f>
        <v>4043.6000000000004</v>
      </c>
      <c r="ALN38" s="272"/>
      <c r="ALO38" s="272"/>
      <c r="ALP38" s="272"/>
      <c r="ALQ38" s="272"/>
      <c r="ALR38" s="272"/>
      <c r="ALS38" s="272"/>
      <c r="ALT38" s="272"/>
      <c r="ALU38" s="272"/>
      <c r="ALV38" s="272"/>
      <c r="ALW38" s="272"/>
      <c r="ALX38" s="272"/>
    </row>
    <row r="39" spans="1:1012" ht="14.25" x14ac:dyDescent="0.2">
      <c r="A39" s="227" t="s">
        <v>417</v>
      </c>
      <c r="B39" s="274" t="s">
        <v>418</v>
      </c>
      <c r="C39" s="274" t="s">
        <v>419</v>
      </c>
      <c r="D39" s="230">
        <f>MC!C89</f>
        <v>2.5000000000000001E-2</v>
      </c>
      <c r="E39" s="231">
        <f>'Prod. GEXPOA'!D4</f>
        <v>14874.542307692309</v>
      </c>
      <c r="F39" s="295">
        <f>'GEXPOA Limp. Ord.'!$F$149</f>
        <v>4.6556276501306391</v>
      </c>
      <c r="G39" s="276">
        <f>'Prod. GEXPOA'!E4</f>
        <v>-2560.1923076923076</v>
      </c>
      <c r="H39" s="295">
        <f>'GEXPOA Limp. Ord.'!$F$155</f>
        <v>5.179853749395976</v>
      </c>
      <c r="I39" s="276">
        <f>'Prod. GEXPOA'!F4</f>
        <v>0</v>
      </c>
      <c r="J39" s="295">
        <f>'GEXPOA Limp. Ord.'!$F$161</f>
        <v>1.8622510600522555</v>
      </c>
      <c r="K39" s="276">
        <f>'Prod. GEXPOA'!G4</f>
        <v>265</v>
      </c>
      <c r="L39" s="295">
        <f>'GEXPOA Limp. Ord.'!$F$167</f>
        <v>3.1037517667537591</v>
      </c>
      <c r="M39" s="276">
        <f>'Prod. GEXPOA'!H4</f>
        <v>925.65</v>
      </c>
      <c r="N39" s="295">
        <f>'GEXPOA Limp. Ord.'!$F$173</f>
        <v>19.922514420753753</v>
      </c>
      <c r="O39" s="276">
        <f>'Prod. GEXPOA'!I4</f>
        <v>229</v>
      </c>
      <c r="P39" s="295">
        <f>'GEXPOA Limp. Ord.'!$F$179</f>
        <v>1.7243065370854216</v>
      </c>
      <c r="Q39" s="276">
        <f>'Prod. GEXPOA'!J4</f>
        <v>0</v>
      </c>
      <c r="R39" s="295">
        <f>'GEXPOA Limp. Ord.'!$F$182</f>
        <v>4.6556276501306393E-2</v>
      </c>
      <c r="S39" s="276">
        <f>'Prod. GEXPOA'!K4</f>
        <v>0</v>
      </c>
      <c r="T39" s="295">
        <f>'GEXPOA Limp. Ord.'!$F$185</f>
        <v>0.62075035335075179</v>
      </c>
      <c r="U39" s="278">
        <f>'Prod. GEXPOA'!L4</f>
        <v>3572.1</v>
      </c>
      <c r="V39" s="295">
        <f>'GEXPOA Limp. Ord.'!$F$191</f>
        <v>0.26248099330465308</v>
      </c>
      <c r="W39" s="276">
        <f>'Prod. GEXPOA'!M4</f>
        <v>0</v>
      </c>
      <c r="X39" s="295">
        <f>'GEXPOA Limp. Ord.'!$F$194</f>
        <v>1.0384955889697056</v>
      </c>
      <c r="Y39" s="276">
        <f>'Prod. GEXPOA'!N4</f>
        <v>4291</v>
      </c>
      <c r="Z39" s="295">
        <f>'GEXPOA Limp. Ord.'!$F$197</f>
        <v>1.0384955889697056</v>
      </c>
      <c r="AA39" s="233">
        <f t="shared" ref="AA39:AA44" si="2">(E39*F39)+(G39*H39)+(I39*J39)+(K39*L39)+(M39*N39)+(O39*P39)+(Q39*R39)+(S39*T39)+(U39*V39)+(W39*X39)+(Y39*Z39)</f>
        <v>81041.337543761154</v>
      </c>
      <c r="AB39" s="234">
        <f>('GEX POA Covid'!C$130*'Prod. GEXPOA'!T4)+('GEX POA Covid'!D$130*'Prod. GEXPOA'!U4)</f>
        <v>0</v>
      </c>
      <c r="AC39" s="235">
        <f>'GEXPOA Limp. Ord.'!C$140*'Prod. GEXPOA'!W4</f>
        <v>151.61259144351592</v>
      </c>
      <c r="AD39" s="236">
        <f>'GEX POA Covid'!C$135*'Prod. GEXPOA'!W4</f>
        <v>116.74089064421786</v>
      </c>
      <c r="AE39" s="237">
        <f>MC!C15*'Prod. GEXPOA'!X4</f>
        <v>4043.6000000000004</v>
      </c>
      <c r="ALN39" s="272"/>
      <c r="ALO39" s="272"/>
      <c r="ALP39" s="272"/>
      <c r="ALQ39" s="272"/>
      <c r="ALR39" s="272"/>
      <c r="ALS39" s="272"/>
      <c r="ALT39" s="272"/>
      <c r="ALU39" s="272"/>
      <c r="ALV39" s="272"/>
      <c r="ALW39" s="272"/>
      <c r="ALX39" s="272"/>
    </row>
    <row r="40" spans="1:1012" ht="14.25" x14ac:dyDescent="0.2">
      <c r="A40" s="296" t="s">
        <v>116</v>
      </c>
      <c r="B40" s="297" t="s">
        <v>420</v>
      </c>
      <c r="C40" s="240" t="s">
        <v>419</v>
      </c>
      <c r="D40" s="241">
        <f>MC!C90</f>
        <v>2.5000000000000001E-2</v>
      </c>
      <c r="E40" s="242">
        <f>'Prod. GEXPOA'!D5</f>
        <v>441.35076923076929</v>
      </c>
      <c r="F40" s="298">
        <f>'GEXPOA Limp. Ord.'!$F$149</f>
        <v>4.6556276501306391</v>
      </c>
      <c r="G40" s="281">
        <f>'Prod. GEXPOA'!E5</f>
        <v>230.76923076923072</v>
      </c>
      <c r="H40" s="298">
        <f>'GEXPOA Limp. Ord.'!$F$155</f>
        <v>5.179853749395976</v>
      </c>
      <c r="I40" s="281">
        <f>'Prod. GEXPOA'!F5</f>
        <v>0</v>
      </c>
      <c r="J40" s="298">
        <f>'GEXPOA Limp. Ord.'!$F$161</f>
        <v>1.8622510600522555</v>
      </c>
      <c r="K40" s="281">
        <f>'Prod. GEXPOA'!G5</f>
        <v>0</v>
      </c>
      <c r="L40" s="298">
        <f>'GEXPOA Limp. Ord.'!$F$167</f>
        <v>3.1037517667537591</v>
      </c>
      <c r="M40" s="281">
        <f>'Prod. GEXPOA'!H5</f>
        <v>200</v>
      </c>
      <c r="N40" s="298">
        <f>'GEXPOA Limp. Ord.'!$F$173</f>
        <v>19.922514420753753</v>
      </c>
      <c r="O40" s="281">
        <f>'Prod. GEXPOA'!I5</f>
        <v>0</v>
      </c>
      <c r="P40" s="298">
        <f>'GEXPOA Limp. Ord.'!$F$179</f>
        <v>1.7243065370854216</v>
      </c>
      <c r="Q40" s="281">
        <f>'Prod. GEXPOA'!J5</f>
        <v>0</v>
      </c>
      <c r="R40" s="298">
        <f>'GEXPOA Limp. Ord.'!$F$182</f>
        <v>4.6556276501306393E-2</v>
      </c>
      <c r="S40" s="281">
        <f>'Prod. GEXPOA'!K5</f>
        <v>0</v>
      </c>
      <c r="T40" s="298">
        <f>'GEXPOA Limp. Ord.'!$F$185</f>
        <v>0.62075035335075179</v>
      </c>
      <c r="U40" s="283">
        <f>'Prod. GEXPOA'!L5</f>
        <v>0</v>
      </c>
      <c r="V40" s="298">
        <f>'GEXPOA Limp. Ord.'!$F$191</f>
        <v>0.26248099330465308</v>
      </c>
      <c r="W40" s="281">
        <f>'Prod. GEXPOA'!M5</f>
        <v>0</v>
      </c>
      <c r="X40" s="298">
        <f>'GEXPOA Limp. Ord.'!$F$194</f>
        <v>1.0384955889697056</v>
      </c>
      <c r="Y40" s="281">
        <f>'Prod. GEXPOA'!N5</f>
        <v>0</v>
      </c>
      <c r="Z40" s="298">
        <f>'GEXPOA Limp. Ord.'!$F$197</f>
        <v>1.0384955889697056</v>
      </c>
      <c r="AA40" s="244">
        <f t="shared" si="2"/>
        <v>7234.6185940331725</v>
      </c>
      <c r="AB40" s="245">
        <f>('GEX POA Covid'!C$130*'Prod. GEXPOA'!T5)+('GEX POA Covid'!D$130*'Prod. GEXPOA'!U5)</f>
        <v>0</v>
      </c>
      <c r="AC40" s="246">
        <f>'GEXPOA Limp. Ord.'!C$140*'Prod. GEXPOA'!W5</f>
        <v>151.61259144351592</v>
      </c>
      <c r="AD40" s="247">
        <f>'GEX POA Covid'!C$135*'Prod. GEXPOA'!W5</f>
        <v>116.74089064421786</v>
      </c>
      <c r="AE40" s="248"/>
      <c r="ALN40" s="272"/>
      <c r="ALO40" s="272"/>
      <c r="ALP40" s="272"/>
      <c r="ALQ40" s="272"/>
      <c r="ALR40" s="272"/>
      <c r="ALS40" s="272"/>
      <c r="ALT40" s="272"/>
      <c r="ALU40" s="272"/>
      <c r="ALV40" s="272"/>
      <c r="ALW40" s="272"/>
      <c r="ALX40" s="272"/>
    </row>
    <row r="41" spans="1:1012" ht="15.75" customHeight="1" x14ac:dyDescent="0.2">
      <c r="A41" s="299" t="s">
        <v>117</v>
      </c>
      <c r="B41" s="300" t="s">
        <v>421</v>
      </c>
      <c r="C41" s="240" t="s">
        <v>419</v>
      </c>
      <c r="D41" s="241">
        <f>MC!C91</f>
        <v>2.5000000000000001E-2</v>
      </c>
      <c r="E41" s="242">
        <f>'Prod. GEXPOA'!D6</f>
        <v>5167.1446153846155</v>
      </c>
      <c r="F41" s="298">
        <f>'GEXPOA Limp. Ord.'!$F$149</f>
        <v>4.6556276501306391</v>
      </c>
      <c r="G41" s="281">
        <f>'Prod. GEXPOA'!E6</f>
        <v>60.615384615384627</v>
      </c>
      <c r="H41" s="298">
        <f>'GEXPOA Limp. Ord.'!$F$155</f>
        <v>5.179853749395976</v>
      </c>
      <c r="I41" s="281">
        <f>'Prod. GEXPOA'!F6</f>
        <v>0</v>
      </c>
      <c r="J41" s="298">
        <f>'GEXPOA Limp. Ord.'!$F$161</f>
        <v>1.8622510600522555</v>
      </c>
      <c r="K41" s="281">
        <f>'Prod. GEXPOA'!G6</f>
        <v>770</v>
      </c>
      <c r="L41" s="298">
        <f>'GEXPOA Limp. Ord.'!$F$167</f>
        <v>3.1037517667537591</v>
      </c>
      <c r="M41" s="281">
        <f>'Prod. GEXPOA'!H6</f>
        <v>244.24</v>
      </c>
      <c r="N41" s="298">
        <f>'GEXPOA Limp. Ord.'!$F$173</f>
        <v>19.922514420753753</v>
      </c>
      <c r="O41" s="281">
        <f>'Prod. GEXPOA'!I6</f>
        <v>2045</v>
      </c>
      <c r="P41" s="298">
        <f>'GEXPOA Limp. Ord.'!$F$179</f>
        <v>1.7243065370854216</v>
      </c>
      <c r="Q41" s="281">
        <f>'Prod. GEXPOA'!J6</f>
        <v>0</v>
      </c>
      <c r="R41" s="298">
        <f>'GEXPOA Limp. Ord.'!$F$182</f>
        <v>4.6556276501306393E-2</v>
      </c>
      <c r="S41" s="281">
        <f>'Prod. GEXPOA'!K6</f>
        <v>0</v>
      </c>
      <c r="T41" s="298">
        <f>'GEXPOA Limp. Ord.'!$F$185</f>
        <v>0.62075035335075179</v>
      </c>
      <c r="U41" s="283">
        <f>'Prod. GEXPOA'!L6</f>
        <v>0</v>
      </c>
      <c r="V41" s="298">
        <f>'GEXPOA Limp. Ord.'!$F$191</f>
        <v>0.26248099330465308</v>
      </c>
      <c r="W41" s="281">
        <f>'Prod. GEXPOA'!M6</f>
        <v>0</v>
      </c>
      <c r="X41" s="298">
        <f>'GEXPOA Limp. Ord.'!$F$194</f>
        <v>1.0384955889697056</v>
      </c>
      <c r="Y41" s="281">
        <f>'Prod. GEXPOA'!N6</f>
        <v>4627</v>
      </c>
      <c r="Z41" s="298">
        <f>'GEXPOA Limp. Ord.'!$F$197</f>
        <v>1.0384955889697056</v>
      </c>
      <c r="AA41" s="244">
        <f t="shared" si="2"/>
        <v>39957.369911907153</v>
      </c>
      <c r="AB41" s="245">
        <f>('GEX POA Covid'!C$130*'Prod. GEXPOA'!T6)+('GEX POA Covid'!D$130*'Prod. GEXPOA'!U6)</f>
        <v>38873.190010646998</v>
      </c>
      <c r="AC41" s="246">
        <f>'GEXPOA Limp. Ord.'!C$140*'Prod. GEXPOA'!W6</f>
        <v>151.61259144351592</v>
      </c>
      <c r="AD41" s="247">
        <f>'GEX POA Covid'!C$135*'Prod. GEXPOA'!W6</f>
        <v>116.74089064421786</v>
      </c>
      <c r="AE41" s="248"/>
      <c r="ALN41" s="272"/>
      <c r="ALO41" s="272"/>
      <c r="ALP41" s="272"/>
      <c r="ALQ41" s="272"/>
      <c r="ALR41" s="272"/>
      <c r="ALS41" s="272"/>
      <c r="ALT41" s="272"/>
      <c r="ALU41" s="272"/>
      <c r="ALV41" s="272"/>
      <c r="ALW41" s="272"/>
      <c r="ALX41" s="272"/>
    </row>
    <row r="42" spans="1:1012" ht="14.25" x14ac:dyDescent="0.2">
      <c r="A42" s="296" t="s">
        <v>118</v>
      </c>
      <c r="B42" s="297" t="s">
        <v>422</v>
      </c>
      <c r="C42" s="240" t="s">
        <v>419</v>
      </c>
      <c r="D42" s="241">
        <f>MC!C92</f>
        <v>2.5000000000000001E-2</v>
      </c>
      <c r="E42" s="242">
        <f>'Prod. GEXPOA'!D7</f>
        <v>49.230769230769283</v>
      </c>
      <c r="F42" s="298">
        <f>'GEXPOA Limp. Ord.'!$F$149</f>
        <v>4.6556276501306391</v>
      </c>
      <c r="G42" s="281">
        <f>'Prod. GEXPOA'!E7</f>
        <v>230.76923076923072</v>
      </c>
      <c r="H42" s="298">
        <f>'GEXPOA Limp. Ord.'!$F$155</f>
        <v>5.179853749395976</v>
      </c>
      <c r="I42" s="281">
        <f>'Prod. GEXPOA'!F7</f>
        <v>0</v>
      </c>
      <c r="J42" s="298">
        <f>'GEXPOA Limp. Ord.'!$F$161</f>
        <v>1.8622510600522555</v>
      </c>
      <c r="K42" s="281">
        <f>'Prod. GEXPOA'!G7</f>
        <v>345</v>
      </c>
      <c r="L42" s="298">
        <f>'GEXPOA Limp. Ord.'!$F$167</f>
        <v>3.1037517667537591</v>
      </c>
      <c r="M42" s="281">
        <f>'Prod. GEXPOA'!H7</f>
        <v>200</v>
      </c>
      <c r="N42" s="298">
        <f>'GEXPOA Limp. Ord.'!$F$173</f>
        <v>19.922514420753753</v>
      </c>
      <c r="O42" s="281">
        <f>'Prod. GEXPOA'!I7</f>
        <v>945</v>
      </c>
      <c r="P42" s="298">
        <f>'GEXPOA Limp. Ord.'!$F$179</f>
        <v>1.7243065370854216</v>
      </c>
      <c r="Q42" s="281">
        <f>'Prod. GEXPOA'!J7</f>
        <v>0</v>
      </c>
      <c r="R42" s="298">
        <f>'GEXPOA Limp. Ord.'!$F$182</f>
        <v>4.6556276501306393E-2</v>
      </c>
      <c r="S42" s="281">
        <f>'Prod. GEXPOA'!K7</f>
        <v>0</v>
      </c>
      <c r="T42" s="298">
        <f>'GEXPOA Limp. Ord.'!$F$185</f>
        <v>0.62075035335075179</v>
      </c>
      <c r="U42" s="283">
        <f>'Prod. GEXPOA'!L7</f>
        <v>0</v>
      </c>
      <c r="V42" s="298">
        <f>'GEXPOA Limp. Ord.'!$F$191</f>
        <v>0.26248099330465308</v>
      </c>
      <c r="W42" s="281">
        <f>'Prod. GEXPOA'!M7</f>
        <v>0</v>
      </c>
      <c r="X42" s="298">
        <f>'GEXPOA Limp. Ord.'!$F$194</f>
        <v>1.0384955889697056</v>
      </c>
      <c r="Y42" s="281">
        <f>'Prod. GEXPOA'!N7</f>
        <v>176</v>
      </c>
      <c r="Z42" s="298">
        <f>'GEXPOA Limp. Ord.'!$F$197</f>
        <v>1.0384955889697056</v>
      </c>
      <c r="AA42" s="244">
        <f t="shared" si="2"/>
        <v>8292.0931405983829</v>
      </c>
      <c r="AB42" s="245">
        <f>('GEX POA Covid'!C$130*'Prod. GEXPOA'!T7)+('GEX POA Covid'!D$130*'Prod. GEXPOA'!U7)</f>
        <v>0</v>
      </c>
      <c r="AC42" s="246">
        <f>'GEXPOA Limp. Ord.'!C$140*'Prod. GEXPOA'!W7</f>
        <v>151.61259144351592</v>
      </c>
      <c r="AD42" s="247">
        <f>'GEX POA Covid'!C$135*'Prod. GEXPOA'!W7</f>
        <v>116.74089064421786</v>
      </c>
      <c r="AE42" s="248"/>
      <c r="ALN42" s="272"/>
      <c r="ALO42" s="272"/>
      <c r="ALP42" s="272"/>
      <c r="ALQ42" s="272"/>
      <c r="ALR42" s="272"/>
      <c r="ALS42" s="272"/>
      <c r="ALT42" s="272"/>
      <c r="ALU42" s="272"/>
      <c r="ALV42" s="272"/>
      <c r="ALW42" s="272"/>
      <c r="ALX42" s="272"/>
    </row>
    <row r="43" spans="1:1012" ht="14.25" x14ac:dyDescent="0.2">
      <c r="A43" s="296" t="s">
        <v>119</v>
      </c>
      <c r="B43" s="297" t="s">
        <v>423</v>
      </c>
      <c r="C43" s="240" t="s">
        <v>424</v>
      </c>
      <c r="D43" s="241">
        <f>MC!C93</f>
        <v>0.03</v>
      </c>
      <c r="E43" s="242">
        <f>'Prod. GEXPOA'!D8</f>
        <v>0</v>
      </c>
      <c r="F43" s="298">
        <f>'GEXPOA Limp. Ord.'!$H$149</f>
        <v>4.6814369204944679</v>
      </c>
      <c r="G43" s="281">
        <f>'Prod. GEXPOA'!E8</f>
        <v>1000</v>
      </c>
      <c r="H43" s="298">
        <f>'GEXPOA Limp. Ord.'!$H$155</f>
        <v>5.2086500630604613</v>
      </c>
      <c r="I43" s="281">
        <f>'Prod. GEXPOA'!F8</f>
        <v>0</v>
      </c>
      <c r="J43" s="298">
        <f>'GEXPOA Limp. Ord.'!$H$161</f>
        <v>1.8725747681977869</v>
      </c>
      <c r="K43" s="281">
        <f>'Prod. GEXPOA'!G8</f>
        <v>0</v>
      </c>
      <c r="L43" s="298">
        <f>'GEXPOA Limp. Ord.'!$H$167</f>
        <v>3.1209579469963113</v>
      </c>
      <c r="M43" s="281">
        <f>'Prod. GEXPOA'!H8</f>
        <v>0</v>
      </c>
      <c r="N43" s="298">
        <f>'GEXPOA Limp. Ord.'!$H$173</f>
        <v>20.033269473309463</v>
      </c>
      <c r="O43" s="281">
        <f>'Prod. GEXPOA'!I8</f>
        <v>0</v>
      </c>
      <c r="P43" s="298">
        <f>'GEXPOA Limp. Ord.'!$H$179</f>
        <v>1.7338655261090619</v>
      </c>
      <c r="Q43" s="281">
        <f>'Prod. GEXPOA'!J8</f>
        <v>0</v>
      </c>
      <c r="R43" s="298">
        <f>'GEXPOA Limp. Ord.'!$H$182</f>
        <v>4.6814369204944674E-2</v>
      </c>
      <c r="S43" s="281">
        <f>'Prod. GEXPOA'!K8</f>
        <v>0</v>
      </c>
      <c r="T43" s="298">
        <f>'GEXPOA Limp. Ord.'!$H$185</f>
        <v>0.62419158939926223</v>
      </c>
      <c r="U43" s="283">
        <f>'Prod. GEXPOA'!L8</f>
        <v>0</v>
      </c>
      <c r="V43" s="298">
        <f>'GEXPOA Limp. Ord.'!$H$191</f>
        <v>0.26369877372229572</v>
      </c>
      <c r="W43" s="281">
        <f>'Prod. GEXPOA'!M8</f>
        <v>0</v>
      </c>
      <c r="X43" s="298">
        <f>'GEXPOA Limp. Ord.'!$H$194</f>
        <v>1.0442526673792323</v>
      </c>
      <c r="Y43" s="281">
        <f>'Prod. GEXPOA'!N8</f>
        <v>0</v>
      </c>
      <c r="Z43" s="298">
        <f>'GEXPOA Limp. Ord.'!$H$197</f>
        <v>1.0442526673792323</v>
      </c>
      <c r="AA43" s="244">
        <f t="shared" si="2"/>
        <v>5208.6500630604614</v>
      </c>
      <c r="AB43" s="245">
        <f>('GEX POA Covid'!C$131*'Prod. GEXPOA'!T8)+('GEX POA Covid'!D$131*'Prod. GEXPOA'!U8)</f>
        <v>3913.5360301432956</v>
      </c>
      <c r="AC43" s="246">
        <f>'GEXPOA Limp. Ord.'!C$141*'Prod. GEXPOA'!W8</f>
        <v>152.47648085345048</v>
      </c>
      <c r="AD43" s="247">
        <f>'GEX POA Covid'!C$136*'Prod. GEXPOA'!W7</f>
        <v>117.40608090429886</v>
      </c>
      <c r="AE43" s="248"/>
      <c r="ALN43" s="272"/>
      <c r="ALO43" s="272"/>
      <c r="ALP43" s="272"/>
      <c r="ALQ43" s="272"/>
      <c r="ALR43" s="272"/>
      <c r="ALS43" s="272"/>
      <c r="ALT43" s="272"/>
      <c r="ALU43" s="272"/>
      <c r="ALV43" s="272"/>
      <c r="ALW43" s="272"/>
      <c r="ALX43" s="272"/>
    </row>
    <row r="44" spans="1:1012" ht="14.25" x14ac:dyDescent="0.2">
      <c r="A44" s="301" t="s">
        <v>120</v>
      </c>
      <c r="B44" s="302" t="s">
        <v>425</v>
      </c>
      <c r="C44" s="255" t="s">
        <v>419</v>
      </c>
      <c r="D44" s="256">
        <f>MC!C94</f>
        <v>2.5000000000000001E-2</v>
      </c>
      <c r="E44" s="257">
        <f>'Prod. GEXPOA'!D9</f>
        <v>2709.2307692307695</v>
      </c>
      <c r="F44" s="303">
        <f>'GEXPOA Limp. Ord.'!$F$149</f>
        <v>4.6556276501306391</v>
      </c>
      <c r="G44" s="288">
        <f>'Prod. GEXPOA'!E9</f>
        <v>230.76923076923072</v>
      </c>
      <c r="H44" s="303">
        <f>'GEXPOA Limp. Ord.'!$F$155</f>
        <v>5.179853749395976</v>
      </c>
      <c r="I44" s="288">
        <f>'Prod. GEXPOA'!F9</f>
        <v>0</v>
      </c>
      <c r="J44" s="303">
        <f>'GEXPOA Limp. Ord.'!$F$161</f>
        <v>1.8622510600522555</v>
      </c>
      <c r="K44" s="288">
        <f>'Prod. GEXPOA'!G9</f>
        <v>300</v>
      </c>
      <c r="L44" s="303">
        <f>'GEXPOA Limp. Ord.'!$F$167</f>
        <v>3.1037517667537591</v>
      </c>
      <c r="M44" s="288">
        <f>'Prod. GEXPOA'!H9</f>
        <v>200</v>
      </c>
      <c r="N44" s="303">
        <f>'GEXPOA Limp. Ord.'!$F$173</f>
        <v>19.922514420753753</v>
      </c>
      <c r="O44" s="288">
        <f>'Prod. GEXPOA'!I9</f>
        <v>1570</v>
      </c>
      <c r="P44" s="303">
        <f>'GEXPOA Limp. Ord.'!$F$179</f>
        <v>1.7243065370854216</v>
      </c>
      <c r="Q44" s="288">
        <f>'Prod. GEXPOA'!J9</f>
        <v>0</v>
      </c>
      <c r="R44" s="303">
        <f>'GEXPOA Limp. Ord.'!$F$182</f>
        <v>4.6556276501306393E-2</v>
      </c>
      <c r="S44" s="288">
        <f>'Prod. GEXPOA'!K9</f>
        <v>0</v>
      </c>
      <c r="T44" s="303">
        <f>'GEXPOA Limp. Ord.'!$F$185</f>
        <v>0.62075035335075179</v>
      </c>
      <c r="U44" s="290">
        <f>'Prod. GEXPOA'!L9</f>
        <v>0</v>
      </c>
      <c r="V44" s="303">
        <f>'GEXPOA Limp. Ord.'!$F$191</f>
        <v>0.26248099330465308</v>
      </c>
      <c r="W44" s="288">
        <f>'Prod. GEXPOA'!M9</f>
        <v>0</v>
      </c>
      <c r="X44" s="303">
        <f>'GEXPOA Limp. Ord.'!$F$194</f>
        <v>1.0384955889697056</v>
      </c>
      <c r="Y44" s="288">
        <f>'Prod. GEXPOA'!N9</f>
        <v>250</v>
      </c>
      <c r="Z44" s="303">
        <f>'GEXPOA Limp. Ord.'!$F$197</f>
        <v>1.0384955889697056</v>
      </c>
      <c r="AA44" s="259">
        <f t="shared" si="2"/>
        <v>21690.934119704114</v>
      </c>
      <c r="AB44" s="260">
        <f>('GEX POA Covid'!C$130*'Prod. GEXPOA'!T9)+('GEX POA Covid'!D$130*'Prod. GEXPOA'!U9)</f>
        <v>0</v>
      </c>
      <c r="AC44" s="261">
        <f>'GEXPOA Limp. Ord.'!C$140*'Prod. GEXPOA'!W9</f>
        <v>151.61259144351592</v>
      </c>
      <c r="AD44" s="262">
        <f>'GEX POA Covid'!C$135*'Prod. GEXPOA'!W9</f>
        <v>116.74089064421786</v>
      </c>
      <c r="AE44" s="263"/>
      <c r="ALN44" s="272"/>
      <c r="ALO44" s="272"/>
      <c r="ALP44" s="272"/>
      <c r="ALQ44" s="272"/>
      <c r="ALR44" s="272"/>
      <c r="ALS44" s="272"/>
      <c r="ALT44" s="272"/>
      <c r="ALU44" s="272"/>
      <c r="ALV44" s="272"/>
      <c r="ALW44" s="272"/>
      <c r="ALX44" s="272"/>
    </row>
    <row r="45" spans="1:1012" ht="14.25" x14ac:dyDescent="0.2">
      <c r="A45" s="793"/>
      <c r="B45" s="793"/>
      <c r="C45" s="793"/>
      <c r="D45" s="793"/>
      <c r="E45" s="304">
        <f>SUM(E39:E44)</f>
        <v>23241.49923076923</v>
      </c>
      <c r="F45" s="305"/>
      <c r="G45" s="306">
        <f>SUM(G39:G44)</f>
        <v>-807.26923076923094</v>
      </c>
      <c r="H45" s="305"/>
      <c r="I45" s="306">
        <f>SUM(I39:I44)</f>
        <v>0</v>
      </c>
      <c r="J45" s="307"/>
      <c r="K45" s="306">
        <f>SUM(K39:K44)</f>
        <v>1680</v>
      </c>
      <c r="L45" s="307"/>
      <c r="M45" s="306">
        <f>SUM(M39:M44)</f>
        <v>1769.89</v>
      </c>
      <c r="N45" s="307"/>
      <c r="O45" s="306">
        <f>SUM(O39:O44)</f>
        <v>4789</v>
      </c>
      <c r="P45" s="308"/>
      <c r="Q45" s="306">
        <f>SUM(Q39:Q44)</f>
        <v>0</v>
      </c>
      <c r="R45" s="307"/>
      <c r="S45" s="306">
        <f>SUM(S39:S44)</f>
        <v>0</v>
      </c>
      <c r="T45" s="307"/>
      <c r="U45" s="306">
        <f>SUM(U39:U44)</f>
        <v>3572.1</v>
      </c>
      <c r="V45" s="309"/>
      <c r="W45" s="306">
        <f>SUM(W39:W44)</f>
        <v>0</v>
      </c>
      <c r="X45" s="307"/>
      <c r="Y45" s="310">
        <f>SUM(Y39:Y44)</f>
        <v>9344</v>
      </c>
      <c r="Z45" s="307"/>
      <c r="AA45" s="307">
        <f>SUM(AA39:AA44)</f>
        <v>163425.00337306445</v>
      </c>
      <c r="AB45" s="311">
        <f>SUM(AB39:AB44)</f>
        <v>42786.726040790294</v>
      </c>
      <c r="AC45" s="312">
        <f>SUM(AC39:AC44)</f>
        <v>910.53943807103008</v>
      </c>
      <c r="AD45" s="311">
        <f>SUM(AD39:AD44)</f>
        <v>701.1105341253882</v>
      </c>
      <c r="AE45" s="307">
        <f>SUM(AE39:AE44)</f>
        <v>4043.6000000000004</v>
      </c>
      <c r="ALN45" s="272"/>
      <c r="ALO45" s="272"/>
      <c r="ALP45" s="272"/>
      <c r="ALQ45" s="272"/>
      <c r="ALR45" s="272"/>
      <c r="ALS45" s="272"/>
      <c r="ALT45" s="272"/>
      <c r="ALU45" s="272"/>
      <c r="ALV45" s="272"/>
      <c r="ALW45" s="272"/>
      <c r="ALX45" s="272"/>
    </row>
    <row r="46" spans="1:1012" x14ac:dyDescent="0.25">
      <c r="A46" s="313"/>
      <c r="B46" s="313"/>
      <c r="C46" s="313"/>
      <c r="D46" s="313"/>
      <c r="E46" s="314"/>
      <c r="F46" s="314"/>
      <c r="G46" s="315"/>
      <c r="H46" s="314"/>
      <c r="I46" s="315"/>
      <c r="J46" s="314"/>
      <c r="K46" s="315"/>
      <c r="L46" s="314"/>
      <c r="M46" s="315"/>
      <c r="N46" s="314"/>
      <c r="O46" s="315"/>
      <c r="P46" s="314"/>
      <c r="Q46" s="315"/>
      <c r="R46" s="314"/>
      <c r="S46" s="315"/>
      <c r="T46" s="314"/>
      <c r="U46" s="315"/>
      <c r="V46" s="314"/>
      <c r="W46" s="315"/>
      <c r="X46" s="314"/>
      <c r="Y46" s="315"/>
      <c r="Z46" s="314"/>
      <c r="AA46" s="316"/>
      <c r="AB46" s="316"/>
      <c r="AC46" s="316"/>
      <c r="AD46" s="316"/>
      <c r="AE46" s="317"/>
      <c r="ALQ46" s="317"/>
      <c r="ALR46" s="317"/>
      <c r="ALS46" s="317"/>
      <c r="ALT46" s="317"/>
      <c r="ALU46" s="317"/>
      <c r="ALV46" s="317"/>
      <c r="ALW46" s="317"/>
      <c r="ALX46" s="317"/>
    </row>
    <row r="47" spans="1:1012" x14ac:dyDescent="0.2">
      <c r="A47" s="794" t="s">
        <v>426</v>
      </c>
      <c r="B47" s="794"/>
      <c r="C47" s="794"/>
      <c r="D47" s="794"/>
      <c r="E47" s="794"/>
      <c r="F47" s="794"/>
      <c r="G47" s="794"/>
      <c r="H47" s="794"/>
      <c r="I47" s="794"/>
      <c r="J47" s="794"/>
      <c r="K47" s="794"/>
      <c r="L47" s="794"/>
      <c r="M47" s="794"/>
      <c r="N47" s="794"/>
      <c r="O47" s="794"/>
      <c r="P47" s="794"/>
      <c r="Q47" s="794"/>
      <c r="R47" s="794"/>
      <c r="S47" s="794"/>
      <c r="T47" s="794"/>
      <c r="U47" s="794"/>
      <c r="V47" s="794"/>
      <c r="W47" s="794"/>
      <c r="X47" s="794"/>
      <c r="Y47" s="794"/>
      <c r="Z47" s="794"/>
      <c r="AA47" s="318">
        <f>ROUND(AA19+AA38+AA45,2)</f>
        <v>360867.76</v>
      </c>
      <c r="AB47" s="318">
        <f>ROUND(AB19+AB38+AB45,2)</f>
        <v>89758.66</v>
      </c>
      <c r="AC47" s="318">
        <f>ROUND(AC19+AC38+AC45,2)</f>
        <v>5438.07</v>
      </c>
      <c r="AD47" s="318">
        <f>ROUND(AD19+AD38+AD45,2)</f>
        <v>4604.34</v>
      </c>
      <c r="AE47" s="318">
        <f>ROUND(AE19+AE38+AE45,2)</f>
        <v>12130.8</v>
      </c>
    </row>
    <row r="48" spans="1:1012" x14ac:dyDescent="0.2">
      <c r="A48" s="319"/>
      <c r="B48" s="319"/>
      <c r="C48" s="319"/>
      <c r="D48" s="319"/>
      <c r="E48" s="320"/>
      <c r="F48" s="321"/>
      <c r="G48" s="321"/>
      <c r="H48" s="321"/>
      <c r="I48" s="322"/>
      <c r="J48" s="320"/>
      <c r="K48" s="323"/>
      <c r="L48" s="318"/>
      <c r="M48" s="323"/>
      <c r="N48" s="318"/>
      <c r="O48" s="323"/>
      <c r="P48" s="318"/>
      <c r="Q48" s="323"/>
      <c r="R48" s="324"/>
      <c r="S48" s="325"/>
      <c r="T48" s="320"/>
      <c r="U48" s="321"/>
      <c r="V48" s="320"/>
      <c r="W48" s="322"/>
      <c r="X48" s="318"/>
      <c r="Y48" s="323"/>
      <c r="Z48" s="318"/>
      <c r="AA48" s="318"/>
      <c r="AB48" s="318"/>
      <c r="AC48" s="320"/>
      <c r="AD48" s="318"/>
      <c r="AE48" s="318"/>
    </row>
    <row r="49" spans="1:31" ht="14.25" x14ac:dyDescent="0.2">
      <c r="A49" s="326"/>
      <c r="B49" s="326"/>
      <c r="C49" s="326"/>
      <c r="D49" s="326"/>
      <c r="E49" s="327"/>
      <c r="F49" s="327"/>
      <c r="G49" s="328"/>
      <c r="H49" s="327"/>
      <c r="I49" s="328"/>
      <c r="J49" s="327"/>
      <c r="K49" s="329"/>
      <c r="L49" s="330"/>
      <c r="M49" s="329"/>
      <c r="N49" s="330"/>
      <c r="O49" s="329"/>
      <c r="P49" s="327"/>
      <c r="Q49" s="328"/>
      <c r="R49" s="327"/>
      <c r="S49" s="329"/>
      <c r="T49" s="330"/>
      <c r="U49" s="328"/>
      <c r="V49" s="327"/>
      <c r="W49" s="328"/>
      <c r="X49" s="330"/>
      <c r="Y49" s="329"/>
      <c r="Z49" s="330"/>
      <c r="AA49" s="330"/>
      <c r="AB49" s="330"/>
      <c r="AC49" s="327"/>
      <c r="AD49" s="795" t="s">
        <v>57</v>
      </c>
      <c r="AE49" s="324">
        <f>AA47+AB47+AC47+AD47+AE47</f>
        <v>472799.63000000006</v>
      </c>
    </row>
    <row r="50" spans="1:31" ht="14.25" x14ac:dyDescent="0.2">
      <c r="A50" s="331"/>
      <c r="B50" s="331"/>
      <c r="C50" s="331"/>
      <c r="D50" s="331"/>
      <c r="E50" s="332"/>
      <c r="F50" s="332"/>
      <c r="G50" s="333"/>
      <c r="H50" s="332"/>
      <c r="I50" s="333"/>
      <c r="J50" s="332"/>
      <c r="K50" s="334"/>
      <c r="L50" s="335"/>
      <c r="M50" s="334"/>
      <c r="N50" s="335"/>
      <c r="O50" s="334"/>
      <c r="P50" s="332"/>
      <c r="Q50" s="333"/>
      <c r="R50" s="332"/>
      <c r="S50" s="334"/>
      <c r="T50" s="335"/>
      <c r="U50" s="333"/>
      <c r="V50" s="332"/>
      <c r="W50" s="333"/>
      <c r="X50" s="335"/>
      <c r="Y50" s="334"/>
      <c r="Z50" s="335"/>
      <c r="AA50" s="335"/>
      <c r="AB50" s="335"/>
      <c r="AC50" s="332"/>
      <c r="AD50" s="795"/>
      <c r="AE50" s="324">
        <f>AE49*12</f>
        <v>5673595.5600000005</v>
      </c>
    </row>
    <row r="51" spans="1:31" x14ac:dyDescent="0.25">
      <c r="E51" s="336" t="s">
        <v>427</v>
      </c>
    </row>
  </sheetData>
  <mergeCells count="26">
    <mergeCell ref="E2:N2"/>
    <mergeCell ref="O2:T2"/>
    <mergeCell ref="U2:Z2"/>
    <mergeCell ref="A3:C5"/>
    <mergeCell ref="D3:D5"/>
    <mergeCell ref="E3:F4"/>
    <mergeCell ref="G3:H4"/>
    <mergeCell ref="I3:J4"/>
    <mergeCell ref="K3:L4"/>
    <mergeCell ref="M3:N4"/>
    <mergeCell ref="O3:P4"/>
    <mergeCell ref="Q3:R4"/>
    <mergeCell ref="S3:T4"/>
    <mergeCell ref="U3:V4"/>
    <mergeCell ref="W3:X4"/>
    <mergeCell ref="Y3:Z4"/>
    <mergeCell ref="AA3:AA4"/>
    <mergeCell ref="AB3:AB4"/>
    <mergeCell ref="AC3:AC4"/>
    <mergeCell ref="AD3:AD4"/>
    <mergeCell ref="AE3:AE4"/>
    <mergeCell ref="A19:D19"/>
    <mergeCell ref="A38:D38"/>
    <mergeCell ref="A45:D45"/>
    <mergeCell ref="A47:Z47"/>
    <mergeCell ref="AD49:AD50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LZ177"/>
  <sheetViews>
    <sheetView zoomScale="75" zoomScaleNormal="75" workbookViewId="0">
      <pane xSplit="1" topLeftCell="B1" activePane="topRight" state="frozen"/>
      <selection pane="topRight" activeCell="Z1" sqref="Z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8.62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1" width="9.25" customWidth="1"/>
    <col min="22" max="22" width="10.875" customWidth="1"/>
    <col min="23" max="24" width="10.625" customWidth="1"/>
    <col min="25" max="25" width="11.625" customWidth="1"/>
    <col min="26" max="26" width="9.25" customWidth="1"/>
    <col min="27" max="1014" width="10.625" customWidth="1"/>
    <col min="1015" max="1025" width="10.5" customWidth="1"/>
  </cols>
  <sheetData>
    <row r="1" spans="1:26" ht="15" customHeight="1" x14ac:dyDescent="0.2">
      <c r="A1" s="313"/>
      <c r="B1" s="313"/>
      <c r="C1" s="817" t="s">
        <v>331</v>
      </c>
      <c r="D1" s="817"/>
      <c r="E1" s="817"/>
      <c r="F1" s="817"/>
      <c r="G1" s="817"/>
      <c r="H1" s="817"/>
      <c r="I1" s="818" t="s">
        <v>332</v>
      </c>
      <c r="J1" s="818"/>
      <c r="K1" s="818"/>
      <c r="L1" s="819" t="s">
        <v>333</v>
      </c>
      <c r="M1" s="819"/>
      <c r="N1" s="819"/>
      <c r="O1" s="313"/>
      <c r="P1" s="313"/>
      <c r="Q1" s="313"/>
      <c r="R1" s="313"/>
      <c r="S1" s="313"/>
      <c r="T1" s="313"/>
      <c r="U1" s="313"/>
      <c r="V1" s="820"/>
      <c r="W1" s="820"/>
      <c r="X1" s="820"/>
      <c r="Y1" s="313"/>
      <c r="Z1" s="80"/>
    </row>
    <row r="2" spans="1:26" ht="73.7" customHeight="1" x14ac:dyDescent="0.2">
      <c r="A2" s="821" t="s">
        <v>339</v>
      </c>
      <c r="B2" s="821" t="s">
        <v>340</v>
      </c>
      <c r="C2" s="822" t="s">
        <v>428</v>
      </c>
      <c r="D2" s="807" t="s">
        <v>341</v>
      </c>
      <c r="E2" s="807" t="s">
        <v>342</v>
      </c>
      <c r="F2" s="808" t="s">
        <v>343</v>
      </c>
      <c r="G2" s="806" t="s">
        <v>344</v>
      </c>
      <c r="H2" s="823" t="s">
        <v>429</v>
      </c>
      <c r="I2" s="824" t="s">
        <v>346</v>
      </c>
      <c r="J2" s="809" t="s">
        <v>430</v>
      </c>
      <c r="K2" s="825" t="s">
        <v>348</v>
      </c>
      <c r="L2" s="826" t="s">
        <v>349</v>
      </c>
      <c r="M2" s="811" t="s">
        <v>350</v>
      </c>
      <c r="N2" s="813" t="s">
        <v>351</v>
      </c>
      <c r="O2" s="814" t="s">
        <v>431</v>
      </c>
      <c r="P2" s="815" t="s">
        <v>432</v>
      </c>
      <c r="Q2" s="815"/>
      <c r="R2" s="815"/>
      <c r="S2" s="815"/>
      <c r="T2" s="816" t="s">
        <v>433</v>
      </c>
      <c r="U2" s="816"/>
      <c r="V2" s="337" t="s">
        <v>434</v>
      </c>
      <c r="W2" s="338" t="s">
        <v>435</v>
      </c>
      <c r="X2" s="339" t="s">
        <v>436</v>
      </c>
      <c r="Y2" s="340" t="s">
        <v>437</v>
      </c>
      <c r="Z2" s="341"/>
    </row>
    <row r="3" spans="1:26" x14ac:dyDescent="0.2">
      <c r="A3" s="821"/>
      <c r="B3" s="821"/>
      <c r="C3" s="821"/>
      <c r="D3" s="807"/>
      <c r="E3" s="807"/>
      <c r="F3" s="808"/>
      <c r="G3" s="806"/>
      <c r="H3" s="823"/>
      <c r="I3" s="824"/>
      <c r="J3" s="809"/>
      <c r="K3" s="825"/>
      <c r="L3" s="826"/>
      <c r="M3" s="811"/>
      <c r="N3" s="813"/>
      <c r="O3" s="814"/>
      <c r="P3" s="342" t="s">
        <v>438</v>
      </c>
      <c r="Q3" s="342" t="s">
        <v>439</v>
      </c>
      <c r="R3" s="342" t="s">
        <v>440</v>
      </c>
      <c r="S3" s="343" t="s">
        <v>441</v>
      </c>
      <c r="T3" s="344" t="s">
        <v>442</v>
      </c>
      <c r="U3" s="344" t="s">
        <v>443</v>
      </c>
      <c r="V3" s="345" t="s">
        <v>444</v>
      </c>
      <c r="W3" s="346" t="s">
        <v>444</v>
      </c>
      <c r="X3" s="347" t="s">
        <v>445</v>
      </c>
      <c r="Y3" s="340" t="s">
        <v>442</v>
      </c>
      <c r="Z3" s="341"/>
    </row>
    <row r="4" spans="1:26" x14ac:dyDescent="0.2">
      <c r="A4" s="348" t="s">
        <v>80</v>
      </c>
      <c r="B4" s="349">
        <f>'Resumo Proposta'!D6</f>
        <v>0.03</v>
      </c>
      <c r="C4" s="350">
        <v>1662.45</v>
      </c>
      <c r="D4" s="351">
        <f>C4-E4-F4-G4-H4</f>
        <v>887.45399999999995</v>
      </c>
      <c r="E4" s="352">
        <f t="shared" ref="E4:E16" si="0">$E$18*(1-H4/$H$18)</f>
        <v>602.89599999999996</v>
      </c>
      <c r="F4" s="353">
        <f>63.8/2</f>
        <v>31.9</v>
      </c>
      <c r="G4" s="353">
        <f>88/2</f>
        <v>44</v>
      </c>
      <c r="H4" s="353">
        <f>192.4/2</f>
        <v>96.2</v>
      </c>
      <c r="I4" s="353">
        <v>81.72</v>
      </c>
      <c r="J4" s="353">
        <f>209.12+124.66</f>
        <v>333.78</v>
      </c>
      <c r="K4" s="353">
        <v>1116.3499999999999</v>
      </c>
      <c r="L4" s="353"/>
      <c r="M4" s="353">
        <f>N4</f>
        <v>150.505</v>
      </c>
      <c r="N4" s="354">
        <f>301.01/2</f>
        <v>150.505</v>
      </c>
      <c r="O4" s="355">
        <f t="shared" ref="O4:O16" si="1">D4/$D$18+E4/$E$18+F4/$F$18+G4/$G$18+H4/$H$18+I4/$I$18+J4/$J$18+K4/$K$18+M4/$M$18*16*1/188.76+N4/$N$18*16*1/188.76</f>
        <v>2.2059014120908031</v>
      </c>
      <c r="P4" s="355">
        <v>1</v>
      </c>
      <c r="Q4" s="355"/>
      <c r="R4" s="355"/>
      <c r="S4" s="355"/>
      <c r="T4" s="356"/>
      <c r="U4" s="356"/>
      <c r="V4" s="357">
        <v>6</v>
      </c>
      <c r="W4" s="358">
        <v>6</v>
      </c>
      <c r="X4" s="359">
        <v>22</v>
      </c>
      <c r="Y4" s="360">
        <v>1</v>
      </c>
      <c r="Z4" s="80"/>
    </row>
    <row r="5" spans="1:26" x14ac:dyDescent="0.2">
      <c r="A5" s="361" t="s">
        <v>82</v>
      </c>
      <c r="B5" s="362">
        <f>'Resumo Proposta'!D7</f>
        <v>0.03</v>
      </c>
      <c r="C5" s="363"/>
      <c r="D5" s="284"/>
      <c r="E5" s="364">
        <f t="shared" si="0"/>
        <v>980</v>
      </c>
      <c r="F5" s="284"/>
      <c r="G5" s="284"/>
      <c r="H5" s="284"/>
      <c r="I5" s="284"/>
      <c r="J5" s="284"/>
      <c r="K5" s="284"/>
      <c r="L5" s="284"/>
      <c r="M5" s="353"/>
      <c r="N5" s="365"/>
      <c r="O5" s="355">
        <f t="shared" si="1"/>
        <v>1</v>
      </c>
      <c r="P5" s="366">
        <v>0</v>
      </c>
      <c r="Q5" s="367"/>
      <c r="R5" s="367"/>
      <c r="S5" s="367"/>
      <c r="T5" s="368"/>
      <c r="U5" s="368"/>
      <c r="V5" s="369">
        <v>6</v>
      </c>
      <c r="W5" s="370">
        <v>6</v>
      </c>
      <c r="X5" s="371"/>
      <c r="Y5" s="372"/>
      <c r="Z5" s="80"/>
    </row>
    <row r="6" spans="1:26" x14ac:dyDescent="0.2">
      <c r="A6" s="361" t="s">
        <v>84</v>
      </c>
      <c r="B6" s="362">
        <f>'Resumo Proposta'!D8</f>
        <v>0.03</v>
      </c>
      <c r="C6" s="363"/>
      <c r="D6" s="284"/>
      <c r="E6" s="364">
        <f t="shared" si="0"/>
        <v>980</v>
      </c>
      <c r="F6" s="284"/>
      <c r="G6" s="284"/>
      <c r="H6" s="284"/>
      <c r="I6" s="284"/>
      <c r="J6" s="284"/>
      <c r="K6" s="284"/>
      <c r="L6" s="284"/>
      <c r="M6" s="353"/>
      <c r="N6" s="365"/>
      <c r="O6" s="355">
        <f t="shared" si="1"/>
        <v>1</v>
      </c>
      <c r="P6" s="366">
        <v>0</v>
      </c>
      <c r="Q6" s="367"/>
      <c r="R6" s="367"/>
      <c r="S6" s="367"/>
      <c r="T6" s="368"/>
      <c r="U6" s="368"/>
      <c r="V6" s="369">
        <v>6</v>
      </c>
      <c r="W6" s="370">
        <v>6</v>
      </c>
      <c r="X6" s="373"/>
      <c r="Y6" s="372"/>
      <c r="Z6" s="80"/>
    </row>
    <row r="7" spans="1:26" x14ac:dyDescent="0.2">
      <c r="A7" s="361" t="s">
        <v>86</v>
      </c>
      <c r="B7" s="362">
        <f>'Resumo Proposta'!D9</f>
        <v>2.5000000000000001E-2</v>
      </c>
      <c r="C7" s="363"/>
      <c r="D7" s="284"/>
      <c r="E7" s="364">
        <f t="shared" si="0"/>
        <v>980</v>
      </c>
      <c r="F7" s="284"/>
      <c r="G7" s="284"/>
      <c r="H7" s="284"/>
      <c r="I7" s="284"/>
      <c r="J7" s="284"/>
      <c r="K7" s="374"/>
      <c r="L7" s="353">
        <f>2*9*3.35*1.52</f>
        <v>91.656000000000006</v>
      </c>
      <c r="M7" s="353"/>
      <c r="N7" s="365"/>
      <c r="O7" s="355">
        <f t="shared" si="1"/>
        <v>1</v>
      </c>
      <c r="P7" s="367">
        <v>1</v>
      </c>
      <c r="Q7" s="367"/>
      <c r="R7" s="367"/>
      <c r="S7" s="367"/>
      <c r="T7" s="368"/>
      <c r="U7" s="368"/>
      <c r="V7" s="369">
        <v>6</v>
      </c>
      <c r="W7" s="370">
        <v>6</v>
      </c>
      <c r="X7" s="373"/>
      <c r="Y7" s="372"/>
      <c r="Z7" s="80"/>
    </row>
    <row r="8" spans="1:26" x14ac:dyDescent="0.2">
      <c r="A8" s="361" t="s">
        <v>88</v>
      </c>
      <c r="B8" s="362">
        <f>'Resumo Proposta'!D10</f>
        <v>0.03</v>
      </c>
      <c r="C8" s="363">
        <v>1662.45</v>
      </c>
      <c r="D8" s="284">
        <f>C8-E8-F8-G8-H8</f>
        <v>887.45399999999995</v>
      </c>
      <c r="E8" s="364">
        <f t="shared" si="0"/>
        <v>602.89599999999996</v>
      </c>
      <c r="F8" s="353">
        <f>63.8/2</f>
        <v>31.9</v>
      </c>
      <c r="G8" s="353">
        <f>88/2</f>
        <v>44</v>
      </c>
      <c r="H8" s="353">
        <f>192.4/2</f>
        <v>96.2</v>
      </c>
      <c r="I8" s="284">
        <v>0</v>
      </c>
      <c r="J8" s="284">
        <v>0</v>
      </c>
      <c r="K8" s="284"/>
      <c r="L8" s="284"/>
      <c r="M8" s="353">
        <f>N8</f>
        <v>150.505</v>
      </c>
      <c r="N8" s="365">
        <f>301.01/2</f>
        <v>150.505</v>
      </c>
      <c r="O8" s="355">
        <f t="shared" si="1"/>
        <v>2.0148026597098507</v>
      </c>
      <c r="P8" s="367">
        <v>1</v>
      </c>
      <c r="Q8" s="367">
        <v>2</v>
      </c>
      <c r="R8" s="367"/>
      <c r="S8" s="367"/>
      <c r="T8" s="368">
        <v>2</v>
      </c>
      <c r="U8" s="368">
        <v>0</v>
      </c>
      <c r="V8" s="369">
        <v>6</v>
      </c>
      <c r="W8" s="370">
        <v>6</v>
      </c>
      <c r="X8" s="373"/>
      <c r="Y8" s="372"/>
      <c r="Z8" s="80"/>
    </row>
    <row r="9" spans="1:26" x14ac:dyDescent="0.2">
      <c r="A9" s="361" t="s">
        <v>90</v>
      </c>
      <c r="B9" s="362">
        <f>'Resumo Proposta'!D11</f>
        <v>0.03</v>
      </c>
      <c r="C9" s="363">
        <v>1093.08</v>
      </c>
      <c r="D9" s="284">
        <f>C9-E9-F9-G9-H9</f>
        <v>50.995999999999952</v>
      </c>
      <c r="E9" s="364">
        <f t="shared" si="0"/>
        <v>747.54399999999998</v>
      </c>
      <c r="F9" s="284">
        <v>215.5</v>
      </c>
      <c r="G9" s="284">
        <v>19.739999999999998</v>
      </c>
      <c r="H9" s="284">
        <v>59.3</v>
      </c>
      <c r="I9" s="284">
        <v>503.12</v>
      </c>
      <c r="J9" s="284">
        <v>574</v>
      </c>
      <c r="K9" s="284">
        <f>1282-574</f>
        <v>708</v>
      </c>
      <c r="L9" s="284"/>
      <c r="M9" s="353">
        <f>N9</f>
        <v>79.59</v>
      </c>
      <c r="N9" s="365">
        <v>79.59</v>
      </c>
      <c r="O9" s="355">
        <f t="shared" si="1"/>
        <v>1.5266247637302319</v>
      </c>
      <c r="P9" s="367">
        <v>1</v>
      </c>
      <c r="Q9" s="367">
        <v>1</v>
      </c>
      <c r="R9" s="367"/>
      <c r="S9" s="367"/>
      <c r="T9" s="368">
        <v>1</v>
      </c>
      <c r="U9" s="368"/>
      <c r="V9" s="369">
        <v>6</v>
      </c>
      <c r="W9" s="370">
        <v>6</v>
      </c>
      <c r="X9" s="373"/>
      <c r="Y9" s="372"/>
      <c r="Z9" s="80"/>
    </row>
    <row r="10" spans="1:26" x14ac:dyDescent="0.2">
      <c r="A10" s="361" t="s">
        <v>92</v>
      </c>
      <c r="B10" s="362">
        <f>'Resumo Proposta'!D12</f>
        <v>0.03</v>
      </c>
      <c r="C10" s="363">
        <v>1705.8</v>
      </c>
      <c r="D10" s="284">
        <f>C10-E10-F10-G10-H10</f>
        <v>593.49600000000009</v>
      </c>
      <c r="E10" s="364">
        <f t="shared" si="0"/>
        <v>778.904</v>
      </c>
      <c r="F10" s="284">
        <v>231.55</v>
      </c>
      <c r="G10" s="284">
        <v>50.55</v>
      </c>
      <c r="H10" s="284">
        <v>51.3</v>
      </c>
      <c r="I10" s="284">
        <v>124.13</v>
      </c>
      <c r="J10" s="284">
        <v>786</v>
      </c>
      <c r="K10" s="284">
        <f>1020-J10</f>
        <v>234</v>
      </c>
      <c r="L10" s="284"/>
      <c r="M10" s="353">
        <f>N10</f>
        <v>133.22999999999999</v>
      </c>
      <c r="N10" s="365">
        <v>133.22999999999999</v>
      </c>
      <c r="O10" s="355">
        <f t="shared" si="1"/>
        <v>1.8895349005790292</v>
      </c>
      <c r="P10" s="367">
        <v>1</v>
      </c>
      <c r="Q10" s="367">
        <v>1</v>
      </c>
      <c r="R10" s="367"/>
      <c r="S10" s="367"/>
      <c r="T10" s="368">
        <v>2</v>
      </c>
      <c r="U10" s="368"/>
      <c r="V10" s="369">
        <v>6</v>
      </c>
      <c r="W10" s="370">
        <v>6</v>
      </c>
      <c r="X10" s="373"/>
      <c r="Y10" s="372"/>
      <c r="Z10" s="80"/>
    </row>
    <row r="11" spans="1:26" x14ac:dyDescent="0.2">
      <c r="A11" s="361" t="s">
        <v>94</v>
      </c>
      <c r="B11" s="362">
        <f>'Resumo Proposta'!D13</f>
        <v>0.02</v>
      </c>
      <c r="C11" s="363">
        <v>1431.6</v>
      </c>
      <c r="D11" s="284">
        <f>C11-E11-F11-G11-H11</f>
        <v>436.71599999999984</v>
      </c>
      <c r="E11" s="364">
        <f t="shared" si="0"/>
        <v>892.58400000000006</v>
      </c>
      <c r="F11" s="284">
        <v>50</v>
      </c>
      <c r="G11" s="284">
        <v>30</v>
      </c>
      <c r="H11" s="284">
        <v>22.3</v>
      </c>
      <c r="I11" s="284">
        <v>37.83</v>
      </c>
      <c r="J11" s="284">
        <v>0</v>
      </c>
      <c r="K11" s="284">
        <f>248-37.83</f>
        <v>210.17000000000002</v>
      </c>
      <c r="L11" s="284"/>
      <c r="M11" s="353">
        <f>N11</f>
        <v>152.55000000000001</v>
      </c>
      <c r="N11" s="365">
        <v>152.55000000000001</v>
      </c>
      <c r="O11" s="355">
        <f t="shared" si="1"/>
        <v>1.599721869377831</v>
      </c>
      <c r="P11" s="367">
        <v>1</v>
      </c>
      <c r="Q11" s="367">
        <v>1</v>
      </c>
      <c r="R11" s="367"/>
      <c r="S11" s="367"/>
      <c r="T11" s="368">
        <v>1</v>
      </c>
      <c r="U11" s="368"/>
      <c r="V11" s="369">
        <v>6</v>
      </c>
      <c r="W11" s="370">
        <v>6</v>
      </c>
      <c r="X11" s="373"/>
      <c r="Y11" s="372"/>
      <c r="Z11" s="80"/>
    </row>
    <row r="12" spans="1:26" x14ac:dyDescent="0.2">
      <c r="A12" s="361" t="s">
        <v>96</v>
      </c>
      <c r="B12" s="362">
        <f>'Resumo Proposta'!D14</f>
        <v>0.02</v>
      </c>
      <c r="C12" s="363">
        <v>1271.4000000000001</v>
      </c>
      <c r="D12" s="284">
        <f>C12-E12-F12-G12-H12</f>
        <v>715.51200000000017</v>
      </c>
      <c r="E12" s="364">
        <f t="shared" si="0"/>
        <v>305.36799999999999</v>
      </c>
      <c r="F12" s="284">
        <v>48.75</v>
      </c>
      <c r="G12" s="284">
        <v>29.67</v>
      </c>
      <c r="H12" s="284">
        <v>172.1</v>
      </c>
      <c r="I12" s="284">
        <v>0</v>
      </c>
      <c r="J12" s="284">
        <v>195</v>
      </c>
      <c r="K12" s="284">
        <f>428-J12</f>
        <v>233</v>
      </c>
      <c r="L12" s="284"/>
      <c r="M12" s="353">
        <f>N12</f>
        <v>138</v>
      </c>
      <c r="N12" s="365">
        <v>138</v>
      </c>
      <c r="O12" s="355">
        <f t="shared" si="1"/>
        <v>1.863976181410296</v>
      </c>
      <c r="P12" s="367">
        <v>1</v>
      </c>
      <c r="Q12" s="367">
        <v>1</v>
      </c>
      <c r="R12" s="367"/>
      <c r="S12" s="367"/>
      <c r="T12" s="368">
        <v>1</v>
      </c>
      <c r="U12" s="368"/>
      <c r="V12" s="369">
        <v>6</v>
      </c>
      <c r="W12" s="370">
        <v>6</v>
      </c>
      <c r="X12" s="373"/>
      <c r="Y12" s="372"/>
      <c r="Z12" s="80"/>
    </row>
    <row r="13" spans="1:26" x14ac:dyDescent="0.2">
      <c r="A13" s="361" t="s">
        <v>98</v>
      </c>
      <c r="B13" s="362">
        <f>'Resumo Proposta'!D15</f>
        <v>0.02</v>
      </c>
      <c r="C13" s="363"/>
      <c r="D13" s="284"/>
      <c r="E13" s="364">
        <f t="shared" si="0"/>
        <v>980</v>
      </c>
      <c r="F13" s="284"/>
      <c r="G13" s="284"/>
      <c r="H13" s="284"/>
      <c r="I13" s="284"/>
      <c r="J13" s="284"/>
      <c r="K13" s="284"/>
      <c r="L13" s="284"/>
      <c r="M13" s="353"/>
      <c r="N13" s="365"/>
      <c r="O13" s="355">
        <f t="shared" si="1"/>
        <v>1</v>
      </c>
      <c r="P13" s="367">
        <v>1</v>
      </c>
      <c r="Q13" s="367"/>
      <c r="R13" s="367"/>
      <c r="S13" s="367"/>
      <c r="T13" s="368"/>
      <c r="U13" s="368"/>
      <c r="V13" s="369">
        <v>6</v>
      </c>
      <c r="W13" s="370">
        <v>6</v>
      </c>
      <c r="X13" s="373"/>
      <c r="Y13" s="372"/>
      <c r="Z13" s="80"/>
    </row>
    <row r="14" spans="1:26" x14ac:dyDescent="0.2">
      <c r="A14" s="361" t="s">
        <v>100</v>
      </c>
      <c r="B14" s="362">
        <f>'Resumo Proposta'!D16</f>
        <v>0.03</v>
      </c>
      <c r="C14" s="363">
        <v>480.42</v>
      </c>
      <c r="D14" s="284">
        <f>C14-E14-F14-G14-H14</f>
        <v>-468.58199999999999</v>
      </c>
      <c r="E14" s="364">
        <f t="shared" si="0"/>
        <v>813.79200000000003</v>
      </c>
      <c r="F14" s="284">
        <v>42.85</v>
      </c>
      <c r="G14" s="284">
        <v>49.96</v>
      </c>
      <c r="H14" s="284">
        <v>42.4</v>
      </c>
      <c r="I14" s="284">
        <v>74</v>
      </c>
      <c r="J14" s="284">
        <v>579</v>
      </c>
      <c r="K14" s="284">
        <v>681</v>
      </c>
      <c r="L14" s="284"/>
      <c r="M14" s="353">
        <f>N14</f>
        <v>42.1</v>
      </c>
      <c r="N14" s="365">
        <v>42.1</v>
      </c>
      <c r="O14" s="355">
        <f t="shared" si="1"/>
        <v>0.72291172004800841</v>
      </c>
      <c r="P14" s="367">
        <v>1</v>
      </c>
      <c r="Q14" s="367">
        <v>1</v>
      </c>
      <c r="R14" s="367"/>
      <c r="S14" s="367"/>
      <c r="T14" s="368"/>
      <c r="U14" s="368"/>
      <c r="V14" s="369">
        <v>6</v>
      </c>
      <c r="W14" s="370">
        <v>6</v>
      </c>
      <c r="X14" s="373"/>
      <c r="Y14" s="372"/>
      <c r="Z14" s="80"/>
    </row>
    <row r="15" spans="1:26" x14ac:dyDescent="0.2">
      <c r="A15" s="361" t="s">
        <v>102</v>
      </c>
      <c r="B15" s="362">
        <f>'Resumo Proposta'!D17</f>
        <v>0.03</v>
      </c>
      <c r="C15" s="363"/>
      <c r="D15" s="284"/>
      <c r="E15" s="364">
        <f t="shared" si="0"/>
        <v>980</v>
      </c>
      <c r="F15" s="284"/>
      <c r="G15" s="284"/>
      <c r="H15" s="284"/>
      <c r="I15" s="284"/>
      <c r="J15" s="284"/>
      <c r="K15" s="284"/>
      <c r="L15" s="284"/>
      <c r="M15" s="353"/>
      <c r="N15" s="365"/>
      <c r="O15" s="355">
        <f t="shared" si="1"/>
        <v>1</v>
      </c>
      <c r="P15" s="367">
        <v>1</v>
      </c>
      <c r="Q15" s="367"/>
      <c r="R15" s="367"/>
      <c r="S15" s="367"/>
      <c r="T15" s="368"/>
      <c r="U15" s="368"/>
      <c r="V15" s="369">
        <v>6</v>
      </c>
      <c r="W15" s="370">
        <v>6</v>
      </c>
      <c r="X15" s="373"/>
      <c r="Y15" s="372"/>
      <c r="Z15" s="80"/>
    </row>
    <row r="16" spans="1:26" x14ac:dyDescent="0.2">
      <c r="A16" s="375" t="s">
        <v>104</v>
      </c>
      <c r="B16" s="376">
        <f>'Resumo Proposta'!D18</f>
        <v>0.03</v>
      </c>
      <c r="C16" s="377"/>
      <c r="D16" s="378"/>
      <c r="E16" s="379">
        <f t="shared" si="0"/>
        <v>980</v>
      </c>
      <c r="F16" s="380"/>
      <c r="G16" s="380"/>
      <c r="H16" s="380"/>
      <c r="I16" s="380"/>
      <c r="J16" s="380"/>
      <c r="K16" s="380"/>
      <c r="L16" s="380"/>
      <c r="M16" s="353"/>
      <c r="N16" s="381"/>
      <c r="O16" s="355">
        <f t="shared" si="1"/>
        <v>1</v>
      </c>
      <c r="P16" s="367">
        <v>1</v>
      </c>
      <c r="Q16" s="367"/>
      <c r="R16" s="367"/>
      <c r="S16" s="367"/>
      <c r="T16" s="368"/>
      <c r="U16" s="368"/>
      <c r="V16" s="369">
        <v>6</v>
      </c>
      <c r="W16" s="370">
        <v>6</v>
      </c>
      <c r="X16" s="373"/>
      <c r="Y16" s="372"/>
      <c r="Z16" s="80"/>
    </row>
    <row r="17" spans="1:1014" x14ac:dyDescent="0.2">
      <c r="A17" s="382" t="s">
        <v>446</v>
      </c>
      <c r="B17" s="382"/>
      <c r="C17" s="383">
        <f t="shared" ref="C17:Y17" si="2">SUM(C4:C16)</f>
        <v>9307.1999999999989</v>
      </c>
      <c r="D17" s="383">
        <f t="shared" si="2"/>
        <v>3103.0459999999998</v>
      </c>
      <c r="E17" s="383">
        <f t="shared" si="2"/>
        <v>10623.984</v>
      </c>
      <c r="F17" s="383">
        <f t="shared" si="2"/>
        <v>652.45000000000005</v>
      </c>
      <c r="G17" s="383">
        <f t="shared" si="2"/>
        <v>267.91999999999996</v>
      </c>
      <c r="H17" s="383">
        <f t="shared" si="2"/>
        <v>539.79999999999995</v>
      </c>
      <c r="I17" s="383">
        <f t="shared" si="2"/>
        <v>820.80000000000007</v>
      </c>
      <c r="J17" s="383">
        <f t="shared" si="2"/>
        <v>2467.7799999999997</v>
      </c>
      <c r="K17" s="383">
        <f t="shared" si="2"/>
        <v>3182.52</v>
      </c>
      <c r="L17" s="383">
        <f t="shared" si="2"/>
        <v>91.656000000000006</v>
      </c>
      <c r="M17" s="383">
        <f t="shared" si="2"/>
        <v>846.48000000000013</v>
      </c>
      <c r="N17" s="383">
        <f t="shared" si="2"/>
        <v>846.48000000000013</v>
      </c>
      <c r="O17" s="384">
        <f t="shared" si="2"/>
        <v>17.823473506946051</v>
      </c>
      <c r="P17" s="385">
        <f t="shared" si="2"/>
        <v>11</v>
      </c>
      <c r="Q17" s="386">
        <f t="shared" si="2"/>
        <v>7</v>
      </c>
      <c r="R17" s="386">
        <f t="shared" si="2"/>
        <v>0</v>
      </c>
      <c r="S17" s="386">
        <f t="shared" si="2"/>
        <v>0</v>
      </c>
      <c r="T17" s="387">
        <f t="shared" si="2"/>
        <v>7</v>
      </c>
      <c r="U17" s="388">
        <f t="shared" si="2"/>
        <v>0</v>
      </c>
      <c r="V17" s="389">
        <f t="shared" si="2"/>
        <v>78</v>
      </c>
      <c r="W17" s="390">
        <f t="shared" si="2"/>
        <v>78</v>
      </c>
      <c r="X17" s="391">
        <f t="shared" si="2"/>
        <v>22</v>
      </c>
      <c r="Y17" s="392">
        <f t="shared" si="2"/>
        <v>1</v>
      </c>
      <c r="ALV17" s="272"/>
      <c r="ALW17" s="272"/>
      <c r="ALX17" s="272"/>
      <c r="ALY17" s="272"/>
      <c r="ALZ17" s="272"/>
    </row>
    <row r="18" spans="1:1014" ht="15" x14ac:dyDescent="0.25">
      <c r="A18" s="393" t="s">
        <v>447</v>
      </c>
      <c r="B18" s="393"/>
      <c r="C18" s="393"/>
      <c r="D18" s="394">
        <v>980</v>
      </c>
      <c r="E18" s="394">
        <v>980</v>
      </c>
      <c r="F18" s="395">
        <v>2500</v>
      </c>
      <c r="G18" s="395">
        <v>1500</v>
      </c>
      <c r="H18" s="395">
        <v>250</v>
      </c>
      <c r="I18" s="395">
        <v>2100</v>
      </c>
      <c r="J18" s="395">
        <v>100000</v>
      </c>
      <c r="K18" s="395">
        <v>7500</v>
      </c>
      <c r="L18" s="395">
        <v>160</v>
      </c>
      <c r="M18" s="395">
        <v>380</v>
      </c>
      <c r="N18" s="396">
        <v>380</v>
      </c>
      <c r="O18" s="397"/>
      <c r="P18" s="398" t="s">
        <v>448</v>
      </c>
      <c r="Q18" s="399">
        <f>P17+Q17+R17+S17</f>
        <v>18</v>
      </c>
      <c r="R18" s="400"/>
      <c r="S18" s="400"/>
      <c r="T18" s="398" t="s">
        <v>448</v>
      </c>
      <c r="U18" s="401">
        <f>T17+U17</f>
        <v>7</v>
      </c>
      <c r="V18" s="402"/>
      <c r="W18" s="402"/>
      <c r="X18" s="402"/>
      <c r="Y18" s="316"/>
      <c r="Z18" s="317"/>
      <c r="ALY18" s="317"/>
      <c r="ALZ18" s="317"/>
    </row>
    <row r="19" spans="1:1014" ht="15" x14ac:dyDescent="0.25">
      <c r="A19" s="403" t="s">
        <v>449</v>
      </c>
      <c r="B19" s="403"/>
      <c r="C19" s="403"/>
      <c r="D19" s="404">
        <f t="shared" ref="D19:K19" si="3">D17/D18</f>
        <v>3.166373469387755</v>
      </c>
      <c r="E19" s="404">
        <f t="shared" si="3"/>
        <v>10.8408</v>
      </c>
      <c r="F19" s="405">
        <f t="shared" si="3"/>
        <v>0.26098000000000005</v>
      </c>
      <c r="G19" s="405">
        <f t="shared" si="3"/>
        <v>0.17861333333333332</v>
      </c>
      <c r="H19" s="405">
        <f t="shared" si="3"/>
        <v>2.1591999999999998</v>
      </c>
      <c r="I19" s="405">
        <f t="shared" si="3"/>
        <v>0.3908571428571429</v>
      </c>
      <c r="J19" s="405">
        <f t="shared" si="3"/>
        <v>2.4677799999999996E-2</v>
      </c>
      <c r="K19" s="405">
        <f t="shared" si="3"/>
        <v>0.42433599999999999</v>
      </c>
      <c r="L19" s="405">
        <f>1/L18*8*1/1132.6*L17</f>
        <v>4.046265230443229E-3</v>
      </c>
      <c r="M19" s="405">
        <f>1/M18*16*1/188.76*M17</f>
        <v>0.18881788068390942</v>
      </c>
      <c r="N19" s="406">
        <f>1/N18*16*1/188.76*N17</f>
        <v>0.18881788068390942</v>
      </c>
      <c r="O19" s="407">
        <f>SUM(D19:N19)-L19</f>
        <v>17.823473506946051</v>
      </c>
      <c r="P19" s="398" t="s">
        <v>450</v>
      </c>
      <c r="Q19" s="401">
        <f>P17+Q17+((R17+S17)*0.75)</f>
        <v>18</v>
      </c>
      <c r="R19" s="316"/>
      <c r="S19" s="316"/>
      <c r="T19" s="408"/>
      <c r="U19" s="316"/>
      <c r="V19" s="316"/>
      <c r="W19" s="316"/>
      <c r="X19" s="316"/>
      <c r="Y19" s="316"/>
      <c r="Z19" s="317"/>
      <c r="ALY19" s="317"/>
      <c r="ALZ19" s="317"/>
    </row>
    <row r="20" spans="1:1014" ht="15" x14ac:dyDescent="0.25">
      <c r="A20" s="409" t="s">
        <v>451</v>
      </c>
      <c r="B20" s="409"/>
      <c r="C20" s="409"/>
      <c r="D20" s="410">
        <f t="shared" ref="D20:K20" si="4">D17/($O19*D18)</f>
        <v>0.17765187398257559</v>
      </c>
      <c r="E20" s="410">
        <f t="shared" si="4"/>
        <v>0.60823161073374343</v>
      </c>
      <c r="F20" s="411">
        <f t="shared" si="4"/>
        <v>1.464248817147188E-2</v>
      </c>
      <c r="G20" s="411">
        <f t="shared" si="4"/>
        <v>1.0021241553377642E-2</v>
      </c>
      <c r="H20" s="411">
        <f t="shared" si="4"/>
        <v>0.12114361429934126</v>
      </c>
      <c r="I20" s="411">
        <f t="shared" si="4"/>
        <v>2.192934742517055E-2</v>
      </c>
      <c r="J20" s="411">
        <f t="shared" si="4"/>
        <v>1.3845673791016504E-3</v>
      </c>
      <c r="K20" s="411">
        <f t="shared" si="4"/>
        <v>2.3807705037664544E-2</v>
      </c>
      <c r="L20" s="411">
        <f>1/$O19*1/L18*16*1/188.76*L17</f>
        <v>2.7243229345213465E-3</v>
      </c>
      <c r="M20" s="411">
        <f>1/$O19*1/M18*16*1/188.76*M17</f>
        <v>1.0593775708776659E-2</v>
      </c>
      <c r="N20" s="411">
        <f>1/$O19*1/N18*16*1/188.76*N17</f>
        <v>1.0593775708776659E-2</v>
      </c>
      <c r="O20" s="412">
        <f>SUM(D20:N20)</f>
        <v>1.0027243229345211</v>
      </c>
      <c r="P20" s="316"/>
      <c r="Q20" s="316"/>
      <c r="R20" s="316"/>
      <c r="S20" s="316"/>
      <c r="T20" s="316"/>
      <c r="U20" s="316"/>
      <c r="V20" s="316"/>
      <c r="W20" s="316"/>
      <c r="X20" s="316"/>
      <c r="Y20" s="317"/>
      <c r="Z20" s="317"/>
      <c r="ALY20" s="317"/>
      <c r="ALZ20" s="317"/>
    </row>
    <row r="21" spans="1:1014" ht="15" hidden="1" x14ac:dyDescent="0.25">
      <c r="A21" s="413" t="s">
        <v>452</v>
      </c>
      <c r="B21" s="413"/>
      <c r="C21" s="413"/>
      <c r="D21" s="414">
        <f>ROUND(1/D18,9)</f>
        <v>1.020408E-3</v>
      </c>
      <c r="E21" s="414"/>
      <c r="F21" s="415">
        <f t="shared" ref="F21:K21" si="5">ROUND(1/F18,9)</f>
        <v>4.0000000000000002E-4</v>
      </c>
      <c r="G21" s="415">
        <f t="shared" si="5"/>
        <v>6.6666700000000002E-4</v>
      </c>
      <c r="H21" s="415">
        <f t="shared" si="5"/>
        <v>4.0000000000000001E-3</v>
      </c>
      <c r="I21" s="415">
        <f t="shared" si="5"/>
        <v>4.7618999999999998E-4</v>
      </c>
      <c r="J21" s="415">
        <f t="shared" si="5"/>
        <v>1.0000000000000001E-5</v>
      </c>
      <c r="K21" s="415">
        <f t="shared" si="5"/>
        <v>1.3333299999999999E-4</v>
      </c>
      <c r="L21" s="416">
        <f>(1/L18)*(1/N26)*8</f>
        <v>4.8611111111111115E-5</v>
      </c>
      <c r="M21" s="416">
        <f>(1/M18)*(1/N25)*16</f>
        <v>2.4561403508771931E-4</v>
      </c>
      <c r="N21" s="417">
        <f>(1/N18)*(1/N25)*16</f>
        <v>2.4561403508771931E-4</v>
      </c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LY21" s="317"/>
      <c r="ALZ21" s="317"/>
    </row>
    <row r="22" spans="1:1014" ht="15" hidden="1" x14ac:dyDescent="0.25">
      <c r="A22" s="418" t="s">
        <v>453</v>
      </c>
      <c r="B22" s="418"/>
      <c r="C22" s="418"/>
      <c r="D22" s="419">
        <f>D21/$Y$17</f>
        <v>1.020408E-3</v>
      </c>
      <c r="E22" s="419"/>
      <c r="F22" s="420">
        <f t="shared" ref="F22:N22" si="6">F21/$Y$17</f>
        <v>4.0000000000000002E-4</v>
      </c>
      <c r="G22" s="420">
        <f t="shared" si="6"/>
        <v>6.6666700000000002E-4</v>
      </c>
      <c r="H22" s="420">
        <f t="shared" si="6"/>
        <v>4.0000000000000001E-3</v>
      </c>
      <c r="I22" s="420">
        <f t="shared" si="6"/>
        <v>4.7618999999999998E-4</v>
      </c>
      <c r="J22" s="420">
        <f t="shared" si="6"/>
        <v>1.0000000000000001E-5</v>
      </c>
      <c r="K22" s="420">
        <f t="shared" si="6"/>
        <v>1.3333299999999999E-4</v>
      </c>
      <c r="L22" s="421">
        <f t="shared" si="6"/>
        <v>4.8611111111111115E-5</v>
      </c>
      <c r="M22" s="421">
        <f t="shared" si="6"/>
        <v>2.4561403508771931E-4</v>
      </c>
      <c r="N22" s="422">
        <f t="shared" si="6"/>
        <v>2.4561403508771931E-4</v>
      </c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LY22" s="317"/>
      <c r="ALZ22" s="317"/>
    </row>
    <row r="23" spans="1:1014" ht="15" x14ac:dyDescent="0.25">
      <c r="A23" s="423" t="s">
        <v>454</v>
      </c>
      <c r="B23" s="423"/>
      <c r="C23" s="423"/>
      <c r="D23" s="424" t="s">
        <v>455</v>
      </c>
      <c r="E23" s="424" t="s">
        <v>455</v>
      </c>
      <c r="F23" s="425" t="s">
        <v>456</v>
      </c>
      <c r="G23" s="425" t="s">
        <v>457</v>
      </c>
      <c r="H23" s="425" t="s">
        <v>458</v>
      </c>
      <c r="I23" s="426" t="s">
        <v>459</v>
      </c>
      <c r="J23" s="426" t="s">
        <v>459</v>
      </c>
      <c r="K23" s="426" t="s">
        <v>460</v>
      </c>
      <c r="L23" s="427" t="s">
        <v>461</v>
      </c>
      <c r="M23" s="427" t="s">
        <v>462</v>
      </c>
      <c r="N23" s="428" t="s">
        <v>462</v>
      </c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LY23" s="317"/>
      <c r="ALZ23" s="317"/>
    </row>
    <row r="24" spans="1:1014" ht="15" hidden="1" x14ac:dyDescent="0.25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ALV24" s="272"/>
      <c r="ALW24" s="272"/>
      <c r="ALX24" s="272"/>
      <c r="ALY24" s="272"/>
      <c r="ALZ24" s="272"/>
    </row>
    <row r="25" spans="1:1014" ht="15" hidden="1" x14ac:dyDescent="0.25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429">
        <f>30/7</f>
        <v>4.2857142857142856</v>
      </c>
      <c r="M25" s="429">
        <v>40</v>
      </c>
      <c r="N25" s="429">
        <f>L25*M25</f>
        <v>171.42857142857142</v>
      </c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ALV25" s="272"/>
      <c r="ALW25" s="272"/>
      <c r="ALX25" s="272"/>
      <c r="ALY25" s="272"/>
      <c r="ALZ25" s="272"/>
    </row>
    <row r="26" spans="1:1014" ht="15" hidden="1" x14ac:dyDescent="0.25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429"/>
      <c r="M26" s="429"/>
      <c r="N26" s="429">
        <f>N25*6</f>
        <v>1028.5714285714284</v>
      </c>
      <c r="O26" s="429" t="s">
        <v>463</v>
      </c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ALV26" s="272"/>
      <c r="ALW26" s="272"/>
      <c r="ALX26" s="272"/>
      <c r="ALY26" s="272"/>
      <c r="ALZ26" s="272"/>
    </row>
    <row r="177" spans="4:4" x14ac:dyDescent="0.2">
      <c r="D177">
        <f>(1/'Prod. GEXCAN'!L18)*(1/('Prod. GEXCAN'!L19))*8</f>
        <v>12.357074277734135</v>
      </c>
    </row>
  </sheetData>
  <mergeCells count="21">
    <mergeCell ref="C1:H1"/>
    <mergeCell ref="I1:K1"/>
    <mergeCell ref="L1:N1"/>
    <mergeCell ref="V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S2"/>
    <mergeCell ref="T2:U2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K198"/>
  <sheetViews>
    <sheetView zoomScale="75" zoomScaleNormal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141" sqref="M141"/>
    </sheetView>
  </sheetViews>
  <sheetFormatPr defaultRowHeight="14.25" x14ac:dyDescent="0.2"/>
  <cols>
    <col min="1" max="1" width="58.125" style="429" customWidth="1"/>
    <col min="2" max="2" width="16.25" style="429" customWidth="1"/>
    <col min="3" max="12" width="14" style="429" customWidth="1"/>
    <col min="13" max="13" width="15.125" style="429" customWidth="1"/>
    <col min="14" max="14" width="10.5" style="429" customWidth="1"/>
    <col min="15" max="15" width="14.25" style="429" customWidth="1"/>
    <col min="16" max="1025" width="10.5" style="429" customWidth="1"/>
  </cols>
  <sheetData>
    <row r="1" spans="1:9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</row>
    <row r="2" spans="1:9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</row>
    <row r="3" spans="1:9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</row>
    <row r="4" spans="1:9" ht="24" x14ac:dyDescent="0.2">
      <c r="A4" s="430"/>
      <c r="B4" s="431"/>
      <c r="C4" s="851" t="s">
        <v>467</v>
      </c>
      <c r="D4" s="851"/>
      <c r="E4" s="852" t="s">
        <v>468</v>
      </c>
      <c r="F4" s="852"/>
      <c r="G4" s="433" t="s">
        <v>469</v>
      </c>
      <c r="H4" s="434" t="s">
        <v>470</v>
      </c>
      <c r="I4" s="435" t="s">
        <v>471</v>
      </c>
    </row>
    <row r="5" spans="1:9" x14ac:dyDescent="0.2">
      <c r="A5" s="436"/>
      <c r="B5" s="437" t="s">
        <v>472</v>
      </c>
      <c r="C5" s="847">
        <f>MC!$D11</f>
        <v>1194.6272727272726</v>
      </c>
      <c r="D5" s="847"/>
      <c r="E5" s="847">
        <f>MC!$E11</f>
        <v>895.97045454545446</v>
      </c>
      <c r="F5" s="847"/>
      <c r="G5" s="439">
        <f>MC!$F11</f>
        <v>597.31363636363631</v>
      </c>
      <c r="H5" s="440">
        <f>MC!$C13</f>
        <v>1669.75</v>
      </c>
      <c r="I5" s="440">
        <f>MC!$D12</f>
        <v>1673.9117345454545</v>
      </c>
    </row>
    <row r="6" spans="1:9" x14ac:dyDescent="0.2">
      <c r="A6" s="436"/>
      <c r="B6" s="437" t="s">
        <v>473</v>
      </c>
      <c r="C6" s="848">
        <f>MC!$E8</f>
        <v>44562</v>
      </c>
      <c r="D6" s="848"/>
      <c r="E6" s="848">
        <f>MC!$E8</f>
        <v>44562</v>
      </c>
      <c r="F6" s="848"/>
      <c r="G6" s="442">
        <f>MC!$E8</f>
        <v>44562</v>
      </c>
      <c r="H6" s="443">
        <f>MC!$E8</f>
        <v>44562</v>
      </c>
      <c r="I6" s="443">
        <f>MC!$E8</f>
        <v>44562</v>
      </c>
    </row>
    <row r="7" spans="1:9" x14ac:dyDescent="0.2">
      <c r="A7" s="436"/>
      <c r="B7" s="437" t="s">
        <v>474</v>
      </c>
      <c r="C7" s="848" t="str">
        <f>MC!$C8</f>
        <v>RS005021/2021</v>
      </c>
      <c r="D7" s="848"/>
      <c r="E7" s="848" t="str">
        <f>MC!$C8</f>
        <v>RS005021/2021</v>
      </c>
      <c r="F7" s="848"/>
      <c r="G7" s="442" t="str">
        <f>MC!$C8</f>
        <v>RS005021/2021</v>
      </c>
      <c r="H7" s="443" t="str">
        <f>MC!$C8</f>
        <v>RS005021/2021</v>
      </c>
      <c r="I7" s="443" t="str">
        <f>MC!$C8</f>
        <v>RS005021/2021</v>
      </c>
    </row>
    <row r="8" spans="1:9" x14ac:dyDescent="0.2">
      <c r="A8" s="436"/>
      <c r="B8" s="437" t="s">
        <v>475</v>
      </c>
      <c r="C8" s="844" t="str">
        <f>MC!$F8</f>
        <v>5143-20</v>
      </c>
      <c r="D8" s="844"/>
      <c r="E8" s="845" t="str">
        <f>MC!$F8</f>
        <v>5143-20</v>
      </c>
      <c r="F8" s="845"/>
      <c r="G8" s="445" t="str">
        <f>MC!$F8</f>
        <v>5143-20</v>
      </c>
      <c r="H8" s="446" t="str">
        <f>MC!$F8</f>
        <v>5143-20</v>
      </c>
      <c r="I8" s="446" t="str">
        <f>MC!$F8</f>
        <v>5143-20</v>
      </c>
    </row>
    <row r="9" spans="1:9" x14ac:dyDescent="0.2">
      <c r="A9" s="846"/>
      <c r="B9" s="846"/>
      <c r="C9" s="846"/>
      <c r="D9" s="846"/>
      <c r="E9" s="846"/>
      <c r="F9" s="846"/>
      <c r="G9" s="846"/>
      <c r="H9" s="846"/>
      <c r="I9" s="846"/>
    </row>
    <row r="10" spans="1:9" ht="56.1" customHeight="1" x14ac:dyDescent="0.2">
      <c r="A10" s="447" t="s">
        <v>476</v>
      </c>
      <c r="B10" s="448" t="s">
        <v>477</v>
      </c>
      <c r="C10" s="449" t="s">
        <v>478</v>
      </c>
      <c r="D10" s="450" t="s">
        <v>479</v>
      </c>
      <c r="E10" s="450" t="s">
        <v>480</v>
      </c>
      <c r="F10" s="450" t="s">
        <v>481</v>
      </c>
      <c r="G10" s="450" t="s">
        <v>482</v>
      </c>
      <c r="H10" s="450" t="s">
        <v>483</v>
      </c>
      <c r="I10" s="451" t="s">
        <v>484</v>
      </c>
    </row>
    <row r="11" spans="1:9" ht="14.25" customHeight="1" x14ac:dyDescent="0.2">
      <c r="A11" s="842" t="s">
        <v>485</v>
      </c>
      <c r="B11" s="842"/>
      <c r="C11" s="842"/>
      <c r="D11" s="842"/>
      <c r="E11" s="842"/>
      <c r="F11" s="842"/>
      <c r="G11" s="842"/>
      <c r="H11" s="842"/>
      <c r="I11" s="842"/>
    </row>
    <row r="12" spans="1:9" ht="15.75" customHeight="1" x14ac:dyDescent="0.2">
      <c r="A12" s="452" t="s">
        <v>486</v>
      </c>
      <c r="B12" s="453" t="s">
        <v>487</v>
      </c>
      <c r="C12" s="453" t="s">
        <v>488</v>
      </c>
      <c r="D12" s="453" t="s">
        <v>488</v>
      </c>
      <c r="E12" s="453" t="s">
        <v>488</v>
      </c>
      <c r="F12" s="453" t="s">
        <v>488</v>
      </c>
      <c r="G12" s="453" t="s">
        <v>488</v>
      </c>
      <c r="H12" s="453" t="s">
        <v>488</v>
      </c>
      <c r="I12" s="454" t="s">
        <v>488</v>
      </c>
    </row>
    <row r="13" spans="1:9" ht="15.75" customHeight="1" x14ac:dyDescent="0.2">
      <c r="A13" s="455" t="s">
        <v>489</v>
      </c>
      <c r="B13" s="456"/>
      <c r="C13" s="457">
        <f>C5</f>
        <v>1194.6272727272726</v>
      </c>
      <c r="D13" s="457">
        <f>C5</f>
        <v>1194.6272727272726</v>
      </c>
      <c r="E13" s="458">
        <f>E5</f>
        <v>895.97045454545446</v>
      </c>
      <c r="F13" s="458">
        <f>E5</f>
        <v>895.97045454545446</v>
      </c>
      <c r="G13" s="458">
        <f>G5</f>
        <v>597.31363636363631</v>
      </c>
      <c r="H13" s="458">
        <f>H5</f>
        <v>1669.75</v>
      </c>
      <c r="I13" s="459">
        <f>I5</f>
        <v>1673.9117345454545</v>
      </c>
    </row>
    <row r="14" spans="1:9" ht="15.75" customHeight="1" x14ac:dyDescent="0.2">
      <c r="A14" s="455" t="s">
        <v>490</v>
      </c>
      <c r="B14" s="460" t="s">
        <v>491</v>
      </c>
      <c r="C14" s="457">
        <f>C5*0.4</f>
        <v>477.85090909090906</v>
      </c>
      <c r="D14" s="457">
        <f>C5*0.2</f>
        <v>238.92545454545453</v>
      </c>
      <c r="E14" s="457">
        <f>E5*0.4</f>
        <v>358.38818181818181</v>
      </c>
      <c r="F14" s="457">
        <f>E5*0.2</f>
        <v>179.1940909090909</v>
      </c>
      <c r="G14" s="457">
        <f>G5*0.2</f>
        <v>119.46272727272726</v>
      </c>
      <c r="H14" s="461" t="s">
        <v>112</v>
      </c>
      <c r="I14" s="462" t="s">
        <v>112</v>
      </c>
    </row>
    <row r="15" spans="1:9" ht="15.75" customHeight="1" x14ac:dyDescent="0.2">
      <c r="A15" s="455" t="s">
        <v>492</v>
      </c>
      <c r="B15" s="463"/>
      <c r="C15" s="461" t="s">
        <v>112</v>
      </c>
      <c r="D15" s="461" t="s">
        <v>112</v>
      </c>
      <c r="E15" s="464" t="s">
        <v>112</v>
      </c>
      <c r="F15" s="464" t="s">
        <v>112</v>
      </c>
      <c r="G15" s="464" t="s">
        <v>112</v>
      </c>
      <c r="H15" s="464" t="s">
        <v>112</v>
      </c>
      <c r="I15" s="462" t="s">
        <v>112</v>
      </c>
    </row>
    <row r="16" spans="1:9" ht="15.75" customHeight="1" x14ac:dyDescent="0.2">
      <c r="A16" s="455" t="s">
        <v>493</v>
      </c>
      <c r="B16" s="463"/>
      <c r="C16" s="461" t="s">
        <v>112</v>
      </c>
      <c r="D16" s="461" t="s">
        <v>112</v>
      </c>
      <c r="E16" s="464" t="s">
        <v>112</v>
      </c>
      <c r="F16" s="464" t="s">
        <v>112</v>
      </c>
      <c r="G16" s="464" t="s">
        <v>112</v>
      </c>
      <c r="H16" s="464" t="s">
        <v>112</v>
      </c>
      <c r="I16" s="462" t="s">
        <v>112</v>
      </c>
    </row>
    <row r="17" spans="1:9" ht="15.75" customHeight="1" x14ac:dyDescent="0.2">
      <c r="A17" s="455" t="s">
        <v>494</v>
      </c>
      <c r="B17" s="463"/>
      <c r="C17" s="461" t="s">
        <v>112</v>
      </c>
      <c r="D17" s="461" t="s">
        <v>112</v>
      </c>
      <c r="E17" s="464" t="s">
        <v>112</v>
      </c>
      <c r="F17" s="464" t="s">
        <v>112</v>
      </c>
      <c r="G17" s="464" t="s">
        <v>112</v>
      </c>
      <c r="H17" s="464" t="s">
        <v>112</v>
      </c>
      <c r="I17" s="462" t="s">
        <v>112</v>
      </c>
    </row>
    <row r="18" spans="1:9" ht="15.75" customHeight="1" x14ac:dyDescent="0.2">
      <c r="A18" s="455" t="s">
        <v>495</v>
      </c>
      <c r="B18" s="465"/>
      <c r="C18" s="461" t="s">
        <v>112</v>
      </c>
      <c r="D18" s="461" t="s">
        <v>112</v>
      </c>
      <c r="E18" s="461" t="s">
        <v>112</v>
      </c>
      <c r="F18" s="461" t="s">
        <v>112</v>
      </c>
      <c r="G18" s="461" t="s">
        <v>112</v>
      </c>
      <c r="H18" s="464" t="s">
        <v>112</v>
      </c>
      <c r="I18" s="462" t="s">
        <v>112</v>
      </c>
    </row>
    <row r="19" spans="1:9" ht="15.75" customHeight="1" x14ac:dyDescent="0.2">
      <c r="A19" s="466" t="s">
        <v>496</v>
      </c>
      <c r="B19" s="467"/>
      <c r="C19" s="468">
        <f t="shared" ref="C19:I19" si="0">SUM(C13:C18)</f>
        <v>1672.4781818181816</v>
      </c>
      <c r="D19" s="469">
        <f t="shared" si="0"/>
        <v>1433.5527272727272</v>
      </c>
      <c r="E19" s="469">
        <f t="shared" si="0"/>
        <v>1254.3586363636364</v>
      </c>
      <c r="F19" s="469">
        <f t="shared" si="0"/>
        <v>1075.1645454545453</v>
      </c>
      <c r="G19" s="469">
        <f t="shared" si="0"/>
        <v>716.77636363636361</v>
      </c>
      <c r="H19" s="469">
        <f t="shared" si="0"/>
        <v>1669.75</v>
      </c>
      <c r="I19" s="470">
        <f t="shared" si="0"/>
        <v>1673.9117345454545</v>
      </c>
    </row>
    <row r="20" spans="1:9" ht="15.75" customHeight="1" x14ac:dyDescent="0.2">
      <c r="A20" s="837"/>
      <c r="B20" s="837"/>
      <c r="C20" s="472"/>
      <c r="D20" s="472"/>
      <c r="E20" s="473"/>
      <c r="F20" s="473"/>
      <c r="G20" s="473"/>
      <c r="H20" s="473"/>
      <c r="I20" s="474"/>
    </row>
    <row r="21" spans="1:9" ht="14.25" customHeight="1" x14ac:dyDescent="0.2">
      <c r="A21" s="842" t="s">
        <v>497</v>
      </c>
      <c r="B21" s="842"/>
      <c r="C21" s="842"/>
      <c r="D21" s="842"/>
      <c r="E21" s="842"/>
      <c r="F21" s="842"/>
      <c r="G21" s="842"/>
      <c r="H21" s="842"/>
      <c r="I21" s="842"/>
    </row>
    <row r="22" spans="1:9" ht="28.3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6" t="s">
        <v>488</v>
      </c>
      <c r="F22" s="476" t="s">
        <v>488</v>
      </c>
      <c r="G22" s="476" t="s">
        <v>488</v>
      </c>
      <c r="H22" s="476" t="s">
        <v>488</v>
      </c>
      <c r="I22" s="477" t="s">
        <v>488</v>
      </c>
    </row>
    <row r="23" spans="1:9" ht="15.75" customHeight="1" x14ac:dyDescent="0.2">
      <c r="A23" s="478" t="s">
        <v>499</v>
      </c>
      <c r="B23" s="479">
        <f>1/12</f>
        <v>8.3333333333333329E-2</v>
      </c>
      <c r="C23" s="457">
        <f t="shared" ref="C23:I23" si="1">ROUND($B23*C$19,2)</f>
        <v>139.37</v>
      </c>
      <c r="D23" s="457">
        <f t="shared" si="1"/>
        <v>119.46</v>
      </c>
      <c r="E23" s="457">
        <f t="shared" si="1"/>
        <v>104.53</v>
      </c>
      <c r="F23" s="457">
        <f t="shared" si="1"/>
        <v>89.6</v>
      </c>
      <c r="G23" s="457">
        <f t="shared" si="1"/>
        <v>59.73</v>
      </c>
      <c r="H23" s="457">
        <f t="shared" si="1"/>
        <v>139.15</v>
      </c>
      <c r="I23" s="459">
        <f t="shared" si="1"/>
        <v>139.49</v>
      </c>
    </row>
    <row r="24" spans="1:9" x14ac:dyDescent="0.2">
      <c r="A24" s="478" t="s">
        <v>500</v>
      </c>
      <c r="B24" s="479">
        <f>1/3*1/12</f>
        <v>2.7777777777777776E-2</v>
      </c>
      <c r="C24" s="457">
        <f t="shared" ref="C24:I24" si="2">C$19*$B$24</f>
        <v>46.457727272727261</v>
      </c>
      <c r="D24" s="457">
        <f t="shared" si="2"/>
        <v>39.82090909090909</v>
      </c>
      <c r="E24" s="457">
        <f t="shared" si="2"/>
        <v>34.843295454545455</v>
      </c>
      <c r="F24" s="457">
        <f t="shared" si="2"/>
        <v>29.865681818181812</v>
      </c>
      <c r="G24" s="457">
        <f t="shared" si="2"/>
        <v>19.910454545454545</v>
      </c>
      <c r="H24" s="457">
        <f t="shared" si="2"/>
        <v>46.381944444444443</v>
      </c>
      <c r="I24" s="459">
        <f t="shared" si="2"/>
        <v>46.497548181818175</v>
      </c>
    </row>
    <row r="25" spans="1:9" ht="14.25" customHeight="1" x14ac:dyDescent="0.2">
      <c r="A25" s="466" t="s">
        <v>496</v>
      </c>
      <c r="B25" s="480">
        <f t="shared" ref="B25:I25" si="3">SUM(B23:B24)</f>
        <v>0.1111111111111111</v>
      </c>
      <c r="C25" s="481">
        <f t="shared" si="3"/>
        <v>185.82772727272726</v>
      </c>
      <c r="D25" s="481">
        <f t="shared" si="3"/>
        <v>159.28090909090909</v>
      </c>
      <c r="E25" s="481">
        <f t="shared" si="3"/>
        <v>139.37329545454546</v>
      </c>
      <c r="F25" s="481">
        <f t="shared" si="3"/>
        <v>119.46568181818181</v>
      </c>
      <c r="G25" s="481">
        <f t="shared" si="3"/>
        <v>79.640454545454546</v>
      </c>
      <c r="H25" s="481">
        <f t="shared" si="3"/>
        <v>185.53194444444443</v>
      </c>
      <c r="I25" s="482">
        <f t="shared" si="3"/>
        <v>185.98754818181817</v>
      </c>
    </row>
    <row r="26" spans="1:9" x14ac:dyDescent="0.2">
      <c r="A26" s="475" t="s">
        <v>501</v>
      </c>
      <c r="B26" s="476" t="s">
        <v>487</v>
      </c>
      <c r="C26" s="476" t="s">
        <v>488</v>
      </c>
      <c r="D26" s="476" t="s">
        <v>488</v>
      </c>
      <c r="E26" s="476" t="s">
        <v>488</v>
      </c>
      <c r="F26" s="476" t="s">
        <v>488</v>
      </c>
      <c r="G26" s="476" t="s">
        <v>488</v>
      </c>
      <c r="H26" s="476" t="s">
        <v>488</v>
      </c>
      <c r="I26" s="477" t="s">
        <v>488</v>
      </c>
    </row>
    <row r="27" spans="1:9" ht="15.75" customHeight="1" x14ac:dyDescent="0.2">
      <c r="A27" s="475" t="s">
        <v>502</v>
      </c>
      <c r="B27" s="483"/>
      <c r="C27" s="483"/>
      <c r="D27" s="483"/>
      <c r="E27" s="483"/>
      <c r="F27" s="483"/>
      <c r="G27" s="483"/>
      <c r="H27" s="484"/>
      <c r="I27" s="485"/>
    </row>
    <row r="28" spans="1:9" ht="14.25" customHeight="1" x14ac:dyDescent="0.2">
      <c r="A28" s="478" t="s">
        <v>503</v>
      </c>
      <c r="B28" s="479">
        <v>0.2</v>
      </c>
      <c r="C28" s="486">
        <f>ROUND(($C$19+$C$25)*B28,2)</f>
        <v>371.66</v>
      </c>
      <c r="D28" s="486">
        <f t="shared" ref="D28:I35" si="4">ROUND((D$19+D$25)*$B28,2)</f>
        <v>318.57</v>
      </c>
      <c r="E28" s="486">
        <f t="shared" si="4"/>
        <v>278.75</v>
      </c>
      <c r="F28" s="486">
        <f t="shared" si="4"/>
        <v>238.93</v>
      </c>
      <c r="G28" s="486">
        <f t="shared" si="4"/>
        <v>159.28</v>
      </c>
      <c r="H28" s="486">
        <f t="shared" si="4"/>
        <v>371.06</v>
      </c>
      <c r="I28" s="487">
        <f t="shared" si="4"/>
        <v>371.98</v>
      </c>
    </row>
    <row r="29" spans="1:9" ht="15.75" customHeight="1" x14ac:dyDescent="0.2">
      <c r="A29" s="478" t="s">
        <v>504</v>
      </c>
      <c r="B29" s="479">
        <v>2.5000000000000001E-2</v>
      </c>
      <c r="C29" s="486">
        <f t="shared" ref="C29:C35" si="5">ROUND((C$19+C$25)*$B29,2)</f>
        <v>46.46</v>
      </c>
      <c r="D29" s="486">
        <f t="shared" si="4"/>
        <v>39.82</v>
      </c>
      <c r="E29" s="486">
        <f t="shared" si="4"/>
        <v>34.840000000000003</v>
      </c>
      <c r="F29" s="486">
        <f t="shared" si="4"/>
        <v>29.87</v>
      </c>
      <c r="G29" s="486">
        <f t="shared" si="4"/>
        <v>19.91</v>
      </c>
      <c r="H29" s="486">
        <f t="shared" si="4"/>
        <v>46.38</v>
      </c>
      <c r="I29" s="487">
        <f t="shared" si="4"/>
        <v>46.5</v>
      </c>
    </row>
    <row r="30" spans="1:9" ht="15.75" customHeight="1" x14ac:dyDescent="0.2">
      <c r="A30" s="478" t="s">
        <v>505</v>
      </c>
      <c r="B30" s="479">
        <v>0.03</v>
      </c>
      <c r="C30" s="486">
        <f t="shared" si="5"/>
        <v>55.75</v>
      </c>
      <c r="D30" s="486">
        <f t="shared" si="4"/>
        <v>47.79</v>
      </c>
      <c r="E30" s="486">
        <f t="shared" si="4"/>
        <v>41.81</v>
      </c>
      <c r="F30" s="486">
        <f t="shared" si="4"/>
        <v>35.840000000000003</v>
      </c>
      <c r="G30" s="486">
        <f t="shared" si="4"/>
        <v>23.89</v>
      </c>
      <c r="H30" s="486">
        <f t="shared" si="4"/>
        <v>55.66</v>
      </c>
      <c r="I30" s="487">
        <f t="shared" si="4"/>
        <v>55.8</v>
      </c>
    </row>
    <row r="31" spans="1:9" ht="15.75" customHeight="1" x14ac:dyDescent="0.2">
      <c r="A31" s="478" t="s">
        <v>506</v>
      </c>
      <c r="B31" s="479">
        <v>1.4999999999999999E-2</v>
      </c>
      <c r="C31" s="486">
        <f t="shared" si="5"/>
        <v>27.87</v>
      </c>
      <c r="D31" s="486">
        <f t="shared" si="4"/>
        <v>23.89</v>
      </c>
      <c r="E31" s="486">
        <f t="shared" si="4"/>
        <v>20.91</v>
      </c>
      <c r="F31" s="486">
        <f t="shared" si="4"/>
        <v>17.920000000000002</v>
      </c>
      <c r="G31" s="486">
        <f t="shared" si="4"/>
        <v>11.95</v>
      </c>
      <c r="H31" s="486">
        <f t="shared" si="4"/>
        <v>27.83</v>
      </c>
      <c r="I31" s="487">
        <f t="shared" si="4"/>
        <v>27.9</v>
      </c>
    </row>
    <row r="32" spans="1:9" ht="15.75" customHeight="1" x14ac:dyDescent="0.2">
      <c r="A32" s="478" t="s">
        <v>507</v>
      </c>
      <c r="B32" s="479">
        <v>0.01</v>
      </c>
      <c r="C32" s="486">
        <f t="shared" si="5"/>
        <v>18.579999999999998</v>
      </c>
      <c r="D32" s="486">
        <f t="shared" si="4"/>
        <v>15.93</v>
      </c>
      <c r="E32" s="486">
        <f t="shared" si="4"/>
        <v>13.94</v>
      </c>
      <c r="F32" s="486">
        <f t="shared" si="4"/>
        <v>11.95</v>
      </c>
      <c r="G32" s="486">
        <f t="shared" si="4"/>
        <v>7.96</v>
      </c>
      <c r="H32" s="486">
        <f t="shared" si="4"/>
        <v>18.55</v>
      </c>
      <c r="I32" s="487">
        <f t="shared" si="4"/>
        <v>18.600000000000001</v>
      </c>
    </row>
    <row r="33" spans="1:9" ht="15.75" customHeight="1" x14ac:dyDescent="0.2">
      <c r="A33" s="478" t="s">
        <v>508</v>
      </c>
      <c r="B33" s="479">
        <v>6.0000000000000001E-3</v>
      </c>
      <c r="C33" s="486">
        <f t="shared" si="5"/>
        <v>11.15</v>
      </c>
      <c r="D33" s="486">
        <f t="shared" si="4"/>
        <v>9.56</v>
      </c>
      <c r="E33" s="486">
        <f t="shared" si="4"/>
        <v>8.36</v>
      </c>
      <c r="F33" s="486">
        <f t="shared" si="4"/>
        <v>7.17</v>
      </c>
      <c r="G33" s="486">
        <f t="shared" si="4"/>
        <v>4.78</v>
      </c>
      <c r="H33" s="486">
        <f t="shared" si="4"/>
        <v>11.13</v>
      </c>
      <c r="I33" s="487">
        <f t="shared" si="4"/>
        <v>11.16</v>
      </c>
    </row>
    <row r="34" spans="1:9" ht="15.75" customHeight="1" x14ac:dyDescent="0.2">
      <c r="A34" s="478" t="s">
        <v>509</v>
      </c>
      <c r="B34" s="479">
        <v>2E-3</v>
      </c>
      <c r="C34" s="486">
        <f t="shared" si="5"/>
        <v>3.72</v>
      </c>
      <c r="D34" s="486">
        <f t="shared" si="4"/>
        <v>3.19</v>
      </c>
      <c r="E34" s="486">
        <f t="shared" si="4"/>
        <v>2.79</v>
      </c>
      <c r="F34" s="486">
        <f t="shared" si="4"/>
        <v>2.39</v>
      </c>
      <c r="G34" s="486">
        <f t="shared" si="4"/>
        <v>1.59</v>
      </c>
      <c r="H34" s="486">
        <f t="shared" si="4"/>
        <v>3.71</v>
      </c>
      <c r="I34" s="487">
        <f t="shared" si="4"/>
        <v>3.72</v>
      </c>
    </row>
    <row r="35" spans="1:9" ht="15.75" customHeight="1" x14ac:dyDescent="0.2">
      <c r="A35" s="478" t="s">
        <v>510</v>
      </c>
      <c r="B35" s="479">
        <v>0.08</v>
      </c>
      <c r="C35" s="486">
        <f t="shared" si="5"/>
        <v>148.66</v>
      </c>
      <c r="D35" s="486">
        <f t="shared" si="4"/>
        <v>127.43</v>
      </c>
      <c r="E35" s="486">
        <f t="shared" si="4"/>
        <v>111.5</v>
      </c>
      <c r="F35" s="486">
        <f t="shared" si="4"/>
        <v>95.57</v>
      </c>
      <c r="G35" s="486">
        <f t="shared" si="4"/>
        <v>63.71</v>
      </c>
      <c r="H35" s="486">
        <f t="shared" si="4"/>
        <v>148.41999999999999</v>
      </c>
      <c r="I35" s="487">
        <f t="shared" si="4"/>
        <v>148.79</v>
      </c>
    </row>
    <row r="36" spans="1:9" ht="15.75" customHeight="1" x14ac:dyDescent="0.2">
      <c r="A36" s="466" t="s">
        <v>496</v>
      </c>
      <c r="B36" s="480">
        <f t="shared" ref="B36:I36" si="6">SUM(B28:B35)</f>
        <v>0.36800000000000005</v>
      </c>
      <c r="C36" s="481">
        <f t="shared" si="6"/>
        <v>683.85</v>
      </c>
      <c r="D36" s="481">
        <f t="shared" si="6"/>
        <v>586.18000000000006</v>
      </c>
      <c r="E36" s="481">
        <f t="shared" si="6"/>
        <v>512.90000000000009</v>
      </c>
      <c r="F36" s="481">
        <f t="shared" si="6"/>
        <v>439.64</v>
      </c>
      <c r="G36" s="481">
        <f t="shared" si="6"/>
        <v>293.07</v>
      </c>
      <c r="H36" s="481">
        <f t="shared" si="6"/>
        <v>682.74</v>
      </c>
      <c r="I36" s="482">
        <f t="shared" si="6"/>
        <v>684.44999999999993</v>
      </c>
    </row>
    <row r="37" spans="1:9" ht="15.75" customHeight="1" x14ac:dyDescent="0.2">
      <c r="A37" s="475" t="s">
        <v>511</v>
      </c>
      <c r="B37" s="476" t="s">
        <v>512</v>
      </c>
      <c r="C37" s="476" t="s">
        <v>488</v>
      </c>
      <c r="D37" s="476" t="s">
        <v>488</v>
      </c>
      <c r="E37" s="476" t="s">
        <v>488</v>
      </c>
      <c r="F37" s="476" t="s">
        <v>488</v>
      </c>
      <c r="G37" s="476" t="s">
        <v>488</v>
      </c>
      <c r="H37" s="476" t="s">
        <v>488</v>
      </c>
      <c r="I37" s="477" t="s">
        <v>488</v>
      </c>
    </row>
    <row r="38" spans="1:9" ht="15.75" customHeight="1" x14ac:dyDescent="0.2">
      <c r="A38" s="478" t="s">
        <v>513</v>
      </c>
      <c r="B38" s="488">
        <f>MC!D85</f>
        <v>4.1475999999999997</v>
      </c>
      <c r="C38" s="457">
        <f t="shared" ref="C38:I38" si="7">ROUND(((2*22*$B$38)-0.06*C$13),2)</f>
        <v>110.82</v>
      </c>
      <c r="D38" s="457">
        <f t="shared" si="7"/>
        <v>110.82</v>
      </c>
      <c r="E38" s="457">
        <f t="shared" si="7"/>
        <v>128.74</v>
      </c>
      <c r="F38" s="457">
        <f t="shared" si="7"/>
        <v>128.74</v>
      </c>
      <c r="G38" s="457">
        <f t="shared" si="7"/>
        <v>146.66</v>
      </c>
      <c r="H38" s="457">
        <f t="shared" si="7"/>
        <v>82.31</v>
      </c>
      <c r="I38" s="459">
        <f t="shared" si="7"/>
        <v>82.06</v>
      </c>
    </row>
    <row r="39" spans="1:9" ht="15.75" customHeight="1" x14ac:dyDescent="0.2">
      <c r="A39" s="478" t="s">
        <v>514</v>
      </c>
      <c r="B39" s="489"/>
      <c r="C39" s="486">
        <f>MC!$E$19</f>
        <v>359.61</v>
      </c>
      <c r="D39" s="486">
        <f>MC!$E$19</f>
        <v>359.61</v>
      </c>
      <c r="E39" s="486">
        <f>MC!$E$20</f>
        <v>179.8</v>
      </c>
      <c r="F39" s="486">
        <f>MC!$E$20</f>
        <v>179.8</v>
      </c>
      <c r="G39" s="486">
        <f>MC!$E$20</f>
        <v>179.8</v>
      </c>
      <c r="H39" s="486">
        <f>MC!$E$19</f>
        <v>359.61</v>
      </c>
      <c r="I39" s="487">
        <f>MC!$E$19</f>
        <v>359.61</v>
      </c>
    </row>
    <row r="40" spans="1:9" ht="15.75" customHeight="1" x14ac:dyDescent="0.2">
      <c r="A40" s="478" t="s">
        <v>515</v>
      </c>
      <c r="B40" s="479"/>
      <c r="C40" s="490" t="s">
        <v>112</v>
      </c>
      <c r="D40" s="490" t="s">
        <v>112</v>
      </c>
      <c r="E40" s="490" t="s">
        <v>112</v>
      </c>
      <c r="F40" s="490" t="s">
        <v>112</v>
      </c>
      <c r="G40" s="490" t="s">
        <v>112</v>
      </c>
      <c r="H40" s="490" t="s">
        <v>112</v>
      </c>
      <c r="I40" s="491" t="s">
        <v>112</v>
      </c>
    </row>
    <row r="41" spans="1:9" ht="15.75" customHeight="1" x14ac:dyDescent="0.2">
      <c r="A41" s="478" t="s">
        <v>516</v>
      </c>
      <c r="B41" s="492"/>
      <c r="C41" s="490" t="s">
        <v>112</v>
      </c>
      <c r="D41" s="490" t="s">
        <v>112</v>
      </c>
      <c r="E41" s="490" t="s">
        <v>112</v>
      </c>
      <c r="F41" s="490" t="s">
        <v>112</v>
      </c>
      <c r="G41" s="490" t="s">
        <v>112</v>
      </c>
      <c r="H41" s="493" t="s">
        <v>112</v>
      </c>
      <c r="I41" s="491" t="s">
        <v>112</v>
      </c>
    </row>
    <row r="42" spans="1:9" ht="15.75" customHeight="1" x14ac:dyDescent="0.2">
      <c r="A42" s="478" t="s">
        <v>517</v>
      </c>
      <c r="B42" s="494">
        <f>MC!E27</f>
        <v>17.32</v>
      </c>
      <c r="C42" s="486">
        <f t="shared" ref="C42:I42" si="8">$B42</f>
        <v>17.32</v>
      </c>
      <c r="D42" s="486">
        <f t="shared" si="8"/>
        <v>17.32</v>
      </c>
      <c r="E42" s="486">
        <f t="shared" si="8"/>
        <v>17.32</v>
      </c>
      <c r="F42" s="486">
        <f t="shared" si="8"/>
        <v>17.32</v>
      </c>
      <c r="G42" s="486">
        <f t="shared" si="8"/>
        <v>17.32</v>
      </c>
      <c r="H42" s="486">
        <f t="shared" si="8"/>
        <v>17.32</v>
      </c>
      <c r="I42" s="487">
        <f t="shared" si="8"/>
        <v>17.32</v>
      </c>
    </row>
    <row r="43" spans="1:9" ht="15.75" customHeight="1" x14ac:dyDescent="0.2">
      <c r="A43" s="478" t="s">
        <v>518</v>
      </c>
      <c r="B43" s="479"/>
      <c r="C43" s="490" t="s">
        <v>112</v>
      </c>
      <c r="D43" s="490" t="s">
        <v>112</v>
      </c>
      <c r="E43" s="490" t="s">
        <v>112</v>
      </c>
      <c r="F43" s="490" t="s">
        <v>112</v>
      </c>
      <c r="G43" s="490" t="s">
        <v>112</v>
      </c>
      <c r="H43" s="493" t="s">
        <v>112</v>
      </c>
      <c r="I43" s="491" t="s">
        <v>112</v>
      </c>
    </row>
    <row r="44" spans="1:9" ht="15.75" customHeight="1" x14ac:dyDescent="0.2">
      <c r="A44" s="466" t="s">
        <v>496</v>
      </c>
      <c r="B44" s="467"/>
      <c r="C44" s="481">
        <f t="shared" ref="C44:I44" si="9">SUM(C38:C43)</f>
        <v>487.75</v>
      </c>
      <c r="D44" s="481">
        <f t="shared" si="9"/>
        <v>487.75</v>
      </c>
      <c r="E44" s="481">
        <f t="shared" si="9"/>
        <v>325.86</v>
      </c>
      <c r="F44" s="481">
        <f t="shared" si="9"/>
        <v>325.86</v>
      </c>
      <c r="G44" s="481">
        <f t="shared" si="9"/>
        <v>343.78000000000003</v>
      </c>
      <c r="H44" s="481">
        <f t="shared" si="9"/>
        <v>459.24</v>
      </c>
      <c r="I44" s="482">
        <f t="shared" si="9"/>
        <v>458.99</v>
      </c>
    </row>
    <row r="45" spans="1:9" x14ac:dyDescent="0.2">
      <c r="A45" s="452" t="s">
        <v>519</v>
      </c>
      <c r="B45" s="453" t="s">
        <v>487</v>
      </c>
      <c r="C45" s="453" t="s">
        <v>488</v>
      </c>
      <c r="D45" s="453" t="s">
        <v>488</v>
      </c>
      <c r="E45" s="453" t="s">
        <v>488</v>
      </c>
      <c r="F45" s="453" t="s">
        <v>488</v>
      </c>
      <c r="G45" s="453" t="s">
        <v>488</v>
      </c>
      <c r="H45" s="453" t="s">
        <v>488</v>
      </c>
      <c r="I45" s="454" t="s">
        <v>488</v>
      </c>
    </row>
    <row r="46" spans="1:9" ht="15.75" customHeight="1" x14ac:dyDescent="0.2">
      <c r="A46" s="478" t="s">
        <v>498</v>
      </c>
      <c r="B46" s="495">
        <f t="shared" ref="B46:I46" si="10">B25</f>
        <v>0.1111111111111111</v>
      </c>
      <c r="C46" s="496">
        <f t="shared" si="10"/>
        <v>185.82772727272726</v>
      </c>
      <c r="D46" s="496">
        <f t="shared" si="10"/>
        <v>159.28090909090909</v>
      </c>
      <c r="E46" s="496">
        <f t="shared" si="10"/>
        <v>139.37329545454546</v>
      </c>
      <c r="F46" s="496">
        <f t="shared" si="10"/>
        <v>119.46568181818181</v>
      </c>
      <c r="G46" s="496">
        <f t="shared" si="10"/>
        <v>79.640454545454546</v>
      </c>
      <c r="H46" s="496">
        <f t="shared" si="10"/>
        <v>185.53194444444443</v>
      </c>
      <c r="I46" s="497">
        <f t="shared" si="10"/>
        <v>185.98754818181817</v>
      </c>
    </row>
    <row r="47" spans="1:9" ht="15.75" customHeight="1" x14ac:dyDescent="0.2">
      <c r="A47" s="478" t="s">
        <v>520</v>
      </c>
      <c r="B47" s="495">
        <f t="shared" ref="B47:I47" si="11">B36</f>
        <v>0.36800000000000005</v>
      </c>
      <c r="C47" s="496">
        <f t="shared" si="11"/>
        <v>683.85</v>
      </c>
      <c r="D47" s="496">
        <f t="shared" si="11"/>
        <v>586.18000000000006</v>
      </c>
      <c r="E47" s="496">
        <f t="shared" si="11"/>
        <v>512.90000000000009</v>
      </c>
      <c r="F47" s="496">
        <f t="shared" si="11"/>
        <v>439.64</v>
      </c>
      <c r="G47" s="496">
        <f t="shared" si="11"/>
        <v>293.07</v>
      </c>
      <c r="H47" s="496">
        <f t="shared" si="11"/>
        <v>682.74</v>
      </c>
      <c r="I47" s="497">
        <f t="shared" si="11"/>
        <v>684.44999999999993</v>
      </c>
    </row>
    <row r="48" spans="1:9" ht="15.75" customHeight="1" x14ac:dyDescent="0.2">
      <c r="A48" s="478" t="s">
        <v>511</v>
      </c>
      <c r="B48" s="495"/>
      <c r="C48" s="496">
        <f t="shared" ref="C48:I48" si="12">C44</f>
        <v>487.75</v>
      </c>
      <c r="D48" s="496">
        <f t="shared" si="12"/>
        <v>487.75</v>
      </c>
      <c r="E48" s="496">
        <f t="shared" si="12"/>
        <v>325.86</v>
      </c>
      <c r="F48" s="496">
        <f t="shared" si="12"/>
        <v>325.86</v>
      </c>
      <c r="G48" s="496">
        <f t="shared" si="12"/>
        <v>343.78000000000003</v>
      </c>
      <c r="H48" s="496">
        <f t="shared" si="12"/>
        <v>459.24</v>
      </c>
      <c r="I48" s="497">
        <f t="shared" si="12"/>
        <v>458.99</v>
      </c>
    </row>
    <row r="49" spans="1:9" ht="15.75" customHeight="1" x14ac:dyDescent="0.2">
      <c r="A49" s="466" t="s">
        <v>496</v>
      </c>
      <c r="B49" s="467"/>
      <c r="C49" s="481">
        <f t="shared" ref="C49:I49" si="13">SUM(C46:C48)</f>
        <v>1357.4277272727272</v>
      </c>
      <c r="D49" s="468">
        <f t="shared" si="13"/>
        <v>1233.2109090909091</v>
      </c>
      <c r="E49" s="481">
        <f t="shared" si="13"/>
        <v>978.13329545454553</v>
      </c>
      <c r="F49" s="481">
        <f t="shared" si="13"/>
        <v>884.96568181818179</v>
      </c>
      <c r="G49" s="481">
        <f t="shared" si="13"/>
        <v>716.49045454545455</v>
      </c>
      <c r="H49" s="481">
        <f t="shared" si="13"/>
        <v>1327.5119444444445</v>
      </c>
      <c r="I49" s="482">
        <f t="shared" si="13"/>
        <v>1329.4275481818181</v>
      </c>
    </row>
    <row r="50" spans="1:9" ht="14.25" customHeight="1" x14ac:dyDescent="0.2">
      <c r="A50" s="837"/>
      <c r="B50" s="837"/>
      <c r="C50" s="837"/>
      <c r="D50" s="837"/>
      <c r="E50" s="837"/>
      <c r="F50" s="837"/>
      <c r="G50" s="837"/>
      <c r="H50" s="837"/>
      <c r="I50" s="837"/>
    </row>
    <row r="51" spans="1:9" s="498" customFormat="1" ht="12.75" customHeight="1" x14ac:dyDescent="0.2">
      <c r="A51" s="842" t="s">
        <v>521</v>
      </c>
      <c r="B51" s="842"/>
      <c r="C51" s="842"/>
      <c r="D51" s="842"/>
      <c r="E51" s="842"/>
      <c r="F51" s="842"/>
      <c r="G51" s="842"/>
      <c r="H51" s="842"/>
      <c r="I51" s="842"/>
    </row>
    <row r="52" spans="1:9" ht="15.75" customHeight="1" x14ac:dyDescent="0.2">
      <c r="A52" s="452" t="s">
        <v>522</v>
      </c>
      <c r="B52" s="453" t="s">
        <v>487</v>
      </c>
      <c r="C52" s="453" t="s">
        <v>488</v>
      </c>
      <c r="D52" s="453" t="s">
        <v>488</v>
      </c>
      <c r="E52" s="453" t="s">
        <v>488</v>
      </c>
      <c r="F52" s="453" t="s">
        <v>488</v>
      </c>
      <c r="G52" s="453" t="s">
        <v>488</v>
      </c>
      <c r="H52" s="453" t="s">
        <v>488</v>
      </c>
      <c r="I52" s="454" t="s">
        <v>488</v>
      </c>
    </row>
    <row r="53" spans="1:9" ht="15.75" customHeight="1" x14ac:dyDescent="0.2">
      <c r="A53" s="475" t="s">
        <v>523</v>
      </c>
      <c r="B53" s="499"/>
      <c r="C53" s="499"/>
      <c r="D53" s="499"/>
      <c r="E53" s="499"/>
      <c r="F53" s="499"/>
      <c r="G53" s="499"/>
      <c r="H53" s="500"/>
      <c r="I53" s="501"/>
    </row>
    <row r="54" spans="1:9" ht="15.75" customHeight="1" x14ac:dyDescent="0.2">
      <c r="A54" s="478" t="s">
        <v>524</v>
      </c>
      <c r="B54" s="495">
        <f>1/12*0.05</f>
        <v>4.1666666666666666E-3</v>
      </c>
      <c r="C54" s="502">
        <f t="shared" ref="C54:I54" si="14">C19*$B54</f>
        <v>6.9686590909090897</v>
      </c>
      <c r="D54" s="502">
        <f t="shared" si="14"/>
        <v>5.973136363636363</v>
      </c>
      <c r="E54" s="502">
        <f t="shared" si="14"/>
        <v>5.2264943181818184</v>
      </c>
      <c r="F54" s="502">
        <f t="shared" si="14"/>
        <v>4.479852272727272</v>
      </c>
      <c r="G54" s="502">
        <f t="shared" si="14"/>
        <v>2.9865681818181815</v>
      </c>
      <c r="H54" s="502">
        <f t="shared" si="14"/>
        <v>6.9572916666666664</v>
      </c>
      <c r="I54" s="503">
        <f t="shared" si="14"/>
        <v>6.9746322272727266</v>
      </c>
    </row>
    <row r="55" spans="1:9" x14ac:dyDescent="0.2">
      <c r="A55" s="478" t="s">
        <v>525</v>
      </c>
      <c r="B55" s="495">
        <f>B35*B54</f>
        <v>3.3333333333333332E-4</v>
      </c>
      <c r="C55" s="502">
        <f t="shared" ref="C55:I55" si="15">$B$55*C19</f>
        <v>0.55749272727272714</v>
      </c>
      <c r="D55" s="502">
        <f t="shared" si="15"/>
        <v>0.47785090909090905</v>
      </c>
      <c r="E55" s="502">
        <f t="shared" si="15"/>
        <v>0.41811954545454544</v>
      </c>
      <c r="F55" s="502">
        <f t="shared" si="15"/>
        <v>0.35838818181818177</v>
      </c>
      <c r="G55" s="502">
        <f t="shared" si="15"/>
        <v>0.23892545454545452</v>
      </c>
      <c r="H55" s="502">
        <f t="shared" si="15"/>
        <v>0.55658333333333332</v>
      </c>
      <c r="I55" s="503">
        <f t="shared" si="15"/>
        <v>0.55797057818181817</v>
      </c>
    </row>
    <row r="56" spans="1:9" x14ac:dyDescent="0.2">
      <c r="A56" s="478" t="s">
        <v>526</v>
      </c>
      <c r="B56" s="495">
        <v>0</v>
      </c>
      <c r="C56" s="502">
        <f t="shared" ref="C56:I56" si="16">C35*$B56</f>
        <v>0</v>
      </c>
      <c r="D56" s="502">
        <f t="shared" si="16"/>
        <v>0</v>
      </c>
      <c r="E56" s="502">
        <f t="shared" si="16"/>
        <v>0</v>
      </c>
      <c r="F56" s="502">
        <f t="shared" si="16"/>
        <v>0</v>
      </c>
      <c r="G56" s="502">
        <f t="shared" si="16"/>
        <v>0</v>
      </c>
      <c r="H56" s="502">
        <f t="shared" si="16"/>
        <v>0</v>
      </c>
      <c r="I56" s="503">
        <f t="shared" si="16"/>
        <v>0</v>
      </c>
    </row>
    <row r="57" spans="1:9" x14ac:dyDescent="0.2">
      <c r="A57" s="478" t="s">
        <v>527</v>
      </c>
      <c r="B57" s="495">
        <f>1/12*1/30*7</f>
        <v>1.9444444444444441E-2</v>
      </c>
      <c r="C57" s="496">
        <f t="shared" ref="C57:I57" si="17">C19*$B57</f>
        <v>32.520409090909084</v>
      </c>
      <c r="D57" s="496">
        <f t="shared" si="17"/>
        <v>27.874636363636359</v>
      </c>
      <c r="E57" s="496">
        <f t="shared" si="17"/>
        <v>24.390306818181813</v>
      </c>
      <c r="F57" s="496">
        <f t="shared" si="17"/>
        <v>20.905977272727267</v>
      </c>
      <c r="G57" s="496">
        <f t="shared" si="17"/>
        <v>13.937318181818179</v>
      </c>
      <c r="H57" s="496">
        <f t="shared" si="17"/>
        <v>32.467361111111103</v>
      </c>
      <c r="I57" s="497">
        <f t="shared" si="17"/>
        <v>32.548283727272718</v>
      </c>
    </row>
    <row r="58" spans="1:9" x14ac:dyDescent="0.2">
      <c r="A58" s="478" t="s">
        <v>528</v>
      </c>
      <c r="B58" s="495">
        <f>B36*B57</f>
        <v>7.1555555555555556E-3</v>
      </c>
      <c r="C58" s="496">
        <f t="shared" ref="C58:I58" si="18">$B58*C19</f>
        <v>11.967510545454545</v>
      </c>
      <c r="D58" s="496">
        <f t="shared" si="18"/>
        <v>10.257866181818182</v>
      </c>
      <c r="E58" s="496">
        <f t="shared" si="18"/>
        <v>8.9756329090909102</v>
      </c>
      <c r="F58" s="496">
        <f t="shared" si="18"/>
        <v>7.693399636363635</v>
      </c>
      <c r="G58" s="496">
        <f t="shared" si="18"/>
        <v>5.1289330909090909</v>
      </c>
      <c r="H58" s="496">
        <f t="shared" si="18"/>
        <v>11.947988888888888</v>
      </c>
      <c r="I58" s="497">
        <f t="shared" si="18"/>
        <v>11.977768411636363</v>
      </c>
    </row>
    <row r="59" spans="1:9" x14ac:dyDescent="0.2">
      <c r="A59" s="478" t="s">
        <v>529</v>
      </c>
      <c r="B59" s="495">
        <f>B35*40/100*90/100*(1+1/12+1/12+1/3*1/12)</f>
        <v>3.4399999999999993E-2</v>
      </c>
      <c r="C59" s="496">
        <f t="shared" ref="C59:I59" si="19">C19*$B59</f>
        <v>57.533249454545434</v>
      </c>
      <c r="D59" s="496">
        <f t="shared" si="19"/>
        <v>49.314213818181805</v>
      </c>
      <c r="E59" s="496">
        <f t="shared" si="19"/>
        <v>43.149937090909084</v>
      </c>
      <c r="F59" s="496">
        <f t="shared" si="19"/>
        <v>36.985660363636349</v>
      </c>
      <c r="G59" s="496">
        <f t="shared" si="19"/>
        <v>24.657106909090903</v>
      </c>
      <c r="H59" s="496">
        <f t="shared" si="19"/>
        <v>57.439399999999985</v>
      </c>
      <c r="I59" s="497">
        <f t="shared" si="19"/>
        <v>57.582563668363619</v>
      </c>
    </row>
    <row r="60" spans="1:9" ht="14.25" customHeight="1" x14ac:dyDescent="0.2">
      <c r="A60" s="466" t="s">
        <v>496</v>
      </c>
      <c r="B60" s="480">
        <f t="shared" ref="B60:I60" si="20">SUM(B54:B59)</f>
        <v>6.5499999999999989E-2</v>
      </c>
      <c r="C60" s="468">
        <f t="shared" si="20"/>
        <v>109.54732090909087</v>
      </c>
      <c r="D60" s="468">
        <f t="shared" si="20"/>
        <v>93.897703636363616</v>
      </c>
      <c r="E60" s="468">
        <f t="shared" si="20"/>
        <v>82.160490681818175</v>
      </c>
      <c r="F60" s="468">
        <f t="shared" si="20"/>
        <v>70.423277727272705</v>
      </c>
      <c r="G60" s="468">
        <f t="shared" si="20"/>
        <v>46.948851818181808</v>
      </c>
      <c r="H60" s="469">
        <f t="shared" si="20"/>
        <v>109.36862499999998</v>
      </c>
      <c r="I60" s="470">
        <f t="shared" si="20"/>
        <v>109.64121861272724</v>
      </c>
    </row>
    <row r="61" spans="1:9" ht="14.25" customHeight="1" x14ac:dyDescent="0.2">
      <c r="A61" s="843"/>
      <c r="B61" s="843"/>
      <c r="C61" s="843"/>
      <c r="D61" s="843"/>
      <c r="E61" s="843"/>
      <c r="F61" s="843"/>
      <c r="G61" s="843"/>
      <c r="H61" s="843"/>
      <c r="I61" s="843"/>
    </row>
    <row r="62" spans="1:9" ht="15.75" customHeight="1" x14ac:dyDescent="0.2">
      <c r="A62" s="842" t="s">
        <v>530</v>
      </c>
      <c r="B62" s="842"/>
      <c r="C62" s="842"/>
      <c r="D62" s="842"/>
      <c r="E62" s="842"/>
      <c r="F62" s="842"/>
      <c r="G62" s="842"/>
      <c r="H62" s="842"/>
      <c r="I62" s="842"/>
    </row>
    <row r="63" spans="1:9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6" t="s">
        <v>488</v>
      </c>
      <c r="F63" s="476" t="s">
        <v>488</v>
      </c>
      <c r="G63" s="476" t="s">
        <v>488</v>
      </c>
      <c r="H63" s="476" t="s">
        <v>488</v>
      </c>
      <c r="I63" s="476" t="s">
        <v>488</v>
      </c>
    </row>
    <row r="64" spans="1:9" ht="14.25" customHeight="1" x14ac:dyDescent="0.2">
      <c r="A64" s="478" t="s">
        <v>44</v>
      </c>
      <c r="B64" s="479">
        <f>1/12</f>
        <v>8.3333333333333329E-2</v>
      </c>
      <c r="C64" s="486">
        <f t="shared" ref="C64:I67" si="21">$B64*(C$19+C$49+C$60)</f>
        <v>261.62110249999995</v>
      </c>
      <c r="D64" s="486">
        <f t="shared" si="21"/>
        <v>230.05511166666668</v>
      </c>
      <c r="E64" s="486">
        <f t="shared" si="21"/>
        <v>192.887701875</v>
      </c>
      <c r="F64" s="486">
        <f t="shared" si="21"/>
        <v>169.21279208333331</v>
      </c>
      <c r="G64" s="486">
        <f t="shared" si="21"/>
        <v>123.35130583333331</v>
      </c>
      <c r="H64" s="486">
        <f t="shared" si="21"/>
        <v>258.88588078703702</v>
      </c>
      <c r="I64" s="487">
        <f t="shared" si="21"/>
        <v>259.41504177833332</v>
      </c>
    </row>
    <row r="65" spans="1:9" x14ac:dyDescent="0.2">
      <c r="A65" s="478" t="s">
        <v>531</v>
      </c>
      <c r="B65" s="479">
        <f>MC!E54/30/12</f>
        <v>1.3538888888888885E-2</v>
      </c>
      <c r="C65" s="486">
        <f t="shared" si="21"/>
        <v>42.504708452833313</v>
      </c>
      <c r="D65" s="486">
        <f t="shared" si="21"/>
        <v>37.376287142111103</v>
      </c>
      <c r="E65" s="486">
        <f t="shared" si="21"/>
        <v>31.337821964624997</v>
      </c>
      <c r="F65" s="486">
        <f t="shared" si="21"/>
        <v>27.49143828713888</v>
      </c>
      <c r="G65" s="486">
        <f t="shared" si="21"/>
        <v>20.040475487722215</v>
      </c>
      <c r="H65" s="486">
        <f t="shared" si="21"/>
        <v>42.060326098533942</v>
      </c>
      <c r="I65" s="487">
        <f t="shared" si="21"/>
        <v>42.146297120919876</v>
      </c>
    </row>
    <row r="66" spans="1:9" x14ac:dyDescent="0.2">
      <c r="A66" s="478" t="s">
        <v>532</v>
      </c>
      <c r="B66" s="504">
        <f>(5/30)/12*MC!F56*MC!C57</f>
        <v>1.0764583333333333E-4</v>
      </c>
      <c r="C66" s="486">
        <f t="shared" si="21"/>
        <v>0.33794905915437495</v>
      </c>
      <c r="D66" s="486">
        <f t="shared" si="21"/>
        <v>0.2971736904954167</v>
      </c>
      <c r="E66" s="486">
        <f t="shared" si="21"/>
        <v>0.24916268889703128</v>
      </c>
      <c r="F66" s="486">
        <f t="shared" si="21"/>
        <v>0.21858062417364582</v>
      </c>
      <c r="G66" s="486">
        <f t="shared" si="21"/>
        <v>0.15933904931020831</v>
      </c>
      <c r="H66" s="486">
        <f t="shared" si="21"/>
        <v>0.33441583650665507</v>
      </c>
      <c r="I66" s="487">
        <f t="shared" si="21"/>
        <v>0.33509938021716207</v>
      </c>
    </row>
    <row r="67" spans="1:9" ht="14.25" customHeight="1" x14ac:dyDescent="0.2">
      <c r="A67" s="478" t="s">
        <v>533</v>
      </c>
      <c r="B67" s="504">
        <f>MC!C59/30/12</f>
        <v>2.6830555555555553E-3</v>
      </c>
      <c r="C67" s="486">
        <f t="shared" si="21"/>
        <v>8.4233274301583307</v>
      </c>
      <c r="D67" s="486">
        <f t="shared" si="21"/>
        <v>7.4070077452944441</v>
      </c>
      <c r="E67" s="486">
        <f t="shared" si="21"/>
        <v>6.2103410413687499</v>
      </c>
      <c r="F67" s="486">
        <f t="shared" si="21"/>
        <v>5.4480878624430549</v>
      </c>
      <c r="G67" s="486">
        <f t="shared" si="21"/>
        <v>3.971500876813888</v>
      </c>
      <c r="H67" s="486">
        <f t="shared" si="21"/>
        <v>8.3352624084066349</v>
      </c>
      <c r="I67" s="487">
        <f t="shared" si="21"/>
        <v>8.3522996284564055</v>
      </c>
    </row>
    <row r="68" spans="1:9" ht="14.25" customHeight="1" x14ac:dyDescent="0.2">
      <c r="A68" s="478" t="s">
        <v>495</v>
      </c>
      <c r="B68" s="479"/>
      <c r="C68" s="490" t="s">
        <v>112</v>
      </c>
      <c r="D68" s="490" t="s">
        <v>112</v>
      </c>
      <c r="E68" s="490" t="s">
        <v>112</v>
      </c>
      <c r="F68" s="490" t="s">
        <v>112</v>
      </c>
      <c r="G68" s="490" t="s">
        <v>112</v>
      </c>
      <c r="H68" s="493" t="s">
        <v>112</v>
      </c>
      <c r="I68" s="491" t="s">
        <v>112</v>
      </c>
    </row>
    <row r="69" spans="1:9" ht="14.25" customHeight="1" x14ac:dyDescent="0.2">
      <c r="A69" s="505" t="s">
        <v>534</v>
      </c>
      <c r="B69" s="506">
        <f t="shared" ref="B69:I69" si="22">SUM(B64:B68)</f>
        <v>9.9662923611111107E-2</v>
      </c>
      <c r="C69" s="507">
        <f t="shared" si="22"/>
        <v>312.88708744214597</v>
      </c>
      <c r="D69" s="507">
        <f t="shared" si="22"/>
        <v>275.13558024456762</v>
      </c>
      <c r="E69" s="507">
        <f t="shared" si="22"/>
        <v>230.68502756989079</v>
      </c>
      <c r="F69" s="507">
        <f t="shared" si="22"/>
        <v>202.37089885708892</v>
      </c>
      <c r="G69" s="507">
        <f t="shared" si="22"/>
        <v>147.52262124717961</v>
      </c>
      <c r="H69" s="507">
        <f t="shared" si="22"/>
        <v>309.61588513048423</v>
      </c>
      <c r="I69" s="508">
        <f t="shared" si="22"/>
        <v>310.2487379079268</v>
      </c>
    </row>
    <row r="70" spans="1:9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6" t="s">
        <v>488</v>
      </c>
      <c r="F70" s="476" t="s">
        <v>488</v>
      </c>
      <c r="G70" s="476" t="s">
        <v>488</v>
      </c>
      <c r="H70" s="476" t="s">
        <v>488</v>
      </c>
      <c r="I70" s="477" t="s">
        <v>488</v>
      </c>
    </row>
    <row r="71" spans="1:9" ht="14.25" customHeight="1" x14ac:dyDescent="0.2">
      <c r="A71" s="478" t="s">
        <v>536</v>
      </c>
      <c r="B71" s="479"/>
      <c r="C71" s="490" t="s">
        <v>112</v>
      </c>
      <c r="D71" s="490" t="s">
        <v>112</v>
      </c>
      <c r="E71" s="490" t="s">
        <v>112</v>
      </c>
      <c r="F71" s="490" t="s">
        <v>112</v>
      </c>
      <c r="G71" s="490" t="s">
        <v>112</v>
      </c>
      <c r="H71" s="493" t="s">
        <v>112</v>
      </c>
      <c r="I71" s="491" t="s">
        <v>112</v>
      </c>
    </row>
    <row r="72" spans="1:9" ht="14.25" customHeight="1" x14ac:dyDescent="0.2">
      <c r="A72" s="505" t="s">
        <v>534</v>
      </c>
      <c r="B72" s="506"/>
      <c r="C72" s="509" t="str">
        <f t="shared" ref="C72:I72" si="23">C71</f>
        <v>-</v>
      </c>
      <c r="D72" s="509" t="str">
        <f t="shared" si="23"/>
        <v>-</v>
      </c>
      <c r="E72" s="509" t="str">
        <f t="shared" si="23"/>
        <v>-</v>
      </c>
      <c r="F72" s="509" t="str">
        <f t="shared" si="23"/>
        <v>-</v>
      </c>
      <c r="G72" s="509" t="str">
        <f t="shared" si="23"/>
        <v>-</v>
      </c>
      <c r="H72" s="509" t="str">
        <f t="shared" si="23"/>
        <v>-</v>
      </c>
      <c r="I72" s="510" t="str">
        <f t="shared" si="23"/>
        <v>-</v>
      </c>
    </row>
    <row r="73" spans="1:9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6" t="s">
        <v>488</v>
      </c>
      <c r="F73" s="476" t="s">
        <v>488</v>
      </c>
      <c r="G73" s="476" t="s">
        <v>488</v>
      </c>
      <c r="H73" s="476" t="s">
        <v>488</v>
      </c>
      <c r="I73" s="477" t="s">
        <v>488</v>
      </c>
    </row>
    <row r="74" spans="1:9" ht="14.25" customHeight="1" x14ac:dyDescent="0.2">
      <c r="A74" s="478" t="s">
        <v>66</v>
      </c>
      <c r="B74" s="479">
        <f>120/30*MC!C62*MC!C63</f>
        <v>6.18624E-3</v>
      </c>
      <c r="C74" s="486">
        <f t="shared" ref="C74:I74" si="24">(((C19*2)+ (C19*1/3))+(C36)+(C44-C38-C39))*$B$74</f>
        <v>28.47909256494545</v>
      </c>
      <c r="D74" s="486">
        <f t="shared" si="24"/>
        <v>24.426098694981821</v>
      </c>
      <c r="E74" s="486">
        <f t="shared" si="24"/>
        <v>21.386183170909092</v>
      </c>
      <c r="F74" s="486">
        <f t="shared" si="24"/>
        <v>18.346391371636361</v>
      </c>
      <c r="G74" s="486">
        <f t="shared" si="24"/>
        <v>12.266498461090908</v>
      </c>
      <c r="H74" s="486">
        <f t="shared" si="24"/>
        <v>28.432845734400001</v>
      </c>
      <c r="I74" s="487">
        <f t="shared" si="24"/>
        <v>28.50349701180043</v>
      </c>
    </row>
    <row r="75" spans="1:9" ht="15.75" customHeight="1" x14ac:dyDescent="0.2">
      <c r="A75" s="505" t="s">
        <v>496</v>
      </c>
      <c r="B75" s="506"/>
      <c r="C75" s="509">
        <f t="shared" ref="C75:I75" si="25">C74</f>
        <v>28.47909256494545</v>
      </c>
      <c r="D75" s="509">
        <f t="shared" si="25"/>
        <v>24.426098694981821</v>
      </c>
      <c r="E75" s="509">
        <f t="shared" si="25"/>
        <v>21.386183170909092</v>
      </c>
      <c r="F75" s="509">
        <f t="shared" si="25"/>
        <v>18.346391371636361</v>
      </c>
      <c r="G75" s="509">
        <f t="shared" si="25"/>
        <v>12.266498461090908</v>
      </c>
      <c r="H75" s="509">
        <f t="shared" si="25"/>
        <v>28.432845734400001</v>
      </c>
      <c r="I75" s="510">
        <f t="shared" si="25"/>
        <v>28.50349701180043</v>
      </c>
    </row>
    <row r="76" spans="1:9" x14ac:dyDescent="0.2">
      <c r="A76" s="452" t="s">
        <v>537</v>
      </c>
      <c r="B76" s="453" t="s">
        <v>487</v>
      </c>
      <c r="C76" s="453" t="s">
        <v>488</v>
      </c>
      <c r="D76" s="453" t="s">
        <v>488</v>
      </c>
      <c r="E76" s="453" t="s">
        <v>488</v>
      </c>
      <c r="F76" s="453" t="s">
        <v>488</v>
      </c>
      <c r="G76" s="453" t="s">
        <v>488</v>
      </c>
      <c r="H76" s="453" t="s">
        <v>488</v>
      </c>
      <c r="I76" s="454" t="s">
        <v>488</v>
      </c>
    </row>
    <row r="77" spans="1:9" x14ac:dyDescent="0.2">
      <c r="A77" s="478" t="s">
        <v>43</v>
      </c>
      <c r="B77" s="495">
        <f t="shared" ref="B77:I77" si="26">B69</f>
        <v>9.9662923611111107E-2</v>
      </c>
      <c r="C77" s="496">
        <f t="shared" si="26"/>
        <v>312.88708744214597</v>
      </c>
      <c r="D77" s="496">
        <f t="shared" si="26"/>
        <v>275.13558024456762</v>
      </c>
      <c r="E77" s="496">
        <f t="shared" si="26"/>
        <v>230.68502756989079</v>
      </c>
      <c r="F77" s="496">
        <f t="shared" si="26"/>
        <v>202.37089885708892</v>
      </c>
      <c r="G77" s="496">
        <f t="shared" si="26"/>
        <v>147.52262124717961</v>
      </c>
      <c r="H77" s="496">
        <f t="shared" si="26"/>
        <v>309.61588513048423</v>
      </c>
      <c r="I77" s="497">
        <f t="shared" si="26"/>
        <v>310.2487379079268</v>
      </c>
    </row>
    <row r="78" spans="1:9" ht="15.75" customHeight="1" x14ac:dyDescent="0.2">
      <c r="A78" s="478" t="s">
        <v>535</v>
      </c>
      <c r="B78" s="495">
        <f t="shared" ref="B78:I78" si="27">B72</f>
        <v>0</v>
      </c>
      <c r="C78" s="496" t="str">
        <f t="shared" si="27"/>
        <v>-</v>
      </c>
      <c r="D78" s="496" t="str">
        <f t="shared" si="27"/>
        <v>-</v>
      </c>
      <c r="E78" s="496" t="str">
        <f t="shared" si="27"/>
        <v>-</v>
      </c>
      <c r="F78" s="496" t="str">
        <f t="shared" si="27"/>
        <v>-</v>
      </c>
      <c r="G78" s="496" t="str">
        <f t="shared" si="27"/>
        <v>-</v>
      </c>
      <c r="H78" s="496" t="str">
        <f t="shared" si="27"/>
        <v>-</v>
      </c>
      <c r="I78" s="497" t="str">
        <f t="shared" si="27"/>
        <v>-</v>
      </c>
    </row>
    <row r="79" spans="1:9" ht="15.75" customHeight="1" x14ac:dyDescent="0.2">
      <c r="A79" s="478" t="s">
        <v>65</v>
      </c>
      <c r="B79" s="495">
        <f t="shared" ref="B79:I79" si="28">B74</f>
        <v>6.18624E-3</v>
      </c>
      <c r="C79" s="496">
        <f t="shared" si="28"/>
        <v>28.47909256494545</v>
      </c>
      <c r="D79" s="496">
        <f t="shared" si="28"/>
        <v>24.426098694981821</v>
      </c>
      <c r="E79" s="496">
        <f t="shared" si="28"/>
        <v>21.386183170909092</v>
      </c>
      <c r="F79" s="496">
        <f t="shared" si="28"/>
        <v>18.346391371636361</v>
      </c>
      <c r="G79" s="496">
        <f t="shared" si="28"/>
        <v>12.266498461090908</v>
      </c>
      <c r="H79" s="496">
        <f t="shared" si="28"/>
        <v>28.432845734400001</v>
      </c>
      <c r="I79" s="497">
        <f t="shared" si="28"/>
        <v>28.50349701180043</v>
      </c>
    </row>
    <row r="80" spans="1:9" ht="15.75" customHeight="1" x14ac:dyDescent="0.2">
      <c r="A80" s="466" t="s">
        <v>496</v>
      </c>
      <c r="B80" s="467"/>
      <c r="C80" s="481">
        <f t="shared" ref="C80:I80" si="29">SUM(C77:C79)</f>
        <v>341.36618000709143</v>
      </c>
      <c r="D80" s="481">
        <f t="shared" si="29"/>
        <v>299.56167893954944</v>
      </c>
      <c r="E80" s="481">
        <f t="shared" si="29"/>
        <v>252.07121074079987</v>
      </c>
      <c r="F80" s="481">
        <f t="shared" si="29"/>
        <v>220.71729022872529</v>
      </c>
      <c r="G80" s="481">
        <f t="shared" si="29"/>
        <v>159.78911970827053</v>
      </c>
      <c r="H80" s="481">
        <f t="shared" si="29"/>
        <v>338.04873086488425</v>
      </c>
      <c r="I80" s="482">
        <f t="shared" si="29"/>
        <v>338.75223491972724</v>
      </c>
    </row>
    <row r="81" spans="1:9" ht="15.75" customHeight="1" x14ac:dyDescent="0.2">
      <c r="A81" s="471"/>
      <c r="B81" s="472"/>
      <c r="C81" s="472"/>
      <c r="D81" s="472"/>
      <c r="E81" s="472"/>
      <c r="F81" s="472"/>
      <c r="G81" s="472"/>
      <c r="H81" s="473"/>
      <c r="I81" s="474"/>
    </row>
    <row r="82" spans="1:9" ht="15.75" customHeight="1" x14ac:dyDescent="0.2">
      <c r="A82" s="511" t="s">
        <v>538</v>
      </c>
      <c r="B82" s="512"/>
      <c r="C82" s="512"/>
      <c r="D82" s="512"/>
      <c r="E82" s="512"/>
      <c r="F82" s="512"/>
      <c r="G82" s="512"/>
      <c r="H82" s="512"/>
      <c r="I82" s="513"/>
    </row>
    <row r="83" spans="1:9" ht="15.75" customHeight="1" x14ac:dyDescent="0.2">
      <c r="A83" s="452" t="s">
        <v>539</v>
      </c>
      <c r="B83" s="453" t="s">
        <v>540</v>
      </c>
      <c r="C83" s="453" t="s">
        <v>488</v>
      </c>
      <c r="D83" s="453" t="s">
        <v>488</v>
      </c>
      <c r="E83" s="453" t="s">
        <v>488</v>
      </c>
      <c r="F83" s="453" t="s">
        <v>488</v>
      </c>
      <c r="G83" s="453" t="s">
        <v>488</v>
      </c>
      <c r="H83" s="453" t="s">
        <v>488</v>
      </c>
      <c r="I83" s="454" t="s">
        <v>488</v>
      </c>
    </row>
    <row r="84" spans="1:9" ht="15.75" customHeight="1" x14ac:dyDescent="0.2">
      <c r="A84" s="478" t="s">
        <v>541</v>
      </c>
      <c r="B84" s="514"/>
      <c r="C84" s="457">
        <f>Insumos!$I126</f>
        <v>37.949999999999996</v>
      </c>
      <c r="D84" s="457">
        <f>Insumos!$I126</f>
        <v>37.949999999999996</v>
      </c>
      <c r="E84" s="457">
        <f>Insumos!$I126</f>
        <v>37.949999999999996</v>
      </c>
      <c r="F84" s="457">
        <f>Insumos!$I126</f>
        <v>37.949999999999996</v>
      </c>
      <c r="G84" s="457">
        <f>Insumos!$I118</f>
        <v>27.875416666666666</v>
      </c>
      <c r="H84" s="457">
        <f>Insumos!$I118</f>
        <v>27.875416666666666</v>
      </c>
      <c r="I84" s="459">
        <f>Insumos!I119</f>
        <v>34.030416666666667</v>
      </c>
    </row>
    <row r="85" spans="1:9" x14ac:dyDescent="0.2">
      <c r="A85" s="515" t="s">
        <v>542</v>
      </c>
      <c r="B85" s="514"/>
      <c r="C85" s="457">
        <f>Insumos!$G60</f>
        <v>461.23111666666665</v>
      </c>
      <c r="D85" s="457">
        <f>Insumos!$G60</f>
        <v>461.23111666666665</v>
      </c>
      <c r="E85" s="457">
        <f>Insumos!$G60</f>
        <v>461.23111666666665</v>
      </c>
      <c r="F85" s="457">
        <f>Insumos!$G60</f>
        <v>461.23111666666665</v>
      </c>
      <c r="G85" s="457">
        <f>Insumos!$G60</f>
        <v>461.23111666666665</v>
      </c>
      <c r="H85" s="461" t="s">
        <v>112</v>
      </c>
      <c r="I85" s="462" t="s">
        <v>112</v>
      </c>
    </row>
    <row r="86" spans="1:9" x14ac:dyDescent="0.2">
      <c r="A86" s="515" t="s">
        <v>543</v>
      </c>
      <c r="B86" s="516"/>
      <c r="C86" s="457">
        <f>Insumos!$I100</f>
        <v>23.87891898148148</v>
      </c>
      <c r="D86" s="457">
        <f>Insumos!$I100</f>
        <v>23.87891898148148</v>
      </c>
      <c r="E86" s="457">
        <f>Insumos!$I100</f>
        <v>23.87891898148148</v>
      </c>
      <c r="F86" s="457">
        <f>Insumos!$I100</f>
        <v>23.87891898148148</v>
      </c>
      <c r="G86" s="457">
        <f>Insumos!$I100</f>
        <v>23.87891898148148</v>
      </c>
      <c r="H86" s="461" t="s">
        <v>112</v>
      </c>
      <c r="I86" s="462" t="s">
        <v>112</v>
      </c>
    </row>
    <row r="87" spans="1:9" ht="15.75" customHeight="1" x14ac:dyDescent="0.2">
      <c r="A87" s="515" t="s">
        <v>544</v>
      </c>
      <c r="B87" s="514"/>
      <c r="C87" s="457">
        <f>Insumos!$I130</f>
        <v>36.666666666666671</v>
      </c>
      <c r="D87" s="457">
        <f>Insumos!$I130</f>
        <v>36.666666666666671</v>
      </c>
      <c r="E87" s="457">
        <f>Insumos!$H130</f>
        <v>25.446666666666665</v>
      </c>
      <c r="F87" s="457">
        <f>Insumos!$H130</f>
        <v>25.446666666666665</v>
      </c>
      <c r="G87" s="457">
        <f>Insumos!$H130</f>
        <v>25.446666666666665</v>
      </c>
      <c r="H87" s="461" t="s">
        <v>112</v>
      </c>
      <c r="I87" s="462" t="s">
        <v>112</v>
      </c>
    </row>
    <row r="88" spans="1:9" ht="15.75" customHeight="1" x14ac:dyDescent="0.2">
      <c r="A88" s="515" t="s">
        <v>545</v>
      </c>
      <c r="B88" s="479">
        <v>0.12</v>
      </c>
      <c r="C88" s="461" t="s">
        <v>112</v>
      </c>
      <c r="D88" s="461" t="s">
        <v>112</v>
      </c>
      <c r="E88" s="461" t="s">
        <v>112</v>
      </c>
      <c r="F88" s="461" t="s">
        <v>112</v>
      </c>
      <c r="G88" s="461" t="s">
        <v>112</v>
      </c>
      <c r="H88" s="458">
        <f>B88*(H123+H124+H84)</f>
        <v>363.01648333333333</v>
      </c>
      <c r="I88" s="462" t="s">
        <v>112</v>
      </c>
    </row>
    <row r="89" spans="1:9" ht="15.75" customHeight="1" x14ac:dyDescent="0.2">
      <c r="A89" s="517" t="s">
        <v>546</v>
      </c>
      <c r="B89" s="518"/>
      <c r="C89" s="519"/>
      <c r="D89" s="519"/>
      <c r="E89" s="519"/>
      <c r="F89" s="519"/>
      <c r="G89" s="519"/>
      <c r="H89" s="520"/>
      <c r="I89" s="521">
        <f>Insumos!H146</f>
        <v>50.323333333333331</v>
      </c>
    </row>
    <row r="90" spans="1:9" ht="15.75" customHeight="1" x14ac:dyDescent="0.2">
      <c r="A90" s="515" t="s">
        <v>547</v>
      </c>
      <c r="B90" s="479"/>
      <c r="C90" s="461"/>
      <c r="D90" s="461"/>
      <c r="E90" s="461"/>
      <c r="F90" s="461"/>
      <c r="G90" s="461"/>
      <c r="H90" s="458"/>
      <c r="I90" s="462"/>
    </row>
    <row r="91" spans="1:9" ht="15.75" customHeight="1" x14ac:dyDescent="0.2">
      <c r="A91" s="505" t="s">
        <v>496</v>
      </c>
      <c r="B91" s="522"/>
      <c r="C91" s="507">
        <f t="shared" ref="C91:I91" si="30">SUM(C84:C90)</f>
        <v>559.7267023148147</v>
      </c>
      <c r="D91" s="507">
        <f t="shared" si="30"/>
        <v>559.7267023148147</v>
      </c>
      <c r="E91" s="507">
        <f t="shared" si="30"/>
        <v>548.50670231481479</v>
      </c>
      <c r="F91" s="507">
        <f t="shared" si="30"/>
        <v>548.50670231481479</v>
      </c>
      <c r="G91" s="507">
        <f t="shared" si="30"/>
        <v>538.43211898148149</v>
      </c>
      <c r="H91" s="507">
        <f t="shared" si="30"/>
        <v>390.89189999999996</v>
      </c>
      <c r="I91" s="508">
        <f t="shared" si="30"/>
        <v>84.353749999999991</v>
      </c>
    </row>
    <row r="92" spans="1:9" ht="15.75" customHeight="1" x14ac:dyDescent="0.2">
      <c r="A92" s="837"/>
      <c r="B92" s="837"/>
      <c r="C92" s="523"/>
      <c r="D92" s="523"/>
      <c r="E92" s="523"/>
      <c r="F92" s="523"/>
      <c r="G92" s="523"/>
      <c r="H92" s="524"/>
      <c r="I92" s="525"/>
    </row>
    <row r="93" spans="1:9" ht="15.75" customHeight="1" x14ac:dyDescent="0.2">
      <c r="A93" s="511" t="s">
        <v>548</v>
      </c>
      <c r="B93" s="512"/>
      <c r="C93" s="512"/>
      <c r="D93" s="512"/>
      <c r="E93" s="512"/>
      <c r="F93" s="512"/>
      <c r="G93" s="512"/>
      <c r="H93" s="512"/>
      <c r="I93" s="513"/>
    </row>
    <row r="94" spans="1:9" ht="15.75" customHeight="1" x14ac:dyDescent="0.2">
      <c r="A94" s="452" t="s">
        <v>549</v>
      </c>
      <c r="B94" s="453" t="s">
        <v>487</v>
      </c>
      <c r="C94" s="453" t="s">
        <v>488</v>
      </c>
      <c r="D94" s="453" t="s">
        <v>488</v>
      </c>
      <c r="E94" s="453" t="s">
        <v>488</v>
      </c>
      <c r="F94" s="453" t="s">
        <v>488</v>
      </c>
      <c r="G94" s="453" t="s">
        <v>488</v>
      </c>
      <c r="H94" s="453" t="s">
        <v>488</v>
      </c>
      <c r="I94" s="454" t="s">
        <v>488</v>
      </c>
    </row>
    <row r="95" spans="1:9" ht="15.75" customHeight="1" x14ac:dyDescent="0.2">
      <c r="A95" s="455" t="s">
        <v>71</v>
      </c>
      <c r="B95" s="479">
        <f>MC!C66</f>
        <v>0.03</v>
      </c>
      <c r="C95" s="486">
        <f t="shared" ref="C95:I95" si="31">(C$19+C$49+C$60+C$80+C$91)*$B$95</f>
        <v>121.21638336965717</v>
      </c>
      <c r="D95" s="486">
        <f t="shared" si="31"/>
        <v>108.59849163763093</v>
      </c>
      <c r="E95" s="486">
        <f t="shared" si="31"/>
        <v>93.456910066668442</v>
      </c>
      <c r="F95" s="486">
        <f t="shared" si="31"/>
        <v>83.993324926306201</v>
      </c>
      <c r="G95" s="486">
        <f t="shared" si="31"/>
        <v>65.353107260692553</v>
      </c>
      <c r="H95" s="486">
        <f t="shared" si="31"/>
        <v>115.06713600927986</v>
      </c>
      <c r="I95" s="487">
        <f t="shared" si="31"/>
        <v>106.08259458779182</v>
      </c>
    </row>
    <row r="96" spans="1:9" x14ac:dyDescent="0.2">
      <c r="A96" s="455" t="s">
        <v>72</v>
      </c>
      <c r="B96" s="479">
        <f>MC!C67</f>
        <v>6.7900000000000002E-2</v>
      </c>
      <c r="C96" s="486">
        <f t="shared" ref="C96:I96" si="32">(C$19+C$49+C$60+C$80+C$91+C95)*$B$96</f>
        <v>282.58367345745711</v>
      </c>
      <c r="D96" s="486">
        <f t="shared" si="32"/>
        <v>253.1684236553665</v>
      </c>
      <c r="E96" s="486">
        <f t="shared" si="32"/>
        <v>217.86986397775306</v>
      </c>
      <c r="F96" s="486">
        <f t="shared" si="32"/>
        <v>195.80803884570255</v>
      </c>
      <c r="G96" s="486">
        <f t="shared" si="32"/>
        <v>152.35334208303516</v>
      </c>
      <c r="H96" s="486">
        <f t="shared" si="32"/>
        <v>268.24834303603353</v>
      </c>
      <c r="I96" s="487">
        <f t="shared" si="32"/>
        <v>247.30328058954655</v>
      </c>
    </row>
    <row r="97" spans="1:10" x14ac:dyDescent="0.2">
      <c r="A97" s="526" t="s">
        <v>550</v>
      </c>
      <c r="B97" s="527">
        <f>B98+B99</f>
        <v>0.1125</v>
      </c>
      <c r="C97" s="528">
        <f t="shared" ref="C97:I97" si="33">((C19+C49+C60+C80+C91+C95+C96)/(1-($B$97)))*$B$97</f>
        <v>563.36782425832644</v>
      </c>
      <c r="D97" s="528">
        <f t="shared" si="33"/>
        <v>504.72464406938388</v>
      </c>
      <c r="E97" s="528">
        <f t="shared" si="33"/>
        <v>434.35230966761031</v>
      </c>
      <c r="F97" s="528">
        <f t="shared" si="33"/>
        <v>390.36915143436534</v>
      </c>
      <c r="G97" s="528">
        <f t="shared" si="33"/>
        <v>303.7364820042439</v>
      </c>
      <c r="H97" s="528">
        <f t="shared" si="33"/>
        <v>534.78845231256025</v>
      </c>
      <c r="I97" s="529">
        <f t="shared" si="33"/>
        <v>493.03170778779713</v>
      </c>
    </row>
    <row r="98" spans="1:10" x14ac:dyDescent="0.2">
      <c r="A98" s="455" t="s">
        <v>551</v>
      </c>
      <c r="B98" s="479">
        <f>0.0165+0.076</f>
        <v>9.2499999999999999E-2</v>
      </c>
      <c r="C98" s="530">
        <f t="shared" ref="C98:I98" si="34">((C$19+C$49+C$60+C$80+C$91+C$95+C$96)/(1-($B$97)))*$B$98</f>
        <v>463.21354439017949</v>
      </c>
      <c r="D98" s="530">
        <f t="shared" si="34"/>
        <v>414.99581845704898</v>
      </c>
      <c r="E98" s="530">
        <f t="shared" si="34"/>
        <v>357.13412128225735</v>
      </c>
      <c r="F98" s="530">
        <f t="shared" si="34"/>
        <v>320.97019117936708</v>
      </c>
      <c r="G98" s="530">
        <f t="shared" si="34"/>
        <v>249.73888520348945</v>
      </c>
      <c r="H98" s="530">
        <f t="shared" si="34"/>
        <v>439.7149496792162</v>
      </c>
      <c r="I98" s="531">
        <f t="shared" si="34"/>
        <v>405.38162640329983</v>
      </c>
    </row>
    <row r="99" spans="1:10" x14ac:dyDescent="0.2">
      <c r="A99" s="455" t="s">
        <v>552</v>
      </c>
      <c r="B99" s="479">
        <v>0.02</v>
      </c>
      <c r="C99" s="532">
        <f t="shared" ref="C99:I99" si="35">((C$19+C$49+C$60+C$80+C$91+C$95+C$96)/(1-($B$97)))*$B$99</f>
        <v>100.15427986814692</v>
      </c>
      <c r="D99" s="532">
        <f t="shared" si="35"/>
        <v>89.728825612334916</v>
      </c>
      <c r="E99" s="532">
        <f t="shared" si="35"/>
        <v>77.218188385352946</v>
      </c>
      <c r="F99" s="532">
        <f t="shared" si="35"/>
        <v>69.398960254998286</v>
      </c>
      <c r="G99" s="532">
        <f t="shared" si="35"/>
        <v>53.997596800754472</v>
      </c>
      <c r="H99" s="532">
        <f t="shared" si="35"/>
        <v>95.073502633344049</v>
      </c>
      <c r="I99" s="533">
        <f t="shared" si="35"/>
        <v>87.65008138449727</v>
      </c>
    </row>
    <row r="100" spans="1:10" x14ac:dyDescent="0.2">
      <c r="A100" s="526" t="s">
        <v>553</v>
      </c>
      <c r="B100" s="527">
        <f>B101+B102</f>
        <v>0.11749999999999999</v>
      </c>
      <c r="C100" s="528">
        <f t="shared" ref="C100:I100" si="36">((C19+C49+C60+C80+C91+C95+C96)/(1-($B$100)))*$B$100</f>
        <v>591.7401415014275</v>
      </c>
      <c r="D100" s="528">
        <f t="shared" si="36"/>
        <v>530.14357483775063</v>
      </c>
      <c r="E100" s="528">
        <f t="shared" si="36"/>
        <v>456.22715056997652</v>
      </c>
      <c r="F100" s="528">
        <f t="shared" si="36"/>
        <v>410.0289135462628</v>
      </c>
      <c r="G100" s="528">
        <f t="shared" si="36"/>
        <v>319.03325163618564</v>
      </c>
      <c r="H100" s="528">
        <f t="shared" si="36"/>
        <v>561.72145589141121</v>
      </c>
      <c r="I100" s="529">
        <f t="shared" si="36"/>
        <v>517.86175917150729</v>
      </c>
    </row>
    <row r="101" spans="1:10" x14ac:dyDescent="0.2">
      <c r="A101" s="455" t="s">
        <v>551</v>
      </c>
      <c r="B101" s="479">
        <f>0.0165+0.076</f>
        <v>9.2499999999999999E-2</v>
      </c>
      <c r="C101" s="530">
        <f t="shared" ref="C101:I101" si="37">((C19+C49+C60+C80+C91+C95+C96)/(1-($B$100)))*$B$101</f>
        <v>465.83798373516629</v>
      </c>
      <c r="D101" s="530">
        <f t="shared" si="37"/>
        <v>417.34706955312288</v>
      </c>
      <c r="E101" s="530">
        <f t="shared" si="37"/>
        <v>359.1575440657262</v>
      </c>
      <c r="F101" s="530">
        <f t="shared" si="37"/>
        <v>322.78871917471753</v>
      </c>
      <c r="G101" s="530">
        <f t="shared" si="37"/>
        <v>251.15383639444403</v>
      </c>
      <c r="H101" s="530">
        <f t="shared" si="37"/>
        <v>442.2062525102599</v>
      </c>
      <c r="I101" s="531">
        <f t="shared" si="37"/>
        <v>407.67840615629297</v>
      </c>
    </row>
    <row r="102" spans="1:10" x14ac:dyDescent="0.2">
      <c r="A102" s="455" t="s">
        <v>552</v>
      </c>
      <c r="B102" s="479">
        <v>2.5000000000000001E-2</v>
      </c>
      <c r="C102" s="532">
        <f t="shared" ref="C102:I102" si="38">((C$19+C$49+C$60+C$80+C$91+C$95+C$96)/(1-($B$100)))*$B$102</f>
        <v>125.90215776626117</v>
      </c>
      <c r="D102" s="532">
        <f t="shared" si="38"/>
        <v>112.79650528462781</v>
      </c>
      <c r="E102" s="532">
        <f t="shared" si="38"/>
        <v>97.069606504250331</v>
      </c>
      <c r="F102" s="532">
        <f t="shared" si="38"/>
        <v>87.240194371545286</v>
      </c>
      <c r="G102" s="532">
        <f t="shared" si="38"/>
        <v>67.879415241741626</v>
      </c>
      <c r="H102" s="532">
        <f t="shared" si="38"/>
        <v>119.51520338115134</v>
      </c>
      <c r="I102" s="533">
        <f t="shared" si="38"/>
        <v>110.18335301521432</v>
      </c>
    </row>
    <row r="103" spans="1:10" x14ac:dyDescent="0.2">
      <c r="A103" s="526" t="s">
        <v>554</v>
      </c>
      <c r="B103" s="527">
        <f>B104+B105</f>
        <v>0.1225</v>
      </c>
      <c r="C103" s="528">
        <f t="shared" ref="C103:I103" si="39">((C19+C49+C60+C80+C91+C95+C96)/(1-($B$103)))*$B$103</f>
        <v>620.43578999516228</v>
      </c>
      <c r="D103" s="528">
        <f t="shared" si="39"/>
        <v>555.85218003082832</v>
      </c>
      <c r="E103" s="528">
        <f t="shared" si="39"/>
        <v>478.35127740855216</v>
      </c>
      <c r="F103" s="528">
        <f t="shared" si="39"/>
        <v>429.91271853123044</v>
      </c>
      <c r="G103" s="528">
        <f t="shared" si="39"/>
        <v>334.50434342917526</v>
      </c>
      <c r="H103" s="528">
        <f t="shared" si="39"/>
        <v>588.96138828597566</v>
      </c>
      <c r="I103" s="529">
        <f t="shared" si="39"/>
        <v>542.97477410374995</v>
      </c>
    </row>
    <row r="104" spans="1:10" x14ac:dyDescent="0.2">
      <c r="A104" s="455" t="s">
        <v>551</v>
      </c>
      <c r="B104" s="479">
        <f>0.0165+0.076</f>
        <v>9.2499999999999999E-2</v>
      </c>
      <c r="C104" s="530">
        <f t="shared" ref="C104:I104" si="40">((C19+C49+C60+C80+C91+C95+C96)/(1-($B$103)))*$B$104</f>
        <v>468.49233122083683</v>
      </c>
      <c r="D104" s="530">
        <f t="shared" si="40"/>
        <v>419.72511553348261</v>
      </c>
      <c r="E104" s="530">
        <f t="shared" si="40"/>
        <v>361.20402579829448</v>
      </c>
      <c r="F104" s="530">
        <f t="shared" si="40"/>
        <v>324.62797113582707</v>
      </c>
      <c r="G104" s="530">
        <f t="shared" si="40"/>
        <v>252.58491238529561</v>
      </c>
      <c r="H104" s="530">
        <f t="shared" si="40"/>
        <v>444.72594625675714</v>
      </c>
      <c r="I104" s="531">
        <f t="shared" si="40"/>
        <v>410.00136003752544</v>
      </c>
    </row>
    <row r="105" spans="1:10" x14ac:dyDescent="0.2">
      <c r="A105" s="455" t="s">
        <v>552</v>
      </c>
      <c r="B105" s="479">
        <v>0.03</v>
      </c>
      <c r="C105" s="532">
        <f t="shared" ref="C105:I105" si="41">((C19+C49+C60+C80+C91+C95+C96)/(1-($B$103)))*$B$105</f>
        <v>151.94345877432545</v>
      </c>
      <c r="D105" s="532">
        <f t="shared" si="41"/>
        <v>136.12706449734571</v>
      </c>
      <c r="E105" s="532">
        <f t="shared" si="41"/>
        <v>117.14725161025767</v>
      </c>
      <c r="F105" s="532">
        <f t="shared" si="41"/>
        <v>105.28474739540337</v>
      </c>
      <c r="G105" s="532">
        <f t="shared" si="41"/>
        <v>81.919431043879655</v>
      </c>
      <c r="H105" s="532">
        <f t="shared" si="41"/>
        <v>144.23544202921855</v>
      </c>
      <c r="I105" s="533">
        <f t="shared" si="41"/>
        <v>132.97341406622448</v>
      </c>
      <c r="J105" s="534"/>
    </row>
    <row r="106" spans="1:10" x14ac:dyDescent="0.2">
      <c r="A106" s="526" t="s">
        <v>555</v>
      </c>
      <c r="B106" s="527">
        <f>B107+B108</f>
        <v>0.13250000000000001</v>
      </c>
      <c r="C106" s="528">
        <f t="shared" ref="C106:I106" si="42">((C19+C49+C60+C80+C91+C95+C96)/(1-($B$106)))*$B$106</f>
        <v>678.81944370287624</v>
      </c>
      <c r="D106" s="528">
        <f t="shared" si="42"/>
        <v>608.15844880982775</v>
      </c>
      <c r="E106" s="528">
        <f t="shared" si="42"/>
        <v>523.36463057291633</v>
      </c>
      <c r="F106" s="528">
        <f t="shared" si="42"/>
        <v>470.36795288104929</v>
      </c>
      <c r="G106" s="528">
        <f t="shared" si="42"/>
        <v>365.98155036246237</v>
      </c>
      <c r="H106" s="528">
        <f t="shared" si="42"/>
        <v>644.38326802823076</v>
      </c>
      <c r="I106" s="529">
        <f t="shared" si="42"/>
        <v>594.06926557972474</v>
      </c>
    </row>
    <row r="107" spans="1:10" x14ac:dyDescent="0.2">
      <c r="A107" s="455" t="s">
        <v>551</v>
      </c>
      <c r="B107" s="479">
        <f>0.0165+0.076</f>
        <v>9.2499999999999999E-2</v>
      </c>
      <c r="C107" s="530">
        <f t="shared" ref="C107:I107" si="43">((C19+C49+C60+C80+C91+C95+C96)/(1-($B$106)))*$B$107</f>
        <v>473.89281918880039</v>
      </c>
      <c r="D107" s="530">
        <f t="shared" si="43"/>
        <v>424.5634453955401</v>
      </c>
      <c r="E107" s="530">
        <f t="shared" si="43"/>
        <v>365.36776096599817</v>
      </c>
      <c r="F107" s="530">
        <f t="shared" si="43"/>
        <v>328.37008031318533</v>
      </c>
      <c r="G107" s="530">
        <f t="shared" si="43"/>
        <v>255.49655402662466</v>
      </c>
      <c r="H107" s="530">
        <f t="shared" si="43"/>
        <v>449.85247013291581</v>
      </c>
      <c r="I107" s="531">
        <f t="shared" si="43"/>
        <v>414.72760049905315</v>
      </c>
    </row>
    <row r="108" spans="1:10" x14ac:dyDescent="0.2">
      <c r="A108" s="455" t="s">
        <v>552</v>
      </c>
      <c r="B108" s="479">
        <v>0.04</v>
      </c>
      <c r="C108" s="532">
        <f t="shared" ref="C108:I108" si="44">((C19+C49+C60+C80+C91+C95+C96)/(1-($B$106)))*$B$108</f>
        <v>204.92662451407585</v>
      </c>
      <c r="D108" s="532">
        <f t="shared" si="44"/>
        <v>183.59500341428762</v>
      </c>
      <c r="E108" s="532">
        <f t="shared" si="44"/>
        <v>157.99686960691812</v>
      </c>
      <c r="F108" s="532">
        <f t="shared" si="44"/>
        <v>141.99787256786394</v>
      </c>
      <c r="G108" s="532">
        <f t="shared" si="44"/>
        <v>110.48499633583769</v>
      </c>
      <c r="H108" s="532">
        <f t="shared" si="44"/>
        <v>194.53079789531495</v>
      </c>
      <c r="I108" s="533">
        <f t="shared" si="44"/>
        <v>179.34166508067162</v>
      </c>
    </row>
    <row r="109" spans="1:10" x14ac:dyDescent="0.2">
      <c r="A109" s="526" t="s">
        <v>556</v>
      </c>
      <c r="B109" s="527">
        <f>B110+B111</f>
        <v>0.14250000000000002</v>
      </c>
      <c r="C109" s="528">
        <f t="shared" ref="C109:I109" si="45">((C19+C49+C60+C80+C91+C95+C96)/(1-($B$109)))*$B$109</f>
        <v>738.56481528132406</v>
      </c>
      <c r="D109" s="528">
        <f t="shared" si="45"/>
        <v>661.68468887230222</v>
      </c>
      <c r="E109" s="528">
        <f t="shared" si="45"/>
        <v>569.42785786356308</v>
      </c>
      <c r="F109" s="528">
        <f t="shared" si="45"/>
        <v>511.76674954806504</v>
      </c>
      <c r="G109" s="528">
        <f t="shared" si="45"/>
        <v>398.19291955658417</v>
      </c>
      <c r="H109" s="528">
        <f t="shared" si="45"/>
        <v>701.09778636505735</v>
      </c>
      <c r="I109" s="529">
        <f t="shared" si="45"/>
        <v>646.35546531169905</v>
      </c>
    </row>
    <row r="110" spans="1:10" x14ac:dyDescent="0.2">
      <c r="A110" s="455" t="s">
        <v>551</v>
      </c>
      <c r="B110" s="479">
        <f>0.0165+0.076</f>
        <v>9.2499999999999999E-2</v>
      </c>
      <c r="C110" s="535">
        <f t="shared" ref="C110:I110" si="46">((C19+C49+C60+C80+C91+C95+C96)/(1-($B$109)))*$B$110</f>
        <v>479.41926605980683</v>
      </c>
      <c r="D110" s="535">
        <f t="shared" si="46"/>
        <v>429.51462260131893</v>
      </c>
      <c r="E110" s="535">
        <f t="shared" si="46"/>
        <v>369.62860949038298</v>
      </c>
      <c r="F110" s="535">
        <f t="shared" si="46"/>
        <v>332.19946900488429</v>
      </c>
      <c r="G110" s="535">
        <f t="shared" si="46"/>
        <v>258.47610567708091</v>
      </c>
      <c r="H110" s="535">
        <f t="shared" si="46"/>
        <v>455.09856307907222</v>
      </c>
      <c r="I110" s="536">
        <f t="shared" si="46"/>
        <v>419.56407397426074</v>
      </c>
    </row>
    <row r="111" spans="1:10" x14ac:dyDescent="0.2">
      <c r="A111" s="455" t="s">
        <v>552</v>
      </c>
      <c r="B111" s="537">
        <v>0.05</v>
      </c>
      <c r="C111" s="538">
        <f t="shared" ref="C111:I111" si="47">((C19+C49+C60+C80+C91+C95+C96)/(1-($B$109)))*$B$111</f>
        <v>259.14554922151723</v>
      </c>
      <c r="D111" s="538">
        <f t="shared" si="47"/>
        <v>232.17006627098323</v>
      </c>
      <c r="E111" s="538">
        <f t="shared" si="47"/>
        <v>199.79924837318001</v>
      </c>
      <c r="F111" s="538">
        <f t="shared" si="47"/>
        <v>179.56728054318069</v>
      </c>
      <c r="G111" s="538">
        <f t="shared" si="47"/>
        <v>139.71681387950321</v>
      </c>
      <c r="H111" s="538">
        <f t="shared" si="47"/>
        <v>245.99922328598501</v>
      </c>
      <c r="I111" s="539">
        <f t="shared" si="47"/>
        <v>226.79139133743826</v>
      </c>
    </row>
    <row r="112" spans="1:10" x14ac:dyDescent="0.2">
      <c r="A112" s="838" t="s">
        <v>557</v>
      </c>
      <c r="B112" s="540">
        <v>0.02</v>
      </c>
      <c r="C112" s="541">
        <f t="shared" ref="C112:I112" si="48">C95+C96+C97</f>
        <v>967.16788108544074</v>
      </c>
      <c r="D112" s="541">
        <f t="shared" si="48"/>
        <v>866.49155936238128</v>
      </c>
      <c r="E112" s="541">
        <f t="shared" si="48"/>
        <v>745.6790837120318</v>
      </c>
      <c r="F112" s="541">
        <f t="shared" si="48"/>
        <v>670.17051520637415</v>
      </c>
      <c r="G112" s="541">
        <f t="shared" si="48"/>
        <v>521.44293134797158</v>
      </c>
      <c r="H112" s="541">
        <f t="shared" si="48"/>
        <v>918.10393135787365</v>
      </c>
      <c r="I112" s="542">
        <f t="shared" si="48"/>
        <v>846.41758296513547</v>
      </c>
    </row>
    <row r="113" spans="1:10" x14ac:dyDescent="0.2">
      <c r="A113" s="838"/>
      <c r="B113" s="543">
        <v>2.5000000000000001E-2</v>
      </c>
      <c r="C113" s="544">
        <f t="shared" ref="C113:I113" si="49">C95+C96+C100</f>
        <v>995.54019832854181</v>
      </c>
      <c r="D113" s="544">
        <f t="shared" si="49"/>
        <v>891.91049013074803</v>
      </c>
      <c r="E113" s="544">
        <f t="shared" si="49"/>
        <v>767.55392461439806</v>
      </c>
      <c r="F113" s="544">
        <f t="shared" si="49"/>
        <v>689.83027731827156</v>
      </c>
      <c r="G113" s="544">
        <f t="shared" si="49"/>
        <v>536.73970097991332</v>
      </c>
      <c r="H113" s="544">
        <f t="shared" si="49"/>
        <v>945.03693493672461</v>
      </c>
      <c r="I113" s="545">
        <f t="shared" si="49"/>
        <v>871.24763434884562</v>
      </c>
    </row>
    <row r="114" spans="1:10" ht="15.75" customHeight="1" x14ac:dyDescent="0.2">
      <c r="A114" s="838"/>
      <c r="B114" s="543">
        <v>0.03</v>
      </c>
      <c r="C114" s="544">
        <f t="shared" ref="C114:I114" si="50">C95+C96+C103</f>
        <v>1024.2358468222765</v>
      </c>
      <c r="D114" s="544">
        <f t="shared" si="50"/>
        <v>917.61909532382572</v>
      </c>
      <c r="E114" s="544">
        <f t="shared" si="50"/>
        <v>789.6780514529737</v>
      </c>
      <c r="F114" s="544">
        <f t="shared" si="50"/>
        <v>709.71408230323914</v>
      </c>
      <c r="G114" s="544">
        <f t="shared" si="50"/>
        <v>552.21079277290301</v>
      </c>
      <c r="H114" s="544">
        <f t="shared" si="50"/>
        <v>972.27686733128905</v>
      </c>
      <c r="I114" s="545">
        <f t="shared" si="50"/>
        <v>896.36064928108829</v>
      </c>
      <c r="J114" s="534"/>
    </row>
    <row r="115" spans="1:10" ht="15.75" customHeight="1" x14ac:dyDescent="0.2">
      <c r="A115" s="838"/>
      <c r="B115" s="543">
        <v>0.04</v>
      </c>
      <c r="C115" s="544">
        <f t="shared" ref="C115:I115" si="51">C95+C96+C106</f>
        <v>1082.6195005299905</v>
      </c>
      <c r="D115" s="544">
        <f t="shared" si="51"/>
        <v>969.92536410282514</v>
      </c>
      <c r="E115" s="544">
        <f t="shared" si="51"/>
        <v>834.69140461733787</v>
      </c>
      <c r="F115" s="544">
        <f t="shared" si="51"/>
        <v>750.1693166530581</v>
      </c>
      <c r="G115" s="544">
        <f t="shared" si="51"/>
        <v>583.68799970619011</v>
      </c>
      <c r="H115" s="544">
        <f t="shared" si="51"/>
        <v>1027.6987470735442</v>
      </c>
      <c r="I115" s="545">
        <f t="shared" si="51"/>
        <v>947.45514075706308</v>
      </c>
    </row>
    <row r="116" spans="1:10" ht="15.75" customHeight="1" x14ac:dyDescent="0.2">
      <c r="A116" s="838"/>
      <c r="B116" s="546">
        <v>0.05</v>
      </c>
      <c r="C116" s="547">
        <f t="shared" ref="C116:I116" si="52">C95+C96+C109</f>
        <v>1142.3648721084382</v>
      </c>
      <c r="D116" s="547">
        <f t="shared" si="52"/>
        <v>1023.4516041652996</v>
      </c>
      <c r="E116" s="547">
        <f t="shared" si="52"/>
        <v>880.7546319079845</v>
      </c>
      <c r="F116" s="547">
        <f t="shared" si="52"/>
        <v>791.56811332007373</v>
      </c>
      <c r="G116" s="547">
        <f t="shared" si="52"/>
        <v>615.89936890031186</v>
      </c>
      <c r="H116" s="547">
        <f t="shared" si="52"/>
        <v>1084.4132654103707</v>
      </c>
      <c r="I116" s="548">
        <f t="shared" si="52"/>
        <v>999.74134048903738</v>
      </c>
    </row>
    <row r="117" spans="1:10" ht="15.75" customHeight="1" x14ac:dyDescent="0.2">
      <c r="A117" s="455" t="s">
        <v>558</v>
      </c>
      <c r="B117" s="549"/>
      <c r="C117" s="550"/>
      <c r="D117" s="550"/>
      <c r="E117" s="550"/>
      <c r="F117" s="550"/>
      <c r="G117" s="550"/>
      <c r="H117" s="551"/>
      <c r="I117" s="552"/>
    </row>
    <row r="118" spans="1:10" ht="24.75" customHeight="1" x14ac:dyDescent="0.2">
      <c r="A118" s="553"/>
      <c r="B118" s="554"/>
      <c r="C118" s="555"/>
      <c r="D118" s="555"/>
      <c r="E118" s="555"/>
      <c r="F118" s="555"/>
      <c r="G118" s="555"/>
      <c r="H118" s="556"/>
      <c r="I118" s="557"/>
    </row>
    <row r="119" spans="1:10" ht="15.75" customHeight="1" x14ac:dyDescent="0.2">
      <c r="A119" s="839"/>
      <c r="B119" s="839"/>
      <c r="C119" s="839"/>
      <c r="D119" s="839"/>
      <c r="E119" s="839"/>
      <c r="F119" s="839"/>
      <c r="G119" s="839"/>
      <c r="H119" s="839"/>
      <c r="I119" s="839"/>
    </row>
    <row r="120" spans="1:10" ht="15.75" customHeight="1" x14ac:dyDescent="0.2">
      <c r="A120" s="840"/>
      <c r="B120" s="840"/>
      <c r="C120" s="840"/>
      <c r="D120" s="840"/>
      <c r="E120" s="840"/>
      <c r="F120" s="840"/>
      <c r="G120" s="840"/>
      <c r="H120" s="840"/>
      <c r="I120" s="840"/>
    </row>
    <row r="121" spans="1:10" ht="54.75" customHeight="1" x14ac:dyDescent="0.2">
      <c r="A121" s="841" t="s">
        <v>559</v>
      </c>
      <c r="B121" s="841"/>
      <c r="C121" s="558" t="str">
        <f t="shared" ref="C121:I121" si="53">C10</f>
        <v>Servente 40h (banheirista)
(insalubridade 40%)</v>
      </c>
      <c r="D121" s="558" t="str">
        <f t="shared" si="53"/>
        <v>Servente 40h
(insalubridade 20%)</v>
      </c>
      <c r="E121" s="558" t="str">
        <f t="shared" si="53"/>
        <v>Servente 30h (banheirista)
(insalubridade 40%)</v>
      </c>
      <c r="F121" s="558" t="str">
        <f t="shared" si="53"/>
        <v>Servente 30h
(insalubridade 20%)</v>
      </c>
      <c r="G121" s="558" t="str">
        <f t="shared" si="53"/>
        <v>Servente 20h
(insalubridade 20%)</v>
      </c>
      <c r="H121" s="559" t="str">
        <f t="shared" si="53"/>
        <v>Limpador alpinista 44h (limpeza de esquadrias com risco)</v>
      </c>
      <c r="I121" s="560" t="str">
        <f t="shared" si="53"/>
        <v>Encarregada 40h</v>
      </c>
    </row>
    <row r="122" spans="1:10" ht="15.75" customHeight="1" x14ac:dyDescent="0.2">
      <c r="A122" s="835" t="s">
        <v>560</v>
      </c>
      <c r="B122" s="835"/>
      <c r="C122" s="561" t="s">
        <v>488</v>
      </c>
      <c r="D122" s="561" t="s">
        <v>488</v>
      </c>
      <c r="E122" s="561" t="s">
        <v>488</v>
      </c>
      <c r="F122" s="561" t="s">
        <v>488</v>
      </c>
      <c r="G122" s="561" t="s">
        <v>488</v>
      </c>
      <c r="H122" s="561" t="s">
        <v>488</v>
      </c>
      <c r="I122" s="562" t="s">
        <v>488</v>
      </c>
    </row>
    <row r="123" spans="1:10" ht="14.25" customHeight="1" x14ac:dyDescent="0.2">
      <c r="A123" s="836" t="s">
        <v>561</v>
      </c>
      <c r="B123" s="836"/>
      <c r="C123" s="563">
        <f t="shared" ref="C123:I123" si="54">C19</f>
        <v>1672.4781818181816</v>
      </c>
      <c r="D123" s="563">
        <f t="shared" si="54"/>
        <v>1433.5527272727272</v>
      </c>
      <c r="E123" s="563">
        <f t="shared" si="54"/>
        <v>1254.3586363636364</v>
      </c>
      <c r="F123" s="563">
        <f t="shared" si="54"/>
        <v>1075.1645454545453</v>
      </c>
      <c r="G123" s="563">
        <f t="shared" si="54"/>
        <v>716.77636363636361</v>
      </c>
      <c r="H123" s="563">
        <f t="shared" si="54"/>
        <v>1669.75</v>
      </c>
      <c r="I123" s="564">
        <f t="shared" si="54"/>
        <v>1673.9117345454545</v>
      </c>
    </row>
    <row r="124" spans="1:10" ht="14.25" customHeight="1" x14ac:dyDescent="0.2">
      <c r="A124" s="832" t="s">
        <v>562</v>
      </c>
      <c r="B124" s="832"/>
      <c r="C124" s="565">
        <f t="shared" ref="C124:I124" si="55">C49</f>
        <v>1357.4277272727272</v>
      </c>
      <c r="D124" s="565">
        <f t="shared" si="55"/>
        <v>1233.2109090909091</v>
      </c>
      <c r="E124" s="565">
        <f t="shared" si="55"/>
        <v>978.13329545454553</v>
      </c>
      <c r="F124" s="565">
        <f t="shared" si="55"/>
        <v>884.96568181818179</v>
      </c>
      <c r="G124" s="565">
        <f t="shared" si="55"/>
        <v>716.49045454545455</v>
      </c>
      <c r="H124" s="565">
        <f t="shared" si="55"/>
        <v>1327.5119444444445</v>
      </c>
      <c r="I124" s="566">
        <f t="shared" si="55"/>
        <v>1329.4275481818181</v>
      </c>
    </row>
    <row r="125" spans="1:10" ht="14.25" customHeight="1" x14ac:dyDescent="0.2">
      <c r="A125" s="832" t="s">
        <v>563</v>
      </c>
      <c r="B125" s="832"/>
      <c r="C125" s="565">
        <f t="shared" ref="C125:I125" si="56">C60</f>
        <v>109.54732090909087</v>
      </c>
      <c r="D125" s="565">
        <f t="shared" si="56"/>
        <v>93.897703636363616</v>
      </c>
      <c r="E125" s="565">
        <f t="shared" si="56"/>
        <v>82.160490681818175</v>
      </c>
      <c r="F125" s="565">
        <f t="shared" si="56"/>
        <v>70.423277727272705</v>
      </c>
      <c r="G125" s="565">
        <f t="shared" si="56"/>
        <v>46.948851818181808</v>
      </c>
      <c r="H125" s="565">
        <f t="shared" si="56"/>
        <v>109.36862499999998</v>
      </c>
      <c r="I125" s="566">
        <f t="shared" si="56"/>
        <v>109.64121861272724</v>
      </c>
    </row>
    <row r="126" spans="1:10" ht="14.25" customHeight="1" x14ac:dyDescent="0.2">
      <c r="A126" s="832" t="s">
        <v>564</v>
      </c>
      <c r="B126" s="832"/>
      <c r="C126" s="565">
        <f t="shared" ref="C126:H126" si="57">C80</f>
        <v>341.36618000709143</v>
      </c>
      <c r="D126" s="565">
        <f t="shared" si="57"/>
        <v>299.56167893954944</v>
      </c>
      <c r="E126" s="565">
        <f t="shared" si="57"/>
        <v>252.07121074079987</v>
      </c>
      <c r="F126" s="565">
        <f t="shared" si="57"/>
        <v>220.71729022872529</v>
      </c>
      <c r="G126" s="565">
        <f t="shared" si="57"/>
        <v>159.78911970827053</v>
      </c>
      <c r="H126" s="565">
        <f t="shared" si="57"/>
        <v>338.04873086488425</v>
      </c>
      <c r="I126" s="566">
        <f>I69</f>
        <v>310.2487379079268</v>
      </c>
    </row>
    <row r="127" spans="1:10" ht="15.75" customHeight="1" x14ac:dyDescent="0.2">
      <c r="A127" s="832" t="s">
        <v>565</v>
      </c>
      <c r="B127" s="832"/>
      <c r="C127" s="565">
        <f t="shared" ref="C127:I127" si="58">C91</f>
        <v>559.7267023148147</v>
      </c>
      <c r="D127" s="565">
        <f t="shared" si="58"/>
        <v>559.7267023148147</v>
      </c>
      <c r="E127" s="565">
        <f t="shared" si="58"/>
        <v>548.50670231481479</v>
      </c>
      <c r="F127" s="565">
        <f t="shared" si="58"/>
        <v>548.50670231481479</v>
      </c>
      <c r="G127" s="565">
        <f t="shared" si="58"/>
        <v>538.43211898148149</v>
      </c>
      <c r="H127" s="565">
        <f t="shared" si="58"/>
        <v>390.89189999999996</v>
      </c>
      <c r="I127" s="566">
        <f t="shared" si="58"/>
        <v>84.353749999999991</v>
      </c>
    </row>
    <row r="128" spans="1:10" ht="15.75" customHeight="1" x14ac:dyDescent="0.2">
      <c r="A128" s="834" t="s">
        <v>566</v>
      </c>
      <c r="B128" s="834"/>
      <c r="C128" s="567">
        <f t="shared" ref="C128:I128" si="59">SUM(C123:C127)</f>
        <v>4040.5461123219056</v>
      </c>
      <c r="D128" s="567">
        <f t="shared" si="59"/>
        <v>3619.9497212543642</v>
      </c>
      <c r="E128" s="567">
        <f t="shared" si="59"/>
        <v>3115.2303355556151</v>
      </c>
      <c r="F128" s="567">
        <f t="shared" si="59"/>
        <v>2799.77749754354</v>
      </c>
      <c r="G128" s="567">
        <f t="shared" si="59"/>
        <v>2178.4369086897518</v>
      </c>
      <c r="H128" s="568">
        <f t="shared" si="59"/>
        <v>3835.571200309329</v>
      </c>
      <c r="I128" s="569">
        <f t="shared" si="59"/>
        <v>3507.5829892479269</v>
      </c>
    </row>
    <row r="129" spans="1:9" ht="15.75" customHeight="1" x14ac:dyDescent="0.2">
      <c r="A129" s="833" t="s">
        <v>567</v>
      </c>
      <c r="B129" s="833"/>
      <c r="C129" s="570">
        <f t="shared" ref="C129:I133" si="60">C112</f>
        <v>967.16788108544074</v>
      </c>
      <c r="D129" s="570">
        <f t="shared" si="60"/>
        <v>866.49155936238128</v>
      </c>
      <c r="E129" s="570">
        <f t="shared" si="60"/>
        <v>745.6790837120318</v>
      </c>
      <c r="F129" s="570">
        <f t="shared" si="60"/>
        <v>670.17051520637415</v>
      </c>
      <c r="G129" s="570">
        <f t="shared" si="60"/>
        <v>521.44293134797158</v>
      </c>
      <c r="H129" s="570">
        <f t="shared" si="60"/>
        <v>918.10393135787365</v>
      </c>
      <c r="I129" s="571">
        <f t="shared" si="60"/>
        <v>846.41758296513547</v>
      </c>
    </row>
    <row r="130" spans="1:9" ht="15.75" customHeight="1" x14ac:dyDescent="0.2">
      <c r="A130" s="832" t="s">
        <v>568</v>
      </c>
      <c r="B130" s="832"/>
      <c r="C130" s="572">
        <f t="shared" si="60"/>
        <v>995.54019832854181</v>
      </c>
      <c r="D130" s="572">
        <f t="shared" si="60"/>
        <v>891.91049013074803</v>
      </c>
      <c r="E130" s="572">
        <f t="shared" si="60"/>
        <v>767.55392461439806</v>
      </c>
      <c r="F130" s="572">
        <f t="shared" si="60"/>
        <v>689.83027731827156</v>
      </c>
      <c r="G130" s="572">
        <f t="shared" si="60"/>
        <v>536.73970097991332</v>
      </c>
      <c r="H130" s="572">
        <f t="shared" si="60"/>
        <v>945.03693493672461</v>
      </c>
      <c r="I130" s="573">
        <f t="shared" si="60"/>
        <v>871.24763434884562</v>
      </c>
    </row>
    <row r="131" spans="1:9" ht="15.75" customHeight="1" x14ac:dyDescent="0.2">
      <c r="A131" s="832" t="s">
        <v>569</v>
      </c>
      <c r="B131" s="832"/>
      <c r="C131" s="572">
        <f t="shared" si="60"/>
        <v>1024.2358468222765</v>
      </c>
      <c r="D131" s="572">
        <f t="shared" si="60"/>
        <v>917.61909532382572</v>
      </c>
      <c r="E131" s="572">
        <f t="shared" si="60"/>
        <v>789.6780514529737</v>
      </c>
      <c r="F131" s="572">
        <f t="shared" si="60"/>
        <v>709.71408230323914</v>
      </c>
      <c r="G131" s="572">
        <f t="shared" si="60"/>
        <v>552.21079277290301</v>
      </c>
      <c r="H131" s="572">
        <f t="shared" si="60"/>
        <v>972.27686733128905</v>
      </c>
      <c r="I131" s="573">
        <f t="shared" si="60"/>
        <v>896.36064928108829</v>
      </c>
    </row>
    <row r="132" spans="1:9" ht="15.75" customHeight="1" x14ac:dyDescent="0.2">
      <c r="A132" s="832" t="s">
        <v>570</v>
      </c>
      <c r="B132" s="832"/>
      <c r="C132" s="572">
        <f t="shared" si="60"/>
        <v>1082.6195005299905</v>
      </c>
      <c r="D132" s="572">
        <f t="shared" si="60"/>
        <v>969.92536410282514</v>
      </c>
      <c r="E132" s="572">
        <f t="shared" si="60"/>
        <v>834.69140461733787</v>
      </c>
      <c r="F132" s="572">
        <f t="shared" si="60"/>
        <v>750.1693166530581</v>
      </c>
      <c r="G132" s="572">
        <f t="shared" si="60"/>
        <v>583.68799970619011</v>
      </c>
      <c r="H132" s="572">
        <f t="shared" si="60"/>
        <v>1027.6987470735442</v>
      </c>
      <c r="I132" s="573">
        <f t="shared" si="60"/>
        <v>947.45514075706308</v>
      </c>
    </row>
    <row r="133" spans="1:9" ht="15.75" customHeight="1" x14ac:dyDescent="0.2">
      <c r="A133" s="833" t="s">
        <v>571</v>
      </c>
      <c r="B133" s="833"/>
      <c r="C133" s="572">
        <f t="shared" si="60"/>
        <v>1142.3648721084382</v>
      </c>
      <c r="D133" s="572">
        <f t="shared" si="60"/>
        <v>1023.4516041652996</v>
      </c>
      <c r="E133" s="572">
        <f t="shared" si="60"/>
        <v>880.7546319079845</v>
      </c>
      <c r="F133" s="572">
        <f t="shared" si="60"/>
        <v>791.56811332007373</v>
      </c>
      <c r="G133" s="572">
        <f t="shared" si="60"/>
        <v>615.89936890031186</v>
      </c>
      <c r="H133" s="572">
        <f t="shared" si="60"/>
        <v>1084.4132654103707</v>
      </c>
      <c r="I133" s="573">
        <f t="shared" si="60"/>
        <v>999.74134048903738</v>
      </c>
    </row>
    <row r="134" spans="1:9" ht="15.75" customHeight="1" x14ac:dyDescent="0.2">
      <c r="A134" s="574" t="s">
        <v>572</v>
      </c>
      <c r="B134" s="575"/>
      <c r="C134" s="576">
        <f t="shared" ref="C134:I134" si="61">C128+C129</f>
        <v>5007.7139934073466</v>
      </c>
      <c r="D134" s="576">
        <f t="shared" si="61"/>
        <v>4486.4412806167456</v>
      </c>
      <c r="E134" s="576">
        <f t="shared" si="61"/>
        <v>3860.9094192676466</v>
      </c>
      <c r="F134" s="576">
        <f t="shared" si="61"/>
        <v>3469.9480127499141</v>
      </c>
      <c r="G134" s="576">
        <f t="shared" si="61"/>
        <v>2699.8798400377236</v>
      </c>
      <c r="H134" s="576">
        <f t="shared" si="61"/>
        <v>4753.6751316672025</v>
      </c>
      <c r="I134" s="577">
        <f t="shared" si="61"/>
        <v>4354.0005722130627</v>
      </c>
    </row>
    <row r="135" spans="1:9" ht="15.75" customHeight="1" x14ac:dyDescent="0.2">
      <c r="A135" s="578" t="s">
        <v>573</v>
      </c>
      <c r="B135" s="579"/>
      <c r="C135" s="580">
        <f t="shared" ref="C135:I135" si="62">C128+C130</f>
        <v>5036.0863106504476</v>
      </c>
      <c r="D135" s="580">
        <f t="shared" si="62"/>
        <v>4511.8602113851121</v>
      </c>
      <c r="E135" s="580">
        <f t="shared" si="62"/>
        <v>3882.7842601700131</v>
      </c>
      <c r="F135" s="580">
        <f t="shared" si="62"/>
        <v>3489.6077748618118</v>
      </c>
      <c r="G135" s="580">
        <f t="shared" si="62"/>
        <v>2715.1766096696651</v>
      </c>
      <c r="H135" s="580">
        <f t="shared" si="62"/>
        <v>4780.6081352460533</v>
      </c>
      <c r="I135" s="581">
        <f t="shared" si="62"/>
        <v>4378.8306235967721</v>
      </c>
    </row>
    <row r="136" spans="1:9" ht="15.75" customHeight="1" x14ac:dyDescent="0.2">
      <c r="A136" s="578" t="s">
        <v>574</v>
      </c>
      <c r="B136" s="579"/>
      <c r="C136" s="580">
        <f t="shared" ref="C136:I136" si="63">C128+C131</f>
        <v>5064.7819591441821</v>
      </c>
      <c r="D136" s="580">
        <f t="shared" si="63"/>
        <v>4537.5688165781903</v>
      </c>
      <c r="E136" s="580">
        <f t="shared" si="63"/>
        <v>3904.9083870085888</v>
      </c>
      <c r="F136" s="580">
        <f t="shared" si="63"/>
        <v>3509.4915798467791</v>
      </c>
      <c r="G136" s="580">
        <f t="shared" si="63"/>
        <v>2730.6477014626548</v>
      </c>
      <c r="H136" s="580">
        <f t="shared" si="63"/>
        <v>4807.848067640618</v>
      </c>
      <c r="I136" s="581">
        <f t="shared" si="63"/>
        <v>4403.9436385290155</v>
      </c>
    </row>
    <row r="137" spans="1:9" ht="15.75" customHeight="1" x14ac:dyDescent="0.2">
      <c r="A137" s="578" t="s">
        <v>575</v>
      </c>
      <c r="B137" s="579"/>
      <c r="C137" s="580">
        <f t="shared" ref="C137:I137" si="64">C128+C132</f>
        <v>5123.1656128518962</v>
      </c>
      <c r="D137" s="580">
        <f t="shared" si="64"/>
        <v>4589.8750853571892</v>
      </c>
      <c r="E137" s="580">
        <f t="shared" si="64"/>
        <v>3949.9217401729529</v>
      </c>
      <c r="F137" s="580">
        <f t="shared" si="64"/>
        <v>3549.9468141965981</v>
      </c>
      <c r="G137" s="580">
        <f t="shared" si="64"/>
        <v>2762.1249083959419</v>
      </c>
      <c r="H137" s="580">
        <f t="shared" si="64"/>
        <v>4863.2699473828734</v>
      </c>
      <c r="I137" s="581">
        <f t="shared" si="64"/>
        <v>4455.0381300049903</v>
      </c>
    </row>
    <row r="138" spans="1:9" ht="15.75" customHeight="1" x14ac:dyDescent="0.2">
      <c r="A138" s="578" t="s">
        <v>576</v>
      </c>
      <c r="B138" s="579"/>
      <c r="C138" s="580">
        <f t="shared" ref="C138:I138" si="65">C128+C133</f>
        <v>5182.9109844303439</v>
      </c>
      <c r="D138" s="580">
        <f t="shared" si="65"/>
        <v>4643.4013254196634</v>
      </c>
      <c r="E138" s="580">
        <f t="shared" si="65"/>
        <v>3995.9849674635998</v>
      </c>
      <c r="F138" s="580">
        <f t="shared" si="65"/>
        <v>3591.3456108636137</v>
      </c>
      <c r="G138" s="580">
        <f t="shared" si="65"/>
        <v>2794.3362775900637</v>
      </c>
      <c r="H138" s="580">
        <f t="shared" si="65"/>
        <v>4919.9844657197</v>
      </c>
      <c r="I138" s="581">
        <f t="shared" si="65"/>
        <v>4507.3243297369645</v>
      </c>
    </row>
    <row r="139" spans="1:9" ht="15.75" customHeight="1" x14ac:dyDescent="0.2">
      <c r="A139" s="582" t="s">
        <v>577</v>
      </c>
      <c r="B139" s="583"/>
      <c r="C139" s="584">
        <f>C134/200</f>
        <v>25.038569967036732</v>
      </c>
      <c r="D139" s="584"/>
      <c r="E139" s="584"/>
      <c r="F139" s="584"/>
      <c r="G139" s="584"/>
      <c r="H139" s="585"/>
      <c r="I139" s="586"/>
    </row>
    <row r="140" spans="1:9" ht="15.75" customHeight="1" x14ac:dyDescent="0.2">
      <c r="A140" s="587" t="s">
        <v>578</v>
      </c>
      <c r="B140" s="588"/>
      <c r="C140" s="589">
        <f>C135/200</f>
        <v>25.180431553252237</v>
      </c>
      <c r="D140" s="589"/>
      <c r="E140" s="589"/>
      <c r="F140" s="589"/>
      <c r="G140" s="589"/>
      <c r="H140" s="590"/>
      <c r="I140" s="591"/>
    </row>
    <row r="141" spans="1:9" ht="15.75" customHeight="1" x14ac:dyDescent="0.2">
      <c r="A141" s="587" t="s">
        <v>579</v>
      </c>
      <c r="B141" s="588"/>
      <c r="C141" s="589">
        <f>C136/200</f>
        <v>25.323909795720912</v>
      </c>
      <c r="D141" s="589"/>
      <c r="E141" s="589"/>
      <c r="F141" s="589"/>
      <c r="G141" s="589"/>
      <c r="H141" s="590"/>
      <c r="I141" s="591"/>
    </row>
    <row r="142" spans="1:9" ht="15.75" customHeight="1" x14ac:dyDescent="0.2">
      <c r="A142" s="587" t="s">
        <v>580</v>
      </c>
      <c r="B142" s="588"/>
      <c r="C142" s="589">
        <f>C137/200</f>
        <v>25.615828064259482</v>
      </c>
      <c r="D142" s="589"/>
      <c r="E142" s="589"/>
      <c r="F142" s="589"/>
      <c r="G142" s="589"/>
      <c r="H142" s="590"/>
      <c r="I142" s="591"/>
    </row>
    <row r="143" spans="1:9" ht="15.75" customHeight="1" x14ac:dyDescent="0.2">
      <c r="A143" s="592" t="s">
        <v>581</v>
      </c>
      <c r="B143" s="593"/>
      <c r="C143" s="594">
        <f>C138/200</f>
        <v>25.914554922151719</v>
      </c>
      <c r="D143" s="594"/>
      <c r="E143" s="594"/>
      <c r="F143" s="594"/>
      <c r="G143" s="594"/>
      <c r="H143" s="595"/>
      <c r="I143" s="596"/>
    </row>
    <row r="144" spans="1:9" x14ac:dyDescent="0.2">
      <c r="A144" s="597"/>
    </row>
    <row r="145" spans="1:15" ht="14.25" customHeight="1" x14ac:dyDescent="0.2">
      <c r="A145" s="831" t="s">
        <v>582</v>
      </c>
      <c r="B145" s="831"/>
      <c r="C145" s="831" t="s">
        <v>583</v>
      </c>
      <c r="D145" s="831"/>
      <c r="E145" s="830" t="s">
        <v>584</v>
      </c>
      <c r="F145" s="830"/>
      <c r="G145" s="831" t="s">
        <v>585</v>
      </c>
      <c r="H145" s="831"/>
      <c r="I145" s="831" t="s">
        <v>586</v>
      </c>
      <c r="J145" s="831"/>
      <c r="K145" s="831" t="s">
        <v>587</v>
      </c>
      <c r="L145" s="831"/>
    </row>
    <row r="146" spans="1:15" ht="25.5" x14ac:dyDescent="0.2">
      <c r="A146" s="598" t="s">
        <v>588</v>
      </c>
      <c r="B146" s="599" t="s">
        <v>589</v>
      </c>
      <c r="C146" s="599" t="s">
        <v>590</v>
      </c>
      <c r="D146" s="599" t="s">
        <v>591</v>
      </c>
      <c r="E146" s="599" t="s">
        <v>590</v>
      </c>
      <c r="F146" s="599" t="s">
        <v>591</v>
      </c>
      <c r="G146" s="599" t="s">
        <v>590</v>
      </c>
      <c r="H146" s="599" t="s">
        <v>591</v>
      </c>
      <c r="I146" s="599" t="s">
        <v>590</v>
      </c>
      <c r="J146" s="599" t="s">
        <v>591</v>
      </c>
      <c r="K146" s="599" t="s">
        <v>590</v>
      </c>
      <c r="L146" s="599" t="s">
        <v>591</v>
      </c>
    </row>
    <row r="147" spans="1:15" x14ac:dyDescent="0.2">
      <c r="A147" s="600" t="s">
        <v>592</v>
      </c>
      <c r="B147" s="601">
        <f>1/'Prod. GEXCAN'!D18</f>
        <v>1.0204081632653062E-3</v>
      </c>
      <c r="C147" s="602">
        <f>D134</f>
        <v>4486.4412806167456</v>
      </c>
      <c r="D147" s="602">
        <f>B147*C147</f>
        <v>4.5780013067517817</v>
      </c>
      <c r="E147" s="602">
        <f>D135</f>
        <v>4511.8602113851121</v>
      </c>
      <c r="F147" s="602">
        <f>B147*E147</f>
        <v>4.6039389912092981</v>
      </c>
      <c r="G147" s="602">
        <f>D136</f>
        <v>4537.5688165781903</v>
      </c>
      <c r="H147" s="602">
        <f>B147*G147</f>
        <v>4.6301722618144803</v>
      </c>
      <c r="I147" s="602">
        <f>D137</f>
        <v>4589.8750853571892</v>
      </c>
      <c r="J147" s="602">
        <f>B147*I147</f>
        <v>4.6835460054665203</v>
      </c>
      <c r="K147" s="602">
        <f>D138</f>
        <v>4643.4013254196634</v>
      </c>
      <c r="L147" s="602">
        <f>B147*K147</f>
        <v>4.7381646177751673</v>
      </c>
    </row>
    <row r="148" spans="1:15" x14ac:dyDescent="0.2">
      <c r="A148" s="603" t="s">
        <v>593</v>
      </c>
      <c r="B148" s="601">
        <f>B147/'Prod. GEXCAN'!Q18</f>
        <v>5.6689342403628121E-5</v>
      </c>
      <c r="C148" s="602">
        <f>I136</f>
        <v>4403.9436385290155</v>
      </c>
      <c r="D148" s="602">
        <f>C148*B148</f>
        <v>0.24965666885085122</v>
      </c>
      <c r="E148" s="602">
        <f>I136</f>
        <v>4403.9436385290155</v>
      </c>
      <c r="F148" s="602">
        <f>B148*E148</f>
        <v>0.24965666885085122</v>
      </c>
      <c r="G148" s="602">
        <f>I136</f>
        <v>4403.9436385290155</v>
      </c>
      <c r="H148" s="602">
        <f>B148*G148</f>
        <v>0.24965666885085122</v>
      </c>
      <c r="I148" s="602">
        <f>I136</f>
        <v>4403.9436385290155</v>
      </c>
      <c r="J148" s="602">
        <f>B148*I148</f>
        <v>0.24965666885085122</v>
      </c>
      <c r="K148" s="602">
        <f>I136</f>
        <v>4403.9436385290155</v>
      </c>
      <c r="L148" s="602">
        <f>B148*K148</f>
        <v>0.24965666885085122</v>
      </c>
      <c r="M148" s="827"/>
      <c r="N148" s="827"/>
      <c r="O148" s="604"/>
    </row>
    <row r="149" spans="1:15" x14ac:dyDescent="0.2">
      <c r="A149" s="605" t="s">
        <v>594</v>
      </c>
      <c r="B149" s="606"/>
      <c r="C149" s="607"/>
      <c r="D149" s="607">
        <f>SUM(D147:D148)</f>
        <v>4.8276579756026328</v>
      </c>
      <c r="E149" s="607"/>
      <c r="F149" s="607">
        <f>SUM(F147:F148)</f>
        <v>4.8535956600601491</v>
      </c>
      <c r="G149" s="607"/>
      <c r="H149" s="607">
        <f>SUM(H147:H148)</f>
        <v>4.8798289306653313</v>
      </c>
      <c r="I149" s="607"/>
      <c r="J149" s="607">
        <f>SUM(J147:J148)</f>
        <v>4.9332026743173714</v>
      </c>
      <c r="K149" s="607"/>
      <c r="L149" s="607">
        <f>SUM(L147:L148)</f>
        <v>4.9878212866260183</v>
      </c>
      <c r="M149" s="608"/>
      <c r="N149" s="609"/>
    </row>
    <row r="150" spans="1:15" x14ac:dyDescent="0.2">
      <c r="A150" s="597"/>
    </row>
    <row r="151" spans="1:15" ht="14.25" customHeight="1" x14ac:dyDescent="0.2">
      <c r="A151" s="831" t="s">
        <v>595</v>
      </c>
      <c r="B151" s="831"/>
      <c r="C151" s="831" t="s">
        <v>583</v>
      </c>
      <c r="D151" s="831"/>
      <c r="E151" s="830" t="s">
        <v>584</v>
      </c>
      <c r="F151" s="830"/>
      <c r="G151" s="831" t="s">
        <v>585</v>
      </c>
      <c r="H151" s="831"/>
      <c r="I151" s="831" t="s">
        <v>586</v>
      </c>
      <c r="J151" s="831"/>
      <c r="K151" s="831" t="s">
        <v>587</v>
      </c>
      <c r="L151" s="831"/>
    </row>
    <row r="152" spans="1:15" ht="25.5" x14ac:dyDescent="0.2">
      <c r="A152" s="598" t="s">
        <v>588</v>
      </c>
      <c r="B152" s="599" t="s">
        <v>589</v>
      </c>
      <c r="C152" s="599" t="s">
        <v>590</v>
      </c>
      <c r="D152" s="599" t="s">
        <v>591</v>
      </c>
      <c r="E152" s="599" t="s">
        <v>590</v>
      </c>
      <c r="F152" s="599" t="s">
        <v>591</v>
      </c>
      <c r="G152" s="599" t="s">
        <v>590</v>
      </c>
      <c r="H152" s="599" t="s">
        <v>591</v>
      </c>
      <c r="I152" s="599" t="s">
        <v>590</v>
      </c>
      <c r="J152" s="599" t="s">
        <v>591</v>
      </c>
      <c r="K152" s="599" t="s">
        <v>590</v>
      </c>
      <c r="L152" s="599" t="s">
        <v>591</v>
      </c>
    </row>
    <row r="153" spans="1:15" x14ac:dyDescent="0.2">
      <c r="A153" s="600" t="s">
        <v>592</v>
      </c>
      <c r="B153" s="601">
        <f>1/'Prod. GEXCAN'!E18</f>
        <v>1.0204081632653062E-3</v>
      </c>
      <c r="C153" s="610">
        <f>C134</f>
        <v>5007.7139934073466</v>
      </c>
      <c r="D153" s="602">
        <f>B153*C153</f>
        <v>5.1099122381707627</v>
      </c>
      <c r="E153" s="610">
        <f>C135</f>
        <v>5036.0863106504476</v>
      </c>
      <c r="F153" s="602">
        <f>B153*E153</f>
        <v>5.1388635822963753</v>
      </c>
      <c r="G153" s="610">
        <f>C136</f>
        <v>5064.7819591441821</v>
      </c>
      <c r="H153" s="602">
        <f>B153*G153</f>
        <v>5.1681448562695742</v>
      </c>
      <c r="I153" s="610">
        <f>C137</f>
        <v>5123.1656128518962</v>
      </c>
      <c r="J153" s="602">
        <f>B153*I153</f>
        <v>5.2277200131141806</v>
      </c>
      <c r="K153" s="610">
        <f>C138</f>
        <v>5182.9109844303439</v>
      </c>
      <c r="L153" s="602">
        <f>B153*K153</f>
        <v>5.2886846779901475</v>
      </c>
    </row>
    <row r="154" spans="1:15" x14ac:dyDescent="0.2">
      <c r="A154" s="603" t="s">
        <v>593</v>
      </c>
      <c r="B154" s="601">
        <f>B153/'Prod. GEXCAN'!Q18</f>
        <v>5.6689342403628121E-5</v>
      </c>
      <c r="C154" s="602">
        <f>I136</f>
        <v>4403.9436385290155</v>
      </c>
      <c r="D154" s="602">
        <f>C154*B154</f>
        <v>0.24965666885085122</v>
      </c>
      <c r="E154" s="602">
        <f>I136</f>
        <v>4403.9436385290155</v>
      </c>
      <c r="F154" s="602">
        <f>B154*E154</f>
        <v>0.24965666885085122</v>
      </c>
      <c r="G154" s="602">
        <f>I136</f>
        <v>4403.9436385290155</v>
      </c>
      <c r="H154" s="602">
        <f>B154*G154</f>
        <v>0.24965666885085122</v>
      </c>
      <c r="I154" s="602">
        <f>I136</f>
        <v>4403.9436385290155</v>
      </c>
      <c r="J154" s="602">
        <f>B154*I154</f>
        <v>0.24965666885085122</v>
      </c>
      <c r="K154" s="602">
        <f>I136</f>
        <v>4403.9436385290155</v>
      </c>
      <c r="L154" s="602">
        <f>B154*K154</f>
        <v>0.24965666885085122</v>
      </c>
      <c r="M154" s="827"/>
      <c r="N154" s="827"/>
      <c r="O154" s="604"/>
    </row>
    <row r="155" spans="1:15" x14ac:dyDescent="0.2">
      <c r="A155" s="605" t="s">
        <v>594</v>
      </c>
      <c r="B155" s="606"/>
      <c r="C155" s="607"/>
      <c r="D155" s="607">
        <f>SUM(D153:D154)</f>
        <v>5.3595689070216137</v>
      </c>
      <c r="E155" s="607"/>
      <c r="F155" s="607">
        <f>SUM(F153:F154)</f>
        <v>5.3885202511472263</v>
      </c>
      <c r="G155" s="607"/>
      <c r="H155" s="607">
        <f>SUM(H153:H154)</f>
        <v>5.4178015251204252</v>
      </c>
      <c r="I155" s="607"/>
      <c r="J155" s="607">
        <f>SUM(J153:J154)</f>
        <v>5.4773766819650316</v>
      </c>
      <c r="K155" s="607"/>
      <c r="L155" s="607">
        <f>SUM(L153:L154)</f>
        <v>5.5383413468409985</v>
      </c>
      <c r="M155" s="608"/>
      <c r="N155" s="609"/>
    </row>
    <row r="156" spans="1:15" x14ac:dyDescent="0.2">
      <c r="A156" s="611"/>
      <c r="B156" s="612"/>
      <c r="C156" s="612"/>
      <c r="D156" s="612"/>
      <c r="E156" s="613"/>
      <c r="F156" s="613"/>
      <c r="G156" s="613"/>
      <c r="H156" s="613"/>
    </row>
    <row r="157" spans="1:15" ht="14.25" customHeight="1" x14ac:dyDescent="0.2">
      <c r="A157" s="830" t="s">
        <v>596</v>
      </c>
      <c r="B157" s="830"/>
      <c r="C157" s="830" t="s">
        <v>583</v>
      </c>
      <c r="D157" s="830"/>
      <c r="E157" s="830" t="s">
        <v>584</v>
      </c>
      <c r="F157" s="830"/>
      <c r="G157" s="830" t="s">
        <v>585</v>
      </c>
      <c r="H157" s="830"/>
      <c r="I157" s="830" t="s">
        <v>586</v>
      </c>
      <c r="J157" s="830"/>
      <c r="K157" s="830" t="s">
        <v>587</v>
      </c>
      <c r="L157" s="830"/>
    </row>
    <row r="158" spans="1:15" ht="25.5" x14ac:dyDescent="0.2">
      <c r="A158" s="598" t="s">
        <v>588</v>
      </c>
      <c r="B158" s="599" t="s">
        <v>597</v>
      </c>
      <c r="C158" s="599" t="s">
        <v>590</v>
      </c>
      <c r="D158" s="599" t="s">
        <v>591</v>
      </c>
      <c r="E158" s="599" t="s">
        <v>590</v>
      </c>
      <c r="F158" s="599" t="s">
        <v>591</v>
      </c>
      <c r="G158" s="599" t="s">
        <v>590</v>
      </c>
      <c r="H158" s="599" t="s">
        <v>591</v>
      </c>
      <c r="I158" s="599" t="s">
        <v>590</v>
      </c>
      <c r="J158" s="599" t="s">
        <v>591</v>
      </c>
      <c r="K158" s="599" t="s">
        <v>590</v>
      </c>
      <c r="L158" s="599" t="s">
        <v>591</v>
      </c>
    </row>
    <row r="159" spans="1:15" x14ac:dyDescent="0.2">
      <c r="A159" s="600" t="s">
        <v>592</v>
      </c>
      <c r="B159" s="614">
        <f>1/'Prod. GEXCAN'!F18</f>
        <v>4.0000000000000002E-4</v>
      </c>
      <c r="C159" s="615">
        <f>D134</f>
        <v>4486.4412806167456</v>
      </c>
      <c r="D159" s="602">
        <f>B159*C159</f>
        <v>1.7945765122466983</v>
      </c>
      <c r="E159" s="602">
        <f>D135</f>
        <v>4511.8602113851121</v>
      </c>
      <c r="F159" s="602">
        <f>B159*E159</f>
        <v>1.804744084554045</v>
      </c>
      <c r="G159" s="602">
        <f>D136</f>
        <v>4537.5688165781903</v>
      </c>
      <c r="H159" s="602">
        <f>B159*G159</f>
        <v>1.8150275266312763</v>
      </c>
      <c r="I159" s="602">
        <f>D137</f>
        <v>4589.8750853571892</v>
      </c>
      <c r="J159" s="602">
        <f>B159*I159</f>
        <v>1.8359500341428758</v>
      </c>
      <c r="K159" s="602">
        <f>D138</f>
        <v>4643.4013254196634</v>
      </c>
      <c r="L159" s="602">
        <f>B159*K159</f>
        <v>1.8573605301678655</v>
      </c>
    </row>
    <row r="160" spans="1:15" x14ac:dyDescent="0.2">
      <c r="A160" s="603" t="s">
        <v>593</v>
      </c>
      <c r="B160" s="601">
        <f>B159/'Prod. GEXCAN'!Q18</f>
        <v>2.2222222222222223E-5</v>
      </c>
      <c r="C160" s="602">
        <f>I136</f>
        <v>4403.9436385290155</v>
      </c>
      <c r="D160" s="602">
        <f>B160*C160</f>
        <v>9.7865414189533678E-2</v>
      </c>
      <c r="E160" s="602">
        <f>I136</f>
        <v>4403.9436385290155</v>
      </c>
      <c r="F160" s="602">
        <f>B160*E160</f>
        <v>9.7865414189533678E-2</v>
      </c>
      <c r="G160" s="602">
        <f>I136</f>
        <v>4403.9436385290155</v>
      </c>
      <c r="H160" s="602">
        <f>B160*G160</f>
        <v>9.7865414189533678E-2</v>
      </c>
      <c r="I160" s="602">
        <f>I136</f>
        <v>4403.9436385290155</v>
      </c>
      <c r="J160" s="602">
        <f>B160*I160</f>
        <v>9.7865414189533678E-2</v>
      </c>
      <c r="K160" s="602">
        <f>I136</f>
        <v>4403.9436385290155</v>
      </c>
      <c r="L160" s="602">
        <f>B160*K160</f>
        <v>9.7865414189533678E-2</v>
      </c>
    </row>
    <row r="161" spans="1:12" x14ac:dyDescent="0.2">
      <c r="A161" s="605" t="s">
        <v>598</v>
      </c>
      <c r="B161" s="606"/>
      <c r="C161" s="607"/>
      <c r="D161" s="607">
        <f>SUM(D159:D160)</f>
        <v>1.892441926436232</v>
      </c>
      <c r="E161" s="607"/>
      <c r="F161" s="607">
        <f>SUM(F159:F160)</f>
        <v>1.9026094987435787</v>
      </c>
      <c r="G161" s="607"/>
      <c r="H161" s="607">
        <f>SUM(H159:H160)</f>
        <v>1.91289294082081</v>
      </c>
      <c r="I161" s="607"/>
      <c r="J161" s="607">
        <f>SUM(J159:J160)</f>
        <v>1.9338154483324095</v>
      </c>
      <c r="K161" s="607"/>
      <c r="L161" s="607">
        <f>SUM(L159:L160)</f>
        <v>1.9552259443573992</v>
      </c>
    </row>
    <row r="162" spans="1:12" x14ac:dyDescent="0.2">
      <c r="A162" s="611"/>
      <c r="B162" s="616"/>
      <c r="C162" s="616"/>
      <c r="D162" s="616"/>
      <c r="E162" s="616"/>
      <c r="F162" s="616"/>
      <c r="G162" s="616"/>
      <c r="H162" s="616"/>
    </row>
    <row r="163" spans="1:12" ht="14.25" customHeight="1" x14ac:dyDescent="0.2">
      <c r="A163" s="830" t="s">
        <v>599</v>
      </c>
      <c r="B163" s="830"/>
      <c r="C163" s="830" t="s">
        <v>583</v>
      </c>
      <c r="D163" s="830"/>
      <c r="E163" s="830" t="s">
        <v>584</v>
      </c>
      <c r="F163" s="830"/>
      <c r="G163" s="830" t="s">
        <v>585</v>
      </c>
      <c r="H163" s="830"/>
      <c r="I163" s="830" t="s">
        <v>586</v>
      </c>
      <c r="J163" s="830"/>
      <c r="K163" s="830" t="s">
        <v>587</v>
      </c>
      <c r="L163" s="830"/>
    </row>
    <row r="164" spans="1:12" ht="25.5" x14ac:dyDescent="0.2">
      <c r="A164" s="598" t="s">
        <v>588</v>
      </c>
      <c r="B164" s="599" t="s">
        <v>597</v>
      </c>
      <c r="C164" s="599" t="s">
        <v>590</v>
      </c>
      <c r="D164" s="599" t="s">
        <v>591</v>
      </c>
      <c r="E164" s="599" t="s">
        <v>590</v>
      </c>
      <c r="F164" s="599" t="s">
        <v>591</v>
      </c>
      <c r="G164" s="599" t="s">
        <v>590</v>
      </c>
      <c r="H164" s="599" t="s">
        <v>591</v>
      </c>
      <c r="I164" s="599" t="s">
        <v>590</v>
      </c>
      <c r="J164" s="599" t="s">
        <v>591</v>
      </c>
      <c r="K164" s="599" t="s">
        <v>590</v>
      </c>
      <c r="L164" s="599" t="s">
        <v>591</v>
      </c>
    </row>
    <row r="165" spans="1:12" x14ac:dyDescent="0.2">
      <c r="A165" s="600" t="s">
        <v>592</v>
      </c>
      <c r="B165" s="614">
        <f>1/'Prod. GEXCAN'!G18</f>
        <v>6.6666666666666664E-4</v>
      </c>
      <c r="C165" s="615">
        <f>D134</f>
        <v>4486.4412806167456</v>
      </c>
      <c r="D165" s="602">
        <f>B165*C165</f>
        <v>2.9909608537444972</v>
      </c>
      <c r="E165" s="602">
        <f>D135</f>
        <v>4511.8602113851121</v>
      </c>
      <c r="F165" s="602">
        <f>B165*E165</f>
        <v>3.0079068075900746</v>
      </c>
      <c r="G165" s="602">
        <f>D136</f>
        <v>4537.5688165781903</v>
      </c>
      <c r="H165" s="602">
        <f>B165*G165</f>
        <v>3.0250458777187936</v>
      </c>
      <c r="I165" s="602">
        <f>D137</f>
        <v>4589.8750853571892</v>
      </c>
      <c r="J165" s="602">
        <f>B165*I165</f>
        <v>3.0599167235714595</v>
      </c>
      <c r="K165" s="602">
        <f>D138</f>
        <v>4643.4013254196634</v>
      </c>
      <c r="L165" s="602">
        <f>B165*K165</f>
        <v>3.095600883613109</v>
      </c>
    </row>
    <row r="166" spans="1:12" x14ac:dyDescent="0.2">
      <c r="A166" s="603" t="s">
        <v>593</v>
      </c>
      <c r="B166" s="601">
        <f>B165/'Prod. GEXCAN'!Q18</f>
        <v>3.7037037037037037E-5</v>
      </c>
      <c r="C166" s="602">
        <f>I136</f>
        <v>4403.9436385290155</v>
      </c>
      <c r="D166" s="602">
        <f>B166*C166</f>
        <v>0.16310902364922281</v>
      </c>
      <c r="E166" s="602">
        <f>I136</f>
        <v>4403.9436385290155</v>
      </c>
      <c r="F166" s="602">
        <f>B166*E166</f>
        <v>0.16310902364922281</v>
      </c>
      <c r="G166" s="602">
        <f>I136</f>
        <v>4403.9436385290155</v>
      </c>
      <c r="H166" s="602">
        <f>B166*G166</f>
        <v>0.16310902364922281</v>
      </c>
      <c r="I166" s="602">
        <f>I136</f>
        <v>4403.9436385290155</v>
      </c>
      <c r="J166" s="602">
        <f>B166*I166</f>
        <v>0.16310902364922281</v>
      </c>
      <c r="K166" s="602">
        <f>I136</f>
        <v>4403.9436385290155</v>
      </c>
      <c r="L166" s="602">
        <f>B166*K166</f>
        <v>0.16310902364922281</v>
      </c>
    </row>
    <row r="167" spans="1:12" x14ac:dyDescent="0.2">
      <c r="A167" s="605" t="s">
        <v>598</v>
      </c>
      <c r="B167" s="606"/>
      <c r="C167" s="607"/>
      <c r="D167" s="607">
        <f>SUM(D165:D166)</f>
        <v>3.1540698773937201</v>
      </c>
      <c r="E167" s="607"/>
      <c r="F167" s="607">
        <f>SUM(F165:F166)</f>
        <v>3.1710158312392975</v>
      </c>
      <c r="G167" s="607"/>
      <c r="H167" s="607">
        <f>SUM(H165:H166)</f>
        <v>3.1881549013680166</v>
      </c>
      <c r="I167" s="607"/>
      <c r="J167" s="607">
        <f>SUM(J165:J166)</f>
        <v>3.2230257472206825</v>
      </c>
      <c r="K167" s="607"/>
      <c r="L167" s="607">
        <f>SUM(L165:L166)</f>
        <v>3.258709907262332</v>
      </c>
    </row>
    <row r="168" spans="1:12" x14ac:dyDescent="0.2">
      <c r="A168" s="611"/>
      <c r="B168" s="616"/>
      <c r="C168" s="616"/>
      <c r="D168" s="616"/>
      <c r="E168" s="616"/>
      <c r="F168" s="616"/>
      <c r="G168" s="616"/>
      <c r="H168" s="616"/>
    </row>
    <row r="169" spans="1:12" ht="14.25" customHeight="1" x14ac:dyDescent="0.2">
      <c r="A169" s="830" t="s">
        <v>600</v>
      </c>
      <c r="B169" s="830"/>
      <c r="C169" s="830" t="s">
        <v>583</v>
      </c>
      <c r="D169" s="830"/>
      <c r="E169" s="830" t="s">
        <v>584</v>
      </c>
      <c r="F169" s="830"/>
      <c r="G169" s="830" t="s">
        <v>585</v>
      </c>
      <c r="H169" s="830"/>
      <c r="I169" s="830" t="s">
        <v>586</v>
      </c>
      <c r="J169" s="830"/>
      <c r="K169" s="830" t="s">
        <v>587</v>
      </c>
      <c r="L169" s="830"/>
    </row>
    <row r="170" spans="1:12" ht="25.5" x14ac:dyDescent="0.2">
      <c r="A170" s="598" t="s">
        <v>588</v>
      </c>
      <c r="B170" s="599" t="s">
        <v>597</v>
      </c>
      <c r="C170" s="599" t="s">
        <v>590</v>
      </c>
      <c r="D170" s="599" t="s">
        <v>591</v>
      </c>
      <c r="E170" s="599" t="s">
        <v>590</v>
      </c>
      <c r="F170" s="599" t="s">
        <v>591</v>
      </c>
      <c r="G170" s="599" t="s">
        <v>590</v>
      </c>
      <c r="H170" s="599" t="s">
        <v>591</v>
      </c>
      <c r="I170" s="599" t="s">
        <v>590</v>
      </c>
      <c r="J170" s="599" t="s">
        <v>591</v>
      </c>
      <c r="K170" s="599" t="s">
        <v>590</v>
      </c>
      <c r="L170" s="599" t="s">
        <v>591</v>
      </c>
    </row>
    <row r="171" spans="1:12" x14ac:dyDescent="0.2">
      <c r="A171" s="600" t="s">
        <v>592</v>
      </c>
      <c r="B171" s="614">
        <f>1/'Prod. GEXCAN'!H18</f>
        <v>4.0000000000000001E-3</v>
      </c>
      <c r="C171" s="610">
        <f>C134</f>
        <v>5007.7139934073466</v>
      </c>
      <c r="D171" s="602">
        <f>B171*C171</f>
        <v>20.030855973629386</v>
      </c>
      <c r="E171" s="610">
        <f>C135</f>
        <v>5036.0863106504476</v>
      </c>
      <c r="F171" s="602">
        <f>B171*E171</f>
        <v>20.144345242601791</v>
      </c>
      <c r="G171" s="610">
        <f>C136</f>
        <v>5064.7819591441821</v>
      </c>
      <c r="H171" s="602">
        <f>B171*G171</f>
        <v>20.259127836576727</v>
      </c>
      <c r="I171" s="610">
        <f>C137</f>
        <v>5123.1656128518962</v>
      </c>
      <c r="J171" s="602">
        <f>B171*I171</f>
        <v>20.492662451407586</v>
      </c>
      <c r="K171" s="610">
        <f>C138</f>
        <v>5182.9109844303439</v>
      </c>
      <c r="L171" s="602">
        <f>B171*K171</f>
        <v>20.731643937721376</v>
      </c>
    </row>
    <row r="172" spans="1:12" x14ac:dyDescent="0.2">
      <c r="A172" s="603" t="s">
        <v>593</v>
      </c>
      <c r="B172" s="601">
        <f>B171/'Prod. GEXCAN'!Q18</f>
        <v>2.2222222222222223E-4</v>
      </c>
      <c r="C172" s="602">
        <f>I136</f>
        <v>4403.9436385290155</v>
      </c>
      <c r="D172" s="602">
        <f>C172*B172</f>
        <v>0.97865414189533684</v>
      </c>
      <c r="E172" s="602">
        <f>I136</f>
        <v>4403.9436385290155</v>
      </c>
      <c r="F172" s="602">
        <f>B172*E172</f>
        <v>0.97865414189533684</v>
      </c>
      <c r="G172" s="602">
        <f>I136</f>
        <v>4403.9436385290155</v>
      </c>
      <c r="H172" s="602">
        <f>B172*G172</f>
        <v>0.97865414189533684</v>
      </c>
      <c r="I172" s="602">
        <f>I136</f>
        <v>4403.9436385290155</v>
      </c>
      <c r="J172" s="602">
        <f>B172*I172</f>
        <v>0.97865414189533684</v>
      </c>
      <c r="K172" s="602">
        <f>I136</f>
        <v>4403.9436385290155</v>
      </c>
      <c r="L172" s="602">
        <f>B172*K172</f>
        <v>0.97865414189533684</v>
      </c>
    </row>
    <row r="173" spans="1:12" x14ac:dyDescent="0.2">
      <c r="A173" s="605" t="s">
        <v>598</v>
      </c>
      <c r="B173" s="606"/>
      <c r="C173" s="607"/>
      <c r="D173" s="607">
        <f>SUM(D171:D172)</f>
        <v>21.009510115524723</v>
      </c>
      <c r="E173" s="607"/>
      <c r="F173" s="607">
        <f>SUM(F171:F172)</f>
        <v>21.122999384497128</v>
      </c>
      <c r="G173" s="607"/>
      <c r="H173" s="607">
        <f>SUM(H171:H172)</f>
        <v>21.237781978472064</v>
      </c>
      <c r="I173" s="607"/>
      <c r="J173" s="607">
        <f>SUM(J171:J172)</f>
        <v>21.471316593302923</v>
      </c>
      <c r="K173" s="607"/>
      <c r="L173" s="607">
        <f>SUM(L171:L172)</f>
        <v>21.710298079616713</v>
      </c>
    </row>
    <row r="174" spans="1:12" x14ac:dyDescent="0.2">
      <c r="A174" s="611"/>
      <c r="B174" s="617"/>
      <c r="C174" s="617"/>
      <c r="D174" s="617"/>
      <c r="E174" s="617"/>
      <c r="F174" s="617"/>
      <c r="G174" s="617"/>
      <c r="H174" s="617"/>
    </row>
    <row r="175" spans="1:12" ht="14.25" customHeight="1" x14ac:dyDescent="0.2">
      <c r="A175" s="828" t="s">
        <v>601</v>
      </c>
      <c r="B175" s="828"/>
      <c r="C175" s="828" t="s">
        <v>583</v>
      </c>
      <c r="D175" s="828"/>
      <c r="E175" s="828" t="s">
        <v>584</v>
      </c>
      <c r="F175" s="828"/>
      <c r="G175" s="828" t="s">
        <v>585</v>
      </c>
      <c r="H175" s="828"/>
      <c r="I175" s="828" t="s">
        <v>586</v>
      </c>
      <c r="J175" s="828"/>
      <c r="K175" s="828" t="s">
        <v>587</v>
      </c>
      <c r="L175" s="828"/>
    </row>
    <row r="176" spans="1:12" ht="25.5" x14ac:dyDescent="0.2">
      <c r="A176" s="598" t="s">
        <v>588</v>
      </c>
      <c r="B176" s="599" t="s">
        <v>597</v>
      </c>
      <c r="C176" s="599" t="s">
        <v>590</v>
      </c>
      <c r="D176" s="599" t="s">
        <v>591</v>
      </c>
      <c r="E176" s="599" t="s">
        <v>590</v>
      </c>
      <c r="F176" s="599" t="s">
        <v>591</v>
      </c>
      <c r="G176" s="599" t="s">
        <v>590</v>
      </c>
      <c r="H176" s="599" t="s">
        <v>591</v>
      </c>
      <c r="I176" s="599" t="s">
        <v>590</v>
      </c>
      <c r="J176" s="599" t="s">
        <v>591</v>
      </c>
      <c r="K176" s="599" t="s">
        <v>590</v>
      </c>
      <c r="L176" s="599" t="s">
        <v>591</v>
      </c>
    </row>
    <row r="177" spans="1:14" x14ac:dyDescent="0.2">
      <c r="A177" s="600" t="s">
        <v>602</v>
      </c>
      <c r="B177" s="614">
        <f>1/'Prod. GEXCAN'!I18</f>
        <v>4.7619047619047619E-4</v>
      </c>
      <c r="C177" s="602">
        <f>D134</f>
        <v>4486.4412806167456</v>
      </c>
      <c r="D177" s="602">
        <f>B177*C177</f>
        <v>2.1364006098174979</v>
      </c>
      <c r="E177" s="602">
        <f>D135</f>
        <v>4511.8602113851121</v>
      </c>
      <c r="F177" s="602">
        <f>B177*E177</f>
        <v>2.148504862564339</v>
      </c>
      <c r="G177" s="602">
        <f>D136</f>
        <v>4537.5688165781903</v>
      </c>
      <c r="H177" s="602">
        <f>B177*G177</f>
        <v>2.1607470555134238</v>
      </c>
      <c r="I177" s="602">
        <f>D137</f>
        <v>4589.8750853571892</v>
      </c>
      <c r="J177" s="602">
        <f>B177*I177</f>
        <v>2.1856548025510425</v>
      </c>
      <c r="K177" s="602">
        <f>D138</f>
        <v>4643.4013254196634</v>
      </c>
      <c r="L177" s="602">
        <f>B177*K177</f>
        <v>2.211143488295078</v>
      </c>
    </row>
    <row r="178" spans="1:14" x14ac:dyDescent="0.2">
      <c r="A178" s="603" t="s">
        <v>593</v>
      </c>
      <c r="B178" s="601">
        <f>B177/'Prod. GEXCAN'!Q18</f>
        <v>2.6455026455026456E-5</v>
      </c>
      <c r="C178" s="602">
        <f>I136</f>
        <v>4403.9436385290155</v>
      </c>
      <c r="D178" s="602">
        <f>B178*C178</f>
        <v>0.11650644546373057</v>
      </c>
      <c r="E178" s="602">
        <f>I136</f>
        <v>4403.9436385290155</v>
      </c>
      <c r="F178" s="602">
        <f>B178*E178</f>
        <v>0.11650644546373057</v>
      </c>
      <c r="G178" s="602">
        <f>I136</f>
        <v>4403.9436385290155</v>
      </c>
      <c r="H178" s="602">
        <f>B178*G178</f>
        <v>0.11650644546373057</v>
      </c>
      <c r="I178" s="602">
        <f>I136</f>
        <v>4403.9436385290155</v>
      </c>
      <c r="J178" s="602">
        <f>B178*I178</f>
        <v>0.11650644546373057</v>
      </c>
      <c r="K178" s="602">
        <f>I136</f>
        <v>4403.9436385290155</v>
      </c>
      <c r="L178" s="602">
        <f>B178*K178</f>
        <v>0.11650644546373057</v>
      </c>
      <c r="M178" s="827"/>
      <c r="N178" s="827"/>
    </row>
    <row r="179" spans="1:14" x14ac:dyDescent="0.2">
      <c r="A179" s="618" t="s">
        <v>603</v>
      </c>
      <c r="B179" s="619"/>
      <c r="C179" s="620"/>
      <c r="D179" s="621">
        <f>SUM(D177:D178)</f>
        <v>2.2529070552812285</v>
      </c>
      <c r="E179" s="620"/>
      <c r="F179" s="621">
        <f>SUM(F177:F178)</f>
        <v>2.2650113080280696</v>
      </c>
      <c r="G179" s="620"/>
      <c r="H179" s="621">
        <f>SUM(H177:H178)</f>
        <v>2.2772535009771544</v>
      </c>
      <c r="I179" s="620"/>
      <c r="J179" s="621">
        <f>SUM(J177:J178)</f>
        <v>2.3021612480147731</v>
      </c>
      <c r="K179" s="620"/>
      <c r="L179" s="621">
        <f>SUM(L177:L178)</f>
        <v>2.3276499337588086</v>
      </c>
      <c r="M179" s="608"/>
      <c r="N179" s="609"/>
    </row>
    <row r="180" spans="1:14" x14ac:dyDescent="0.2">
      <c r="A180" s="600" t="s">
        <v>604</v>
      </c>
      <c r="B180" s="614">
        <f>1/'Prod. GEXCAN'!J18</f>
        <v>1.0000000000000001E-5</v>
      </c>
      <c r="C180" s="602">
        <f>D134</f>
        <v>4486.4412806167456</v>
      </c>
      <c r="D180" s="602">
        <f>B180*C180</f>
        <v>4.4864412806167459E-2</v>
      </c>
      <c r="E180" s="602">
        <f>D135</f>
        <v>4511.8602113851121</v>
      </c>
      <c r="F180" s="602">
        <f>B180*E180</f>
        <v>4.5118602113851124E-2</v>
      </c>
      <c r="G180" s="602">
        <f>D136</f>
        <v>4537.5688165781903</v>
      </c>
      <c r="H180" s="602">
        <f>B180*G180</f>
        <v>4.5375688165781906E-2</v>
      </c>
      <c r="I180" s="602">
        <f>D137</f>
        <v>4589.8750853571892</v>
      </c>
      <c r="J180" s="602">
        <f>B180*I180</f>
        <v>4.5898750853571896E-2</v>
      </c>
      <c r="K180" s="602">
        <f>D138</f>
        <v>4643.4013254196634</v>
      </c>
      <c r="L180" s="602">
        <f>B180*K180</f>
        <v>4.6434013254196639E-2</v>
      </c>
    </row>
    <row r="181" spans="1:14" x14ac:dyDescent="0.2">
      <c r="A181" s="603" t="s">
        <v>593</v>
      </c>
      <c r="B181" s="601">
        <f>B180/'Prod. GEXCAN'!Q18</f>
        <v>5.5555555555555562E-7</v>
      </c>
      <c r="C181" s="602">
        <f>I136</f>
        <v>4403.9436385290155</v>
      </c>
      <c r="D181" s="602">
        <f>B181*C181</f>
        <v>2.4466353547383424E-3</v>
      </c>
      <c r="E181" s="602">
        <f>I136</f>
        <v>4403.9436385290155</v>
      </c>
      <c r="F181" s="602">
        <f>B181*E181</f>
        <v>2.4466353547383424E-3</v>
      </c>
      <c r="G181" s="602">
        <f>I136</f>
        <v>4403.9436385290155</v>
      </c>
      <c r="H181" s="602">
        <f>B181*G181</f>
        <v>2.4466353547383424E-3</v>
      </c>
      <c r="I181" s="602">
        <f>I136</f>
        <v>4403.9436385290155</v>
      </c>
      <c r="J181" s="602">
        <f>B181*I181</f>
        <v>2.4466353547383424E-3</v>
      </c>
      <c r="K181" s="602">
        <f>I136</f>
        <v>4403.9436385290155</v>
      </c>
      <c r="L181" s="602">
        <f>B181*K181</f>
        <v>2.4466353547383424E-3</v>
      </c>
    </row>
    <row r="182" spans="1:14" x14ac:dyDescent="0.2">
      <c r="A182" s="618" t="s">
        <v>605</v>
      </c>
      <c r="B182" s="622"/>
      <c r="C182" s="620"/>
      <c r="D182" s="621">
        <f>SUM(D180:D181)</f>
        <v>4.7311048160905804E-2</v>
      </c>
      <c r="E182" s="620"/>
      <c r="F182" s="621">
        <f>SUM(F180:F181)</f>
        <v>4.7565237468589469E-2</v>
      </c>
      <c r="G182" s="620"/>
      <c r="H182" s="621">
        <f>SUM(H180:H181)</f>
        <v>4.7822323520520252E-2</v>
      </c>
      <c r="I182" s="620"/>
      <c r="J182" s="621">
        <f>SUM(J180:J181)</f>
        <v>4.8345386208310241E-2</v>
      </c>
      <c r="K182" s="620"/>
      <c r="L182" s="621">
        <f>SUM(L180:L181)</f>
        <v>4.8880648608934985E-2</v>
      </c>
    </row>
    <row r="183" spans="1:14" x14ac:dyDescent="0.2">
      <c r="A183" s="600" t="s">
        <v>606</v>
      </c>
      <c r="B183" s="614">
        <f>1/'Prod. GEXCAN'!K18</f>
        <v>1.3333333333333334E-4</v>
      </c>
      <c r="C183" s="602">
        <f>D134</f>
        <v>4486.4412806167456</v>
      </c>
      <c r="D183" s="602">
        <f>B183*C183</f>
        <v>0.59819217074889941</v>
      </c>
      <c r="E183" s="602">
        <f>D135</f>
        <v>4511.8602113851121</v>
      </c>
      <c r="F183" s="602">
        <f>B183*E183</f>
        <v>0.601581361518015</v>
      </c>
      <c r="G183" s="602">
        <f>D136</f>
        <v>4537.5688165781903</v>
      </c>
      <c r="H183" s="602">
        <f>B183*G183</f>
        <v>0.60500917554375877</v>
      </c>
      <c r="I183" s="602">
        <f>D137</f>
        <v>4589.8750853571892</v>
      </c>
      <c r="J183" s="602">
        <f>B183*I183</f>
        <v>0.61198334471429194</v>
      </c>
      <c r="K183" s="602">
        <f>D138</f>
        <v>4643.4013254196634</v>
      </c>
      <c r="L183" s="602">
        <f>B183*K183</f>
        <v>0.61912017672262176</v>
      </c>
    </row>
    <row r="184" spans="1:14" x14ac:dyDescent="0.2">
      <c r="A184" s="603" t="s">
        <v>593</v>
      </c>
      <c r="B184" s="601">
        <f>B183/'Prod. GEXCAN'!Q18</f>
        <v>7.4074074074074075E-6</v>
      </c>
      <c r="C184" s="602">
        <f>I136</f>
        <v>4403.9436385290155</v>
      </c>
      <c r="D184" s="602">
        <f>B184*C184</f>
        <v>3.2621804729844557E-2</v>
      </c>
      <c r="E184" s="602">
        <f>I136</f>
        <v>4403.9436385290155</v>
      </c>
      <c r="F184" s="602">
        <f>B184*E184</f>
        <v>3.2621804729844557E-2</v>
      </c>
      <c r="G184" s="602">
        <f>I136</f>
        <v>4403.9436385290155</v>
      </c>
      <c r="H184" s="602">
        <f>B184*G184</f>
        <v>3.2621804729844557E-2</v>
      </c>
      <c r="I184" s="602">
        <f>I136</f>
        <v>4403.9436385290155</v>
      </c>
      <c r="J184" s="602">
        <f>B184*I184</f>
        <v>3.2621804729844557E-2</v>
      </c>
      <c r="K184" s="602">
        <f>I136</f>
        <v>4403.9436385290155</v>
      </c>
      <c r="L184" s="602">
        <f>B184*K184</f>
        <v>3.2621804729844557E-2</v>
      </c>
    </row>
    <row r="185" spans="1:14" x14ac:dyDescent="0.2">
      <c r="A185" s="618" t="s">
        <v>607</v>
      </c>
      <c r="B185" s="622"/>
      <c r="C185" s="620"/>
      <c r="D185" s="621">
        <f>SUM(D183:D184)</f>
        <v>0.63081397547874396</v>
      </c>
      <c r="E185" s="620"/>
      <c r="F185" s="621">
        <f>SUM(F183:F184)</f>
        <v>0.63420316624785955</v>
      </c>
      <c r="G185" s="620"/>
      <c r="H185" s="621">
        <f>SUM(H183:H184)</f>
        <v>0.63763098027360332</v>
      </c>
      <c r="I185" s="620"/>
      <c r="J185" s="621">
        <f>SUM(J183:J184)</f>
        <v>0.64460514944413649</v>
      </c>
      <c r="K185" s="620"/>
      <c r="L185" s="621">
        <f>SUM(L183:L184)</f>
        <v>0.65174198145246631</v>
      </c>
    </row>
    <row r="186" spans="1:14" x14ac:dyDescent="0.2">
      <c r="A186" s="611"/>
      <c r="B186" s="616"/>
      <c r="C186" s="616"/>
      <c r="D186" s="616"/>
      <c r="E186" s="616"/>
      <c r="F186" s="616"/>
      <c r="G186" s="616"/>
      <c r="H186" s="616"/>
    </row>
    <row r="187" spans="1:14" ht="14.25" customHeight="1" x14ac:dyDescent="0.2">
      <c r="A187" s="829" t="s">
        <v>608</v>
      </c>
      <c r="B187" s="829"/>
      <c r="C187" s="829" t="s">
        <v>583</v>
      </c>
      <c r="D187" s="829"/>
      <c r="E187" s="829" t="s">
        <v>584</v>
      </c>
      <c r="F187" s="829"/>
      <c r="G187" s="829" t="s">
        <v>585</v>
      </c>
      <c r="H187" s="829"/>
      <c r="I187" s="829" t="s">
        <v>586</v>
      </c>
      <c r="J187" s="829"/>
      <c r="K187" s="829" t="s">
        <v>587</v>
      </c>
      <c r="L187" s="829"/>
    </row>
    <row r="188" spans="1:14" ht="25.5" x14ac:dyDescent="0.2">
      <c r="A188" s="598" t="s">
        <v>588</v>
      </c>
      <c r="B188" s="599" t="s">
        <v>597</v>
      </c>
      <c r="C188" s="599" t="s">
        <v>590</v>
      </c>
      <c r="D188" s="599" t="s">
        <v>591</v>
      </c>
      <c r="E188" s="599" t="s">
        <v>590</v>
      </c>
      <c r="F188" s="599" t="s">
        <v>591</v>
      </c>
      <c r="G188" s="599" t="s">
        <v>590</v>
      </c>
      <c r="H188" s="599" t="s">
        <v>591</v>
      </c>
      <c r="I188" s="599" t="s">
        <v>590</v>
      </c>
      <c r="J188" s="599" t="s">
        <v>591</v>
      </c>
      <c r="K188" s="599" t="s">
        <v>590</v>
      </c>
      <c r="L188" s="599" t="s">
        <v>591</v>
      </c>
    </row>
    <row r="189" spans="1:14" x14ac:dyDescent="0.2">
      <c r="A189" s="623" t="s">
        <v>609</v>
      </c>
      <c r="B189" s="614">
        <f>(1/'Prod. GEXCAN'!L18)*(1/(30/7*44*6))*8</f>
        <v>4.4191919191919199E-5</v>
      </c>
      <c r="C189" s="624">
        <f>H134</f>
        <v>4753.6751316672025</v>
      </c>
      <c r="D189" s="602">
        <f>B189*C189</f>
        <v>0.21007402728327287</v>
      </c>
      <c r="E189" s="624">
        <f>H135</f>
        <v>4780.6081352460533</v>
      </c>
      <c r="F189" s="602">
        <f>B189*E189</f>
        <v>0.21126424840102512</v>
      </c>
      <c r="G189" s="624">
        <f>H136</f>
        <v>4807.848067640618</v>
      </c>
      <c r="H189" s="602">
        <f>B189*G189</f>
        <v>0.21246803329219907</v>
      </c>
      <c r="I189" s="624">
        <f>H137</f>
        <v>4863.2699473828734</v>
      </c>
      <c r="J189" s="602">
        <f>B189*I189</f>
        <v>0.21491723252323308</v>
      </c>
      <c r="K189" s="624">
        <f>H138</f>
        <v>4919.9844657197</v>
      </c>
      <c r="L189" s="602">
        <f>B189*K189</f>
        <v>0.21742355593458274</v>
      </c>
    </row>
    <row r="190" spans="1:14" x14ac:dyDescent="0.2">
      <c r="A190" s="603" t="s">
        <v>593</v>
      </c>
      <c r="B190" s="614">
        <f>B189/4</f>
        <v>1.10479797979798E-5</v>
      </c>
      <c r="C190" s="602">
        <f>I136</f>
        <v>4403.9436385290155</v>
      </c>
      <c r="D190" s="602">
        <f>B190*C190</f>
        <v>4.8654680349910218E-2</v>
      </c>
      <c r="E190" s="602">
        <f>I136</f>
        <v>4403.9436385290155</v>
      </c>
      <c r="F190" s="602">
        <f>B190*E190</f>
        <v>4.8654680349910218E-2</v>
      </c>
      <c r="G190" s="602">
        <f>I136</f>
        <v>4403.9436385290155</v>
      </c>
      <c r="H190" s="602">
        <f>B190*G190</f>
        <v>4.8654680349910218E-2</v>
      </c>
      <c r="I190" s="602">
        <f>I136</f>
        <v>4403.9436385290155</v>
      </c>
      <c r="J190" s="602">
        <f>B190*I190</f>
        <v>4.8654680349910218E-2</v>
      </c>
      <c r="K190" s="602">
        <f>I136</f>
        <v>4403.9436385290155</v>
      </c>
      <c r="L190" s="602">
        <f>B190*K190</f>
        <v>4.8654680349910218E-2</v>
      </c>
      <c r="M190" s="827"/>
      <c r="N190" s="827"/>
    </row>
    <row r="191" spans="1:14" x14ac:dyDescent="0.2">
      <c r="A191" s="625" t="s">
        <v>610</v>
      </c>
      <c r="B191" s="626"/>
      <c r="C191" s="627"/>
      <c r="D191" s="628">
        <f>SUM(D189:D190)</f>
        <v>0.25872870763318312</v>
      </c>
      <c r="E191" s="627"/>
      <c r="F191" s="628">
        <f>SUM(F189:F190)</f>
        <v>0.25991892875093536</v>
      </c>
      <c r="G191" s="627"/>
      <c r="H191" s="628">
        <f>SUM(H189:H190)</f>
        <v>0.26112271364210926</v>
      </c>
      <c r="I191" s="627"/>
      <c r="J191" s="628">
        <f>SUM(J189:J190)</f>
        <v>0.2635719128731433</v>
      </c>
      <c r="K191" s="627"/>
      <c r="L191" s="628">
        <f>SUM(L189:L190)</f>
        <v>0.26607823628449295</v>
      </c>
      <c r="M191" s="608"/>
      <c r="N191" s="609"/>
    </row>
    <row r="192" spans="1:14" x14ac:dyDescent="0.2">
      <c r="A192" s="623" t="s">
        <v>611</v>
      </c>
      <c r="B192" s="614">
        <f>1/'Prod. GEXCAN'!M18*16*(1/188.76)</f>
        <v>2.2306242401936183E-4</v>
      </c>
      <c r="C192" s="602">
        <f>D134</f>
        <v>4486.4412806167456</v>
      </c>
      <c r="D192" s="602">
        <f>B192*C192</f>
        <v>1.0007564672749012</v>
      </c>
      <c r="E192" s="602">
        <f>D135</f>
        <v>4511.8602113851121</v>
      </c>
      <c r="F192" s="602">
        <f>B192*E192</f>
        <v>1.0064264755880734</v>
      </c>
      <c r="G192" s="602">
        <f>D136</f>
        <v>4537.5688165781903</v>
      </c>
      <c r="H192" s="602">
        <f>B192*G192</f>
        <v>1.0121610993805981</v>
      </c>
      <c r="I192" s="602">
        <f>D137</f>
        <v>4589.8750853571892</v>
      </c>
      <c r="J192" s="602">
        <f>B192*I192</f>
        <v>1.0238286624858499</v>
      </c>
      <c r="K192" s="602">
        <f>D138</f>
        <v>4643.4013254196634</v>
      </c>
      <c r="L192" s="602">
        <f>B192*K192</f>
        <v>1.0357683553428276</v>
      </c>
    </row>
    <row r="193" spans="1:14" x14ac:dyDescent="0.2">
      <c r="A193" s="603" t="s">
        <v>593</v>
      </c>
      <c r="B193" s="614">
        <f>1/('Prod. GEXCAN'!Q18*'Prod. GEXCAN'!M18)*16*(1/188.76)</f>
        <v>1.2392356889964548E-5</v>
      </c>
      <c r="C193" s="602">
        <f>I136</f>
        <v>4403.9436385290155</v>
      </c>
      <c r="D193" s="602">
        <f>B193*C193</f>
        <v>5.4575241291940586E-2</v>
      </c>
      <c r="E193" s="602">
        <f>I136</f>
        <v>4403.9436385290155</v>
      </c>
      <c r="F193" s="602">
        <f>B193*E193</f>
        <v>5.4575241291940586E-2</v>
      </c>
      <c r="G193" s="602">
        <f>I136</f>
        <v>4403.9436385290155</v>
      </c>
      <c r="H193" s="602">
        <f>B193*G193</f>
        <v>5.4575241291940586E-2</v>
      </c>
      <c r="I193" s="602">
        <f>I136</f>
        <v>4403.9436385290155</v>
      </c>
      <c r="J193" s="602">
        <f>B193*I193</f>
        <v>5.4575241291940586E-2</v>
      </c>
      <c r="K193" s="602">
        <f>I136</f>
        <v>4403.9436385290155</v>
      </c>
      <c r="L193" s="602">
        <f>B193*K193</f>
        <v>5.4575241291940586E-2</v>
      </c>
      <c r="M193" s="827"/>
      <c r="N193" s="827"/>
    </row>
    <row r="194" spans="1:14" x14ac:dyDescent="0.2">
      <c r="A194" s="625" t="s">
        <v>612</v>
      </c>
      <c r="B194" s="626"/>
      <c r="C194" s="627"/>
      <c r="D194" s="628">
        <f>SUM(D192:D193)</f>
        <v>1.0553317085668419</v>
      </c>
      <c r="E194" s="627"/>
      <c r="F194" s="628">
        <f>SUM(F192:F193)</f>
        <v>1.0610017168800141</v>
      </c>
      <c r="G194" s="627"/>
      <c r="H194" s="628">
        <f>SUM(H192:H193)</f>
        <v>1.0667363406725388</v>
      </c>
      <c r="I194" s="627"/>
      <c r="J194" s="628">
        <f>SUM(J192:J193)</f>
        <v>1.0784039037777906</v>
      </c>
      <c r="K194" s="627"/>
      <c r="L194" s="628">
        <f>SUM(L192:L193)</f>
        <v>1.0903435966347683</v>
      </c>
      <c r="M194" s="608"/>
      <c r="N194" s="609"/>
    </row>
    <row r="195" spans="1:14" x14ac:dyDescent="0.2">
      <c r="A195" s="600" t="s">
        <v>613</v>
      </c>
      <c r="B195" s="614">
        <f>1/'Prod. GEXCAN'!N18*16*(1/188.76)</f>
        <v>2.2306242401936183E-4</v>
      </c>
      <c r="C195" s="602">
        <f>D134</f>
        <v>4486.4412806167456</v>
      </c>
      <c r="D195" s="602">
        <f>B195*C195</f>
        <v>1.0007564672749012</v>
      </c>
      <c r="E195" s="602">
        <f>D135</f>
        <v>4511.8602113851121</v>
      </c>
      <c r="F195" s="602">
        <f>B195*E195</f>
        <v>1.0064264755880734</v>
      </c>
      <c r="G195" s="602">
        <f>D136</f>
        <v>4537.5688165781903</v>
      </c>
      <c r="H195" s="602">
        <f>B195*G195</f>
        <v>1.0121610993805981</v>
      </c>
      <c r="I195" s="602">
        <f>D137</f>
        <v>4589.8750853571892</v>
      </c>
      <c r="J195" s="602">
        <f>B195*I195</f>
        <v>1.0238286624858499</v>
      </c>
      <c r="K195" s="602">
        <f>D138</f>
        <v>4643.4013254196634</v>
      </c>
      <c r="L195" s="602">
        <f>B195*K195</f>
        <v>1.0357683553428276</v>
      </c>
    </row>
    <row r="196" spans="1:14" x14ac:dyDescent="0.2">
      <c r="A196" s="603" t="s">
        <v>593</v>
      </c>
      <c r="B196" s="614">
        <f>1/('Prod. GEXCAN'!Q18*'Prod. GEXCAN'!N18)*16*(1/188.76)</f>
        <v>1.2392356889964548E-5</v>
      </c>
      <c r="C196" s="602">
        <f>I136</f>
        <v>4403.9436385290155</v>
      </c>
      <c r="D196" s="602">
        <f>B196*C196</f>
        <v>5.4575241291940586E-2</v>
      </c>
      <c r="E196" s="602">
        <f>I136</f>
        <v>4403.9436385290155</v>
      </c>
      <c r="F196" s="602">
        <f>B196*E196</f>
        <v>5.4575241291940586E-2</v>
      </c>
      <c r="G196" s="602">
        <f>I136</f>
        <v>4403.9436385290155</v>
      </c>
      <c r="H196" s="602">
        <f>B196*G196</f>
        <v>5.4575241291940586E-2</v>
      </c>
      <c r="I196" s="602">
        <f>I136</f>
        <v>4403.9436385290155</v>
      </c>
      <c r="J196" s="602">
        <f>B196*I196</f>
        <v>5.4575241291940586E-2</v>
      </c>
      <c r="K196" s="602">
        <f>I136</f>
        <v>4403.9436385290155</v>
      </c>
      <c r="L196" s="602">
        <f>B196*K196</f>
        <v>5.4575241291940586E-2</v>
      </c>
      <c r="M196" s="827"/>
      <c r="N196" s="827"/>
    </row>
    <row r="197" spans="1:14" x14ac:dyDescent="0.2">
      <c r="A197" s="625" t="s">
        <v>614</v>
      </c>
      <c r="B197" s="626"/>
      <c r="C197" s="627"/>
      <c r="D197" s="628">
        <f>SUM(D195:D196)</f>
        <v>1.0553317085668419</v>
      </c>
      <c r="E197" s="627"/>
      <c r="F197" s="628">
        <f>SUM(F195:F196)</f>
        <v>1.0610017168800141</v>
      </c>
      <c r="G197" s="627"/>
      <c r="H197" s="628">
        <f>SUM(H195:H196)</f>
        <v>1.0667363406725388</v>
      </c>
      <c r="I197" s="627"/>
      <c r="J197" s="628">
        <f>SUM(J195:J196)</f>
        <v>1.0784039037777906</v>
      </c>
      <c r="K197" s="627"/>
      <c r="L197" s="628">
        <f>SUM(L195:L196)</f>
        <v>1.0903435966347683</v>
      </c>
      <c r="M197" s="608"/>
      <c r="N197" s="609"/>
    </row>
    <row r="198" spans="1:14" x14ac:dyDescent="0.2">
      <c r="A198" s="597"/>
    </row>
  </sheetData>
  <mergeCells count="86">
    <mergeCell ref="A1:I1"/>
    <mergeCell ref="A2:I2"/>
    <mergeCell ref="A3:I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A9:I9"/>
    <mergeCell ref="A11:I11"/>
    <mergeCell ref="A20:B20"/>
    <mergeCell ref="A21:I21"/>
    <mergeCell ref="A50:I50"/>
    <mergeCell ref="A51:I51"/>
    <mergeCell ref="A61:I61"/>
    <mergeCell ref="A62:I62"/>
    <mergeCell ref="A92:B92"/>
    <mergeCell ref="A112:A116"/>
    <mergeCell ref="A119:I119"/>
    <mergeCell ref="A120:I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45:B145"/>
    <mergeCell ref="C145:D145"/>
    <mergeCell ref="E145:F145"/>
    <mergeCell ref="G145:H145"/>
    <mergeCell ref="I145:J145"/>
    <mergeCell ref="K145:L145"/>
    <mergeCell ref="M148:N148"/>
    <mergeCell ref="A151:B151"/>
    <mergeCell ref="C151:D151"/>
    <mergeCell ref="E151:F151"/>
    <mergeCell ref="G151:H151"/>
    <mergeCell ref="I151:J151"/>
    <mergeCell ref="K151:L151"/>
    <mergeCell ref="M154:N154"/>
    <mergeCell ref="A157:B157"/>
    <mergeCell ref="C157:D157"/>
    <mergeCell ref="E157:F157"/>
    <mergeCell ref="G157:H157"/>
    <mergeCell ref="I157:J157"/>
    <mergeCell ref="K157:L157"/>
    <mergeCell ref="K163:L163"/>
    <mergeCell ref="A169:B169"/>
    <mergeCell ref="C169:D169"/>
    <mergeCell ref="E169:F169"/>
    <mergeCell ref="G169:H169"/>
    <mergeCell ref="I169:J169"/>
    <mergeCell ref="K169:L169"/>
    <mergeCell ref="A163:B163"/>
    <mergeCell ref="C163:D163"/>
    <mergeCell ref="E163:F163"/>
    <mergeCell ref="G163:H163"/>
    <mergeCell ref="I163:J163"/>
    <mergeCell ref="A175:B175"/>
    <mergeCell ref="C175:D175"/>
    <mergeCell ref="E175:F175"/>
    <mergeCell ref="G175:H175"/>
    <mergeCell ref="I175:J175"/>
    <mergeCell ref="A187:B187"/>
    <mergeCell ref="C187:D187"/>
    <mergeCell ref="E187:F187"/>
    <mergeCell ref="G187:H187"/>
    <mergeCell ref="I187:J187"/>
    <mergeCell ref="M190:N190"/>
    <mergeCell ref="M193:N193"/>
    <mergeCell ref="M196:N196"/>
    <mergeCell ref="K175:L175"/>
    <mergeCell ref="M178:N178"/>
    <mergeCell ref="K187:L18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F139"/>
  <sheetViews>
    <sheetView zoomScale="75" zoomScaleNormal="75" workbookViewId="0">
      <pane ySplit="10" topLeftCell="A11" activePane="bottomLeft" state="frozen"/>
      <selection pane="bottomLeft" activeCell="B130" sqref="B130"/>
    </sheetView>
  </sheetViews>
  <sheetFormatPr defaultRowHeight="14.25" x14ac:dyDescent="0.2"/>
  <cols>
    <col min="1" max="1" width="55.5" style="429" customWidth="1"/>
    <col min="2" max="5" width="14" style="429" customWidth="1"/>
    <col min="6" max="1020" width="9" style="429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30"/>
      <c r="B4" s="431"/>
      <c r="C4" s="432" t="s">
        <v>467</v>
      </c>
      <c r="D4" s="435" t="s">
        <v>468</v>
      </c>
      <c r="E4" s="435" t="s">
        <v>469</v>
      </c>
    </row>
    <row r="5" spans="1:5" x14ac:dyDescent="0.2">
      <c r="A5" s="436"/>
      <c r="B5" s="437" t="s">
        <v>472</v>
      </c>
      <c r="C5" s="438">
        <f>MC!$D11</f>
        <v>1194.6272727272726</v>
      </c>
      <c r="D5" s="438">
        <f>MC!$E11</f>
        <v>895.97045454545446</v>
      </c>
      <c r="E5" s="440">
        <f>MC!$F11</f>
        <v>597.31363636363631</v>
      </c>
    </row>
    <row r="6" spans="1:5" x14ac:dyDescent="0.2">
      <c r="A6" s="436"/>
      <c r="B6" s="437" t="s">
        <v>473</v>
      </c>
      <c r="C6" s="441">
        <f>MC!$E8</f>
        <v>44562</v>
      </c>
      <c r="D6" s="441">
        <f>MC!$E8</f>
        <v>44562</v>
      </c>
      <c r="E6" s="443">
        <f>MC!$E8</f>
        <v>44562</v>
      </c>
    </row>
    <row r="7" spans="1:5" x14ac:dyDescent="0.2">
      <c r="A7" s="436"/>
      <c r="B7" s="437" t="s">
        <v>474</v>
      </c>
      <c r="C7" s="441" t="str">
        <f>MC!$C8</f>
        <v>RS005021/2021</v>
      </c>
      <c r="D7" s="441" t="str">
        <f>MC!$C8</f>
        <v>RS005021/2021</v>
      </c>
      <c r="E7" s="443" t="str">
        <f>MC!$C8</f>
        <v>RS005021/2021</v>
      </c>
    </row>
    <row r="8" spans="1:5" x14ac:dyDescent="0.2">
      <c r="A8" s="436"/>
      <c r="B8" s="437" t="s">
        <v>475</v>
      </c>
      <c r="C8" s="444" t="str">
        <f>MC!$F8</f>
        <v>5143-20</v>
      </c>
      <c r="D8" s="444" t="str">
        <f>MC!$F8</f>
        <v>5143-20</v>
      </c>
      <c r="E8" s="446" t="str">
        <f>MC!$F8</f>
        <v>5143-20</v>
      </c>
    </row>
    <row r="9" spans="1:5" x14ac:dyDescent="0.2">
      <c r="A9" s="840"/>
      <c r="B9" s="840"/>
      <c r="C9" s="840"/>
      <c r="D9" s="840"/>
      <c r="E9" s="840"/>
    </row>
    <row r="10" spans="1:5" ht="66.75" customHeight="1" x14ac:dyDescent="0.2">
      <c r="A10" s="447" t="s">
        <v>476</v>
      </c>
      <c r="B10" s="448" t="s">
        <v>477</v>
      </c>
      <c r="C10" s="448" t="s">
        <v>615</v>
      </c>
      <c r="D10" s="629" t="s">
        <v>616</v>
      </c>
      <c r="E10" s="630" t="s">
        <v>617</v>
      </c>
    </row>
    <row r="11" spans="1:5" ht="14.25" customHeight="1" x14ac:dyDescent="0.2">
      <c r="A11" s="842" t="s">
        <v>485</v>
      </c>
      <c r="B11" s="842"/>
      <c r="C11" s="842"/>
      <c r="D11" s="842"/>
      <c r="E11" s="842"/>
    </row>
    <row r="12" spans="1:5" ht="14.25" customHeight="1" x14ac:dyDescent="0.2">
      <c r="A12" s="452" t="s">
        <v>486</v>
      </c>
      <c r="B12" s="453" t="s">
        <v>487</v>
      </c>
      <c r="C12" s="453" t="s">
        <v>488</v>
      </c>
      <c r="D12" s="631" t="s">
        <v>488</v>
      </c>
      <c r="E12" s="632" t="s">
        <v>488</v>
      </c>
    </row>
    <row r="13" spans="1:5" ht="14.25" customHeight="1" x14ac:dyDescent="0.2">
      <c r="A13" s="455" t="s">
        <v>489</v>
      </c>
      <c r="B13" s="456"/>
      <c r="C13" s="457">
        <f>C5</f>
        <v>1194.6272727272726</v>
      </c>
      <c r="D13" s="457">
        <f>D5</f>
        <v>895.97045454545446</v>
      </c>
      <c r="E13" s="459">
        <f>E5</f>
        <v>597.31363636363631</v>
      </c>
    </row>
    <row r="14" spans="1:5" ht="14.25" customHeight="1" x14ac:dyDescent="0.2">
      <c r="A14" s="455" t="s">
        <v>490</v>
      </c>
      <c r="B14" s="479">
        <v>0.2</v>
      </c>
      <c r="C14" s="457">
        <f>C13*$B$14</f>
        <v>238.92545454545453</v>
      </c>
      <c r="D14" s="633">
        <f>D13*$B$14</f>
        <v>179.1940909090909</v>
      </c>
      <c r="E14" s="634">
        <f>E13*$B$14</f>
        <v>119.46272727272726</v>
      </c>
    </row>
    <row r="15" spans="1:5" ht="14.25" customHeight="1" x14ac:dyDescent="0.2">
      <c r="A15" s="455" t="s">
        <v>492</v>
      </c>
      <c r="B15" s="463"/>
      <c r="C15" s="457"/>
      <c r="D15" s="635"/>
      <c r="E15" s="459"/>
    </row>
    <row r="16" spans="1:5" ht="14.25" customHeight="1" x14ac:dyDescent="0.2">
      <c r="A16" s="455" t="s">
        <v>493</v>
      </c>
      <c r="B16" s="463"/>
      <c r="C16" s="457"/>
      <c r="D16" s="635"/>
      <c r="E16" s="459"/>
    </row>
    <row r="17" spans="1:5" ht="14.25" customHeight="1" x14ac:dyDescent="0.2">
      <c r="A17" s="455" t="s">
        <v>494</v>
      </c>
      <c r="B17" s="463"/>
      <c r="C17" s="457"/>
      <c r="D17" s="635"/>
      <c r="E17" s="459"/>
    </row>
    <row r="18" spans="1:5" ht="14.25" customHeight="1" x14ac:dyDescent="0.2">
      <c r="A18" s="455" t="s">
        <v>495</v>
      </c>
      <c r="B18" s="465"/>
      <c r="C18" s="457"/>
      <c r="D18" s="635"/>
      <c r="E18" s="459"/>
    </row>
    <row r="19" spans="1:5" ht="14.25" customHeight="1" x14ac:dyDescent="0.2">
      <c r="A19" s="466" t="s">
        <v>496</v>
      </c>
      <c r="B19" s="467"/>
      <c r="C19" s="481">
        <f>SUM(C13:C18)</f>
        <v>1433.5527272727272</v>
      </c>
      <c r="D19" s="636">
        <f>SUM(D13:D18)</f>
        <v>1075.1645454545453</v>
      </c>
      <c r="E19" s="637">
        <f>SUM(E13:E18)</f>
        <v>716.77636363636361</v>
      </c>
    </row>
    <row r="20" spans="1:5" ht="14.25" customHeight="1" x14ac:dyDescent="0.2">
      <c r="A20" s="843"/>
      <c r="B20" s="843"/>
      <c r="C20" s="843"/>
      <c r="D20" s="843"/>
      <c r="E20" s="843"/>
    </row>
    <row r="21" spans="1:5" ht="14.25" customHeight="1" x14ac:dyDescent="0.2">
      <c r="A21" s="854" t="s">
        <v>497</v>
      </c>
      <c r="B21" s="854"/>
      <c r="C21" s="854"/>
      <c r="D21" s="854"/>
      <c r="E21" s="854"/>
    </row>
    <row r="22" spans="1:5" ht="14.2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7" t="s">
        <v>488</v>
      </c>
    </row>
    <row r="23" spans="1:5" ht="14.25" customHeight="1" x14ac:dyDescent="0.2">
      <c r="A23" s="478" t="s">
        <v>499</v>
      </c>
      <c r="B23" s="479">
        <f>1/12</f>
        <v>8.3333333333333329E-2</v>
      </c>
      <c r="C23" s="457">
        <f>ROUND($B23*C$19,2)</f>
        <v>119.46</v>
      </c>
      <c r="D23" s="635">
        <f>ROUND($B23*D$19,2)</f>
        <v>89.6</v>
      </c>
      <c r="E23" s="459">
        <f>ROUND($B23*E$19,2)</f>
        <v>59.73</v>
      </c>
    </row>
    <row r="24" spans="1:5" ht="14.25" customHeight="1" x14ac:dyDescent="0.2">
      <c r="A24" s="478" t="s">
        <v>500</v>
      </c>
      <c r="B24" s="479">
        <f>1/3*1/12</f>
        <v>2.7777777777777776E-2</v>
      </c>
      <c r="C24" s="457">
        <f>C$19*$B$24</f>
        <v>39.82090909090909</v>
      </c>
      <c r="D24" s="635">
        <f>D$19*$B$24</f>
        <v>29.865681818181812</v>
      </c>
      <c r="E24" s="459">
        <f>E$19*$B$24</f>
        <v>19.910454545454545</v>
      </c>
    </row>
    <row r="25" spans="1:5" ht="14.25" customHeight="1" x14ac:dyDescent="0.2">
      <c r="A25" s="466" t="s">
        <v>496</v>
      </c>
      <c r="B25" s="480">
        <f>SUM(B23:B24)</f>
        <v>0.1111111111111111</v>
      </c>
      <c r="C25" s="481">
        <f>SUM(C23:C24)</f>
        <v>159.28090909090909</v>
      </c>
      <c r="D25" s="638">
        <f>SUM(D23:D24)</f>
        <v>119.46568181818181</v>
      </c>
      <c r="E25" s="482">
        <f>SUM(E23:E24)</f>
        <v>79.640454545454546</v>
      </c>
    </row>
    <row r="26" spans="1:5" ht="14.25" customHeight="1" x14ac:dyDescent="0.2">
      <c r="A26" s="475" t="s">
        <v>501</v>
      </c>
      <c r="B26" s="476" t="s">
        <v>487</v>
      </c>
      <c r="C26" s="476" t="s">
        <v>488</v>
      </c>
      <c r="D26" s="639" t="s">
        <v>488</v>
      </c>
      <c r="E26" s="477" t="s">
        <v>488</v>
      </c>
    </row>
    <row r="27" spans="1:5" ht="14.25" customHeight="1" x14ac:dyDescent="0.2">
      <c r="A27" s="475" t="s">
        <v>502</v>
      </c>
      <c r="B27" s="483"/>
      <c r="C27" s="483"/>
      <c r="D27" s="640"/>
      <c r="E27" s="485"/>
    </row>
    <row r="28" spans="1:5" ht="14.25" customHeight="1" x14ac:dyDescent="0.2">
      <c r="A28" s="478" t="s">
        <v>503</v>
      </c>
      <c r="B28" s="479">
        <v>0.2</v>
      </c>
      <c r="C28" s="641">
        <f t="shared" ref="C28:E35" si="0">ROUND((C$19+C$25)*$B28,2)</f>
        <v>318.57</v>
      </c>
      <c r="D28" s="486">
        <f t="shared" si="0"/>
        <v>238.93</v>
      </c>
      <c r="E28" s="487">
        <f t="shared" si="0"/>
        <v>159.28</v>
      </c>
    </row>
    <row r="29" spans="1:5" ht="14.25" customHeight="1" x14ac:dyDescent="0.2">
      <c r="A29" s="478" t="s">
        <v>504</v>
      </c>
      <c r="B29" s="479">
        <v>2.5000000000000001E-2</v>
      </c>
      <c r="C29" s="642">
        <f t="shared" si="0"/>
        <v>39.82</v>
      </c>
      <c r="D29" s="486">
        <f t="shared" si="0"/>
        <v>29.87</v>
      </c>
      <c r="E29" s="487">
        <f t="shared" si="0"/>
        <v>19.91</v>
      </c>
    </row>
    <row r="30" spans="1:5" ht="14.25" customHeight="1" x14ac:dyDescent="0.2">
      <c r="A30" s="478" t="s">
        <v>505</v>
      </c>
      <c r="B30" s="479">
        <v>0.03</v>
      </c>
      <c r="C30" s="642">
        <f t="shared" si="0"/>
        <v>47.79</v>
      </c>
      <c r="D30" s="486">
        <f t="shared" si="0"/>
        <v>35.840000000000003</v>
      </c>
      <c r="E30" s="487">
        <f t="shared" si="0"/>
        <v>23.89</v>
      </c>
    </row>
    <row r="31" spans="1:5" ht="14.25" customHeight="1" x14ac:dyDescent="0.2">
      <c r="A31" s="478" t="s">
        <v>506</v>
      </c>
      <c r="B31" s="479">
        <v>1.4999999999999999E-2</v>
      </c>
      <c r="C31" s="642">
        <f t="shared" si="0"/>
        <v>23.89</v>
      </c>
      <c r="D31" s="486">
        <f t="shared" si="0"/>
        <v>17.920000000000002</v>
      </c>
      <c r="E31" s="487">
        <f t="shared" si="0"/>
        <v>11.95</v>
      </c>
    </row>
    <row r="32" spans="1:5" ht="14.25" customHeight="1" x14ac:dyDescent="0.2">
      <c r="A32" s="478" t="s">
        <v>507</v>
      </c>
      <c r="B32" s="479">
        <v>0.01</v>
      </c>
      <c r="C32" s="642">
        <f t="shared" si="0"/>
        <v>15.93</v>
      </c>
      <c r="D32" s="486">
        <f t="shared" si="0"/>
        <v>11.95</v>
      </c>
      <c r="E32" s="487">
        <f t="shared" si="0"/>
        <v>7.96</v>
      </c>
    </row>
    <row r="33" spans="1:5" ht="14.25" customHeight="1" x14ac:dyDescent="0.2">
      <c r="A33" s="478" t="s">
        <v>508</v>
      </c>
      <c r="B33" s="479">
        <v>6.0000000000000001E-3</v>
      </c>
      <c r="C33" s="642">
        <f t="shared" si="0"/>
        <v>9.56</v>
      </c>
      <c r="D33" s="486">
        <f t="shared" si="0"/>
        <v>7.17</v>
      </c>
      <c r="E33" s="487">
        <f t="shared" si="0"/>
        <v>4.78</v>
      </c>
    </row>
    <row r="34" spans="1:5" ht="14.25" customHeight="1" x14ac:dyDescent="0.2">
      <c r="A34" s="478" t="s">
        <v>509</v>
      </c>
      <c r="B34" s="479">
        <v>2E-3</v>
      </c>
      <c r="C34" s="642">
        <f t="shared" si="0"/>
        <v>3.19</v>
      </c>
      <c r="D34" s="486">
        <f t="shared" si="0"/>
        <v>2.39</v>
      </c>
      <c r="E34" s="487">
        <f t="shared" si="0"/>
        <v>1.59</v>
      </c>
    </row>
    <row r="35" spans="1:5" ht="14.25" customHeight="1" x14ac:dyDescent="0.2">
      <c r="A35" s="478" t="s">
        <v>510</v>
      </c>
      <c r="B35" s="479">
        <v>0.08</v>
      </c>
      <c r="C35" s="642">
        <f t="shared" si="0"/>
        <v>127.43</v>
      </c>
      <c r="D35" s="486">
        <f t="shared" si="0"/>
        <v>95.57</v>
      </c>
      <c r="E35" s="487">
        <f t="shared" si="0"/>
        <v>63.71</v>
      </c>
    </row>
    <row r="36" spans="1:5" ht="14.25" customHeight="1" x14ac:dyDescent="0.2">
      <c r="A36" s="466" t="s">
        <v>496</v>
      </c>
      <c r="B36" s="480">
        <f>SUM(B28:B35)</f>
        <v>0.36800000000000005</v>
      </c>
      <c r="C36" s="481">
        <f>SUM(C27:C35)</f>
        <v>586.18000000000006</v>
      </c>
      <c r="D36" s="481">
        <f>SUM(D27:D35)</f>
        <v>439.64</v>
      </c>
      <c r="E36" s="482">
        <f>SUM(E27:E35)</f>
        <v>293.07</v>
      </c>
    </row>
    <row r="37" spans="1:5" ht="14.25" customHeight="1" x14ac:dyDescent="0.2">
      <c r="A37" s="475" t="s">
        <v>511</v>
      </c>
      <c r="B37" s="476" t="s">
        <v>512</v>
      </c>
      <c r="C37" s="476" t="s">
        <v>488</v>
      </c>
      <c r="D37" s="639" t="s">
        <v>488</v>
      </c>
      <c r="E37" s="477" t="s">
        <v>488</v>
      </c>
    </row>
    <row r="38" spans="1:5" ht="14.25" customHeight="1" x14ac:dyDescent="0.2">
      <c r="A38" s="478" t="s">
        <v>513</v>
      </c>
      <c r="B38" s="488">
        <f>MC!D85</f>
        <v>4.1475999999999997</v>
      </c>
      <c r="C38" s="457">
        <f>ROUND(((2*22*$B$38)-0.06*C$13),2)</f>
        <v>110.82</v>
      </c>
      <c r="D38" s="635">
        <f>ROUND(((2*22*$B$38)-0.06*D$13),2)</f>
        <v>128.74</v>
      </c>
      <c r="E38" s="459">
        <f>ROUND(((2*22*$B$38)-0.06*E$13),2)</f>
        <v>146.66</v>
      </c>
    </row>
    <row r="39" spans="1:5" ht="14.25" customHeight="1" x14ac:dyDescent="0.2">
      <c r="A39" s="478" t="s">
        <v>514</v>
      </c>
      <c r="B39" s="489"/>
      <c r="C39" s="486">
        <f>MC!E19</f>
        <v>359.61</v>
      </c>
      <c r="D39" s="642">
        <f>MC!E20</f>
        <v>179.8</v>
      </c>
      <c r="E39" s="487">
        <f>MC!E20</f>
        <v>179.8</v>
      </c>
    </row>
    <row r="40" spans="1:5" ht="14.25" customHeight="1" x14ac:dyDescent="0.2">
      <c r="A40" s="478" t="s">
        <v>515</v>
      </c>
      <c r="B40" s="479">
        <f>MC!C24</f>
        <v>0</v>
      </c>
      <c r="C40" s="486"/>
      <c r="D40" s="642"/>
      <c r="E40" s="487"/>
    </row>
    <row r="41" spans="1:5" ht="14.25" customHeight="1" x14ac:dyDescent="0.2">
      <c r="A41" s="478" t="s">
        <v>618</v>
      </c>
      <c r="B41" s="492">
        <f>MC!E26</f>
        <v>0</v>
      </c>
      <c r="C41" s="486">
        <f>B41</f>
        <v>0</v>
      </c>
      <c r="D41" s="642">
        <f>B41</f>
        <v>0</v>
      </c>
      <c r="E41" s="487"/>
    </row>
    <row r="42" spans="1:5" ht="14.25" customHeight="1" x14ac:dyDescent="0.2">
      <c r="A42" s="478" t="s">
        <v>619</v>
      </c>
      <c r="B42" s="492">
        <f>MC!E27</f>
        <v>17.32</v>
      </c>
      <c r="C42" s="486">
        <f>$B42</f>
        <v>17.32</v>
      </c>
      <c r="D42" s="486">
        <f>$B42</f>
        <v>17.32</v>
      </c>
      <c r="E42" s="487">
        <f>$B42</f>
        <v>17.32</v>
      </c>
    </row>
    <row r="43" spans="1:5" ht="14.25" customHeight="1" x14ac:dyDescent="0.2">
      <c r="A43" s="478" t="s">
        <v>518</v>
      </c>
      <c r="B43" s="479"/>
      <c r="C43" s="486"/>
      <c r="D43" s="642"/>
      <c r="E43" s="487"/>
    </row>
    <row r="44" spans="1:5" ht="14.25" customHeight="1" x14ac:dyDescent="0.2">
      <c r="A44" s="466" t="s">
        <v>496</v>
      </c>
      <c r="B44" s="467"/>
      <c r="C44" s="481">
        <f>SUM(C38:C43)</f>
        <v>487.75</v>
      </c>
      <c r="D44" s="638">
        <f>SUM(D38:D43)</f>
        <v>325.86</v>
      </c>
      <c r="E44" s="482">
        <f>SUM(E38:E43)</f>
        <v>343.78000000000003</v>
      </c>
    </row>
    <row r="45" spans="1:5" ht="14.25" customHeight="1" x14ac:dyDescent="0.2">
      <c r="A45" s="452" t="s">
        <v>519</v>
      </c>
      <c r="B45" s="453" t="s">
        <v>487</v>
      </c>
      <c r="C45" s="453" t="s">
        <v>488</v>
      </c>
      <c r="D45" s="643" t="s">
        <v>488</v>
      </c>
      <c r="E45" s="454" t="s">
        <v>488</v>
      </c>
    </row>
    <row r="46" spans="1:5" ht="14.25" customHeight="1" x14ac:dyDescent="0.2">
      <c r="A46" s="478" t="s">
        <v>498</v>
      </c>
      <c r="B46" s="495">
        <f>B25</f>
        <v>0.1111111111111111</v>
      </c>
      <c r="C46" s="496">
        <f>C25</f>
        <v>159.28090909090909</v>
      </c>
      <c r="D46" s="644">
        <f>D25</f>
        <v>119.46568181818181</v>
      </c>
      <c r="E46" s="497">
        <f>E25</f>
        <v>79.640454545454546</v>
      </c>
    </row>
    <row r="47" spans="1:5" ht="14.25" customHeight="1" x14ac:dyDescent="0.2">
      <c r="A47" s="478" t="s">
        <v>520</v>
      </c>
      <c r="B47" s="495">
        <f>B36</f>
        <v>0.36800000000000005</v>
      </c>
      <c r="C47" s="496">
        <f>C36</f>
        <v>586.18000000000006</v>
      </c>
      <c r="D47" s="644">
        <f>D36</f>
        <v>439.64</v>
      </c>
      <c r="E47" s="497">
        <f>E36</f>
        <v>293.07</v>
      </c>
    </row>
    <row r="48" spans="1:5" ht="14.25" customHeight="1" x14ac:dyDescent="0.2">
      <c r="A48" s="478" t="s">
        <v>511</v>
      </c>
      <c r="B48" s="495"/>
      <c r="C48" s="496">
        <f>C44</f>
        <v>487.75</v>
      </c>
      <c r="D48" s="644">
        <f>D44</f>
        <v>325.86</v>
      </c>
      <c r="E48" s="497">
        <f>E44</f>
        <v>343.78000000000003</v>
      </c>
    </row>
    <row r="49" spans="1:5" ht="14.25" customHeight="1" x14ac:dyDescent="0.2">
      <c r="A49" s="466" t="s">
        <v>496</v>
      </c>
      <c r="B49" s="467"/>
      <c r="C49" s="481">
        <f>SUM(C46:C48)</f>
        <v>1233.2109090909091</v>
      </c>
      <c r="D49" s="636">
        <f>SUM(D46:D48)</f>
        <v>884.96568181818179</v>
      </c>
      <c r="E49" s="637">
        <f>SUM(E46:E48)</f>
        <v>716.49045454545455</v>
      </c>
    </row>
    <row r="50" spans="1:5" ht="14.25" customHeight="1" x14ac:dyDescent="0.2">
      <c r="A50" s="843"/>
      <c r="B50" s="843"/>
      <c r="C50" s="843"/>
      <c r="D50" s="843"/>
      <c r="E50" s="843"/>
    </row>
    <row r="51" spans="1:5" s="498" customFormat="1" ht="14.25" customHeight="1" x14ac:dyDescent="0.2">
      <c r="A51" s="855" t="s">
        <v>521</v>
      </c>
      <c r="B51" s="855"/>
      <c r="C51" s="855"/>
      <c r="D51" s="855"/>
      <c r="E51" s="855"/>
    </row>
    <row r="52" spans="1:5" ht="14.25" customHeight="1" x14ac:dyDescent="0.2">
      <c r="A52" s="452" t="s">
        <v>522</v>
      </c>
      <c r="B52" s="453" t="s">
        <v>487</v>
      </c>
      <c r="C52" s="645" t="s">
        <v>488</v>
      </c>
      <c r="D52" s="453" t="s">
        <v>488</v>
      </c>
      <c r="E52" s="454" t="s">
        <v>488</v>
      </c>
    </row>
    <row r="53" spans="1:5" ht="14.25" customHeight="1" x14ac:dyDescent="0.2">
      <c r="A53" s="475" t="s">
        <v>523</v>
      </c>
      <c r="B53" s="499"/>
      <c r="C53" s="499"/>
      <c r="D53" s="646"/>
      <c r="E53" s="647"/>
    </row>
    <row r="54" spans="1:5" ht="14.25" customHeight="1" x14ac:dyDescent="0.2">
      <c r="A54" s="478" t="s">
        <v>524</v>
      </c>
      <c r="B54" s="495">
        <f>1/12*0.05</f>
        <v>4.1666666666666666E-3</v>
      </c>
      <c r="C54" s="502">
        <f>C19*$B54</f>
        <v>5.973136363636363</v>
      </c>
      <c r="D54" s="648">
        <f>D19*$B54</f>
        <v>4.479852272727272</v>
      </c>
      <c r="E54" s="503">
        <f>E19*$B54</f>
        <v>2.9865681818181815</v>
      </c>
    </row>
    <row r="55" spans="1:5" ht="14.25" customHeight="1" x14ac:dyDescent="0.2">
      <c r="A55" s="478" t="s">
        <v>525</v>
      </c>
      <c r="B55" s="495">
        <f>B35*B54</f>
        <v>3.3333333333333332E-4</v>
      </c>
      <c r="C55" s="502">
        <f>$B$55*C19</f>
        <v>0.47785090909090905</v>
      </c>
      <c r="D55" s="648">
        <f>$B$55*D19</f>
        <v>0.35838818181818177</v>
      </c>
      <c r="E55" s="503">
        <f>$B$55*E19</f>
        <v>0.23892545454545452</v>
      </c>
    </row>
    <row r="56" spans="1:5" ht="14.25" customHeight="1" x14ac:dyDescent="0.2">
      <c r="A56" s="478" t="s">
        <v>526</v>
      </c>
      <c r="B56" s="495">
        <v>0</v>
      </c>
      <c r="C56" s="502">
        <f>C35*$B56</f>
        <v>0</v>
      </c>
      <c r="D56" s="648">
        <f>D35*$B56</f>
        <v>0</v>
      </c>
      <c r="E56" s="503">
        <f>E35*$B56</f>
        <v>0</v>
      </c>
    </row>
    <row r="57" spans="1:5" ht="14.25" customHeight="1" x14ac:dyDescent="0.2">
      <c r="A57" s="478" t="s">
        <v>527</v>
      </c>
      <c r="B57" s="495">
        <f>1/12*1/30*7</f>
        <v>1.9444444444444441E-2</v>
      </c>
      <c r="C57" s="496">
        <f>C19*$B57</f>
        <v>27.874636363636359</v>
      </c>
      <c r="D57" s="644">
        <f>D19*$B57</f>
        <v>20.905977272727267</v>
      </c>
      <c r="E57" s="497">
        <f>E19*$B57</f>
        <v>13.937318181818179</v>
      </c>
    </row>
    <row r="58" spans="1:5" ht="14.25" customHeight="1" x14ac:dyDescent="0.2">
      <c r="A58" s="478" t="s">
        <v>528</v>
      </c>
      <c r="B58" s="495">
        <f>B36*B57</f>
        <v>7.1555555555555556E-3</v>
      </c>
      <c r="C58" s="496">
        <f>$B58*C19</f>
        <v>10.257866181818182</v>
      </c>
      <c r="D58" s="644">
        <f>$B58*D19</f>
        <v>7.693399636363635</v>
      </c>
      <c r="E58" s="497">
        <f>$B58*E19</f>
        <v>5.1289330909090909</v>
      </c>
    </row>
    <row r="59" spans="1:5" ht="14.25" customHeight="1" x14ac:dyDescent="0.2">
      <c r="A59" s="478" t="s">
        <v>529</v>
      </c>
      <c r="B59" s="495">
        <f>B35*40/100*90/100*(1+1/12+1/12+1/3*1/12)</f>
        <v>3.4399999999999993E-2</v>
      </c>
      <c r="C59" s="496">
        <f>C19*$B59</f>
        <v>49.314213818181805</v>
      </c>
      <c r="D59" s="644">
        <f>D19*$B59</f>
        <v>36.985660363636349</v>
      </c>
      <c r="E59" s="497">
        <f>E19*$B59</f>
        <v>24.657106909090903</v>
      </c>
    </row>
    <row r="60" spans="1:5" ht="14.25" customHeight="1" x14ac:dyDescent="0.2">
      <c r="A60" s="466" t="s">
        <v>496</v>
      </c>
      <c r="B60" s="480">
        <f>SUM(B54:B59)</f>
        <v>6.5499999999999989E-2</v>
      </c>
      <c r="C60" s="468">
        <f>SUM(C54:C59)</f>
        <v>93.897703636363616</v>
      </c>
      <c r="D60" s="649">
        <f>SUM(D54:D59)</f>
        <v>70.423277727272705</v>
      </c>
      <c r="E60" s="650">
        <f>SUM(E54:E59)</f>
        <v>46.948851818181808</v>
      </c>
    </row>
    <row r="61" spans="1:5" ht="14.25" customHeight="1" x14ac:dyDescent="0.2">
      <c r="A61" s="843"/>
      <c r="B61" s="843"/>
      <c r="C61" s="843"/>
      <c r="D61" s="843"/>
      <c r="E61" s="843"/>
    </row>
    <row r="62" spans="1:5" ht="14.25" customHeight="1" x14ac:dyDescent="0.2">
      <c r="A62" s="853" t="s">
        <v>530</v>
      </c>
      <c r="B62" s="853"/>
      <c r="C62" s="853"/>
      <c r="D62" s="853"/>
      <c r="E62" s="853"/>
    </row>
    <row r="63" spans="1:5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7" t="s">
        <v>488</v>
      </c>
    </row>
    <row r="64" spans="1:5" ht="14.25" customHeight="1" x14ac:dyDescent="0.2">
      <c r="A64" s="478" t="s">
        <v>44</v>
      </c>
      <c r="B64" s="479">
        <f>1/12</f>
        <v>8.3333333333333329E-2</v>
      </c>
      <c r="C64" s="641">
        <f t="shared" ref="C64:E67" si="1">$B64*(C$19+C$49+C$60)</f>
        <v>230.05511166666668</v>
      </c>
      <c r="D64" s="651">
        <f t="shared" si="1"/>
        <v>169.21279208333331</v>
      </c>
      <c r="E64" s="652">
        <f t="shared" si="1"/>
        <v>123.35130583333331</v>
      </c>
    </row>
    <row r="65" spans="1:5" ht="14.25" customHeight="1" x14ac:dyDescent="0.2">
      <c r="A65" s="478" t="s">
        <v>531</v>
      </c>
      <c r="B65" s="479">
        <f>MC!E54/30/12</f>
        <v>1.3538888888888885E-2</v>
      </c>
      <c r="C65" s="642">
        <f t="shared" si="1"/>
        <v>37.376287142111103</v>
      </c>
      <c r="D65" s="486">
        <f t="shared" si="1"/>
        <v>27.49143828713888</v>
      </c>
      <c r="E65" s="487">
        <f t="shared" si="1"/>
        <v>20.040475487722215</v>
      </c>
    </row>
    <row r="66" spans="1:5" ht="14.25" customHeight="1" x14ac:dyDescent="0.2">
      <c r="A66" s="478" t="s">
        <v>532</v>
      </c>
      <c r="B66" s="504">
        <f>(5/30)/12*MC!F56*MC!C57</f>
        <v>1.0764583333333333E-4</v>
      </c>
      <c r="C66" s="642">
        <f t="shared" si="1"/>
        <v>0.2971736904954167</v>
      </c>
      <c r="D66" s="486">
        <f t="shared" si="1"/>
        <v>0.21858062417364582</v>
      </c>
      <c r="E66" s="487">
        <f t="shared" si="1"/>
        <v>0.15933904931020831</v>
      </c>
    </row>
    <row r="67" spans="1:5" ht="14.25" customHeight="1" x14ac:dyDescent="0.2">
      <c r="A67" s="478" t="s">
        <v>533</v>
      </c>
      <c r="B67" s="504">
        <f>MC!C59/30/12</f>
        <v>2.6830555555555553E-3</v>
      </c>
      <c r="C67" s="642">
        <f t="shared" si="1"/>
        <v>7.4070077452944441</v>
      </c>
      <c r="D67" s="486">
        <f t="shared" si="1"/>
        <v>5.4480878624430549</v>
      </c>
      <c r="E67" s="487">
        <f t="shared" si="1"/>
        <v>3.971500876813888</v>
      </c>
    </row>
    <row r="68" spans="1:5" ht="14.25" customHeight="1" x14ac:dyDescent="0.2">
      <c r="A68" s="478" t="s">
        <v>495</v>
      </c>
      <c r="B68" s="479"/>
      <c r="C68" s="486"/>
      <c r="D68" s="486"/>
      <c r="E68" s="487"/>
    </row>
    <row r="69" spans="1:5" ht="14.25" customHeight="1" x14ac:dyDescent="0.2">
      <c r="A69" s="505" t="s">
        <v>534</v>
      </c>
      <c r="B69" s="506">
        <f>SUM(B64:B68)</f>
        <v>9.9662923611111107E-2</v>
      </c>
      <c r="C69" s="507">
        <f>SUM(C64:C68)</f>
        <v>275.13558024456762</v>
      </c>
      <c r="D69" s="653">
        <f>SUM(D64:D68)</f>
        <v>202.37089885708892</v>
      </c>
      <c r="E69" s="654">
        <f>SUM(E64:E68)</f>
        <v>147.52262124717961</v>
      </c>
    </row>
    <row r="70" spans="1:5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7" t="s">
        <v>488</v>
      </c>
    </row>
    <row r="71" spans="1:5" ht="14.25" customHeight="1" x14ac:dyDescent="0.2">
      <c r="A71" s="478" t="s">
        <v>536</v>
      </c>
      <c r="B71" s="479"/>
      <c r="C71" s="486"/>
      <c r="D71" s="651"/>
      <c r="E71" s="652"/>
    </row>
    <row r="72" spans="1:5" ht="14.25" customHeight="1" x14ac:dyDescent="0.2">
      <c r="A72" s="505" t="s">
        <v>534</v>
      </c>
      <c r="B72" s="506"/>
      <c r="C72" s="507">
        <f>C71</f>
        <v>0</v>
      </c>
      <c r="D72" s="507"/>
      <c r="E72" s="508"/>
    </row>
    <row r="73" spans="1:5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7" t="s">
        <v>488</v>
      </c>
    </row>
    <row r="74" spans="1:5" ht="14.25" customHeight="1" x14ac:dyDescent="0.2">
      <c r="A74" s="478" t="s">
        <v>66</v>
      </c>
      <c r="B74" s="479">
        <f>120/30*MC!C62*MC!C63</f>
        <v>6.18624E-3</v>
      </c>
      <c r="C74" s="486">
        <f>(((C19*2)+ (C19*1/3))+(C36)+(C44-C38-C39))*$B$74</f>
        <v>24.426098694981821</v>
      </c>
      <c r="D74" s="642">
        <f>(((D19*2)+ (D19*1/3))+(D36)+(D44-D38-D39))*$B$74</f>
        <v>18.346391371636361</v>
      </c>
      <c r="E74" s="487">
        <f>(((E19*2)+ (E19*1/3))+(E36)+(E44-E38-E39))*$B$74</f>
        <v>12.266498461090908</v>
      </c>
    </row>
    <row r="75" spans="1:5" ht="14.25" customHeight="1" x14ac:dyDescent="0.2">
      <c r="A75" s="505" t="s">
        <v>496</v>
      </c>
      <c r="B75" s="506"/>
      <c r="C75" s="507"/>
      <c r="D75" s="655"/>
      <c r="E75" s="508"/>
    </row>
    <row r="76" spans="1:5" ht="14.25" customHeight="1" x14ac:dyDescent="0.2">
      <c r="A76" s="452" t="s">
        <v>537</v>
      </c>
      <c r="B76" s="453" t="s">
        <v>487</v>
      </c>
      <c r="C76" s="453" t="s">
        <v>488</v>
      </c>
      <c r="D76" s="643" t="s">
        <v>488</v>
      </c>
      <c r="E76" s="454" t="s">
        <v>488</v>
      </c>
    </row>
    <row r="77" spans="1:5" ht="14.25" customHeight="1" x14ac:dyDescent="0.2">
      <c r="A77" s="478" t="s">
        <v>43</v>
      </c>
      <c r="B77" s="495">
        <f>B69</f>
        <v>9.9662923611111107E-2</v>
      </c>
      <c r="C77" s="496">
        <f>C69</f>
        <v>275.13558024456762</v>
      </c>
      <c r="D77" s="644">
        <f>D69</f>
        <v>202.37089885708892</v>
      </c>
      <c r="E77" s="497">
        <f>E69</f>
        <v>147.52262124717961</v>
      </c>
    </row>
    <row r="78" spans="1:5" ht="14.25" customHeight="1" x14ac:dyDescent="0.2">
      <c r="A78" s="478" t="s">
        <v>535</v>
      </c>
      <c r="B78" s="495">
        <f>B72</f>
        <v>0</v>
      </c>
      <c r="C78" s="496">
        <f>C72</f>
        <v>0</v>
      </c>
      <c r="D78" s="644">
        <f>D72</f>
        <v>0</v>
      </c>
      <c r="E78" s="497">
        <f>E72</f>
        <v>0</v>
      </c>
    </row>
    <row r="79" spans="1:5" ht="14.25" customHeight="1" x14ac:dyDescent="0.2">
      <c r="A79" s="478" t="s">
        <v>65</v>
      </c>
      <c r="B79" s="495">
        <f>B74</f>
        <v>6.18624E-3</v>
      </c>
      <c r="C79" s="496">
        <f>C74</f>
        <v>24.426098694981821</v>
      </c>
      <c r="D79" s="644">
        <f>D74</f>
        <v>18.346391371636361</v>
      </c>
      <c r="E79" s="497">
        <f>E74</f>
        <v>12.266498461090908</v>
      </c>
    </row>
    <row r="80" spans="1:5" ht="14.25" customHeight="1" x14ac:dyDescent="0.2">
      <c r="A80" s="466" t="s">
        <v>496</v>
      </c>
      <c r="B80" s="467"/>
      <c r="C80" s="481">
        <f>SUM(C77:C79)</f>
        <v>299.56167893954944</v>
      </c>
      <c r="D80" s="636">
        <f>SUM(D77:D79)</f>
        <v>220.71729022872529</v>
      </c>
      <c r="E80" s="637">
        <f>SUM(E77:E79)</f>
        <v>159.78911970827053</v>
      </c>
    </row>
    <row r="81" spans="1:5" ht="14.25" customHeight="1" x14ac:dyDescent="0.2">
      <c r="A81" s="843"/>
      <c r="B81" s="843"/>
      <c r="C81" s="843"/>
      <c r="D81" s="843"/>
      <c r="E81" s="843"/>
    </row>
    <row r="82" spans="1:5" ht="14.25" customHeight="1" x14ac:dyDescent="0.2">
      <c r="A82" s="842" t="s">
        <v>538</v>
      </c>
      <c r="B82" s="842"/>
      <c r="C82" s="842"/>
      <c r="D82" s="842"/>
      <c r="E82" s="842"/>
    </row>
    <row r="83" spans="1:5" ht="14.25" customHeight="1" x14ac:dyDescent="0.2">
      <c r="A83" s="452" t="s">
        <v>539</v>
      </c>
      <c r="B83" s="453" t="s">
        <v>512</v>
      </c>
      <c r="C83" s="453" t="s">
        <v>488</v>
      </c>
      <c r="D83" s="453" t="s">
        <v>488</v>
      </c>
      <c r="E83" s="454" t="s">
        <v>488</v>
      </c>
    </row>
    <row r="84" spans="1:5" ht="14.25" customHeight="1" x14ac:dyDescent="0.2">
      <c r="A84" s="478" t="s">
        <v>541</v>
      </c>
      <c r="B84" s="656"/>
      <c r="C84" s="457">
        <f>Insumos!$I118</f>
        <v>27.875416666666666</v>
      </c>
      <c r="D84" s="457">
        <f>Insumos!$I118</f>
        <v>27.875416666666666</v>
      </c>
      <c r="E84" s="459">
        <f>Insumos!$I118</f>
        <v>27.875416666666666</v>
      </c>
    </row>
    <row r="85" spans="1:5" ht="14.25" customHeight="1" x14ac:dyDescent="0.2">
      <c r="A85" s="515" t="s">
        <v>542</v>
      </c>
      <c r="B85" s="656"/>
      <c r="C85" s="457">
        <f>Insumos!$G70</f>
        <v>247.1166666666667</v>
      </c>
      <c r="D85" s="457">
        <f>Insumos!$G70</f>
        <v>247.1166666666667</v>
      </c>
      <c r="E85" s="459">
        <f>Insumos!$G70</f>
        <v>247.1166666666667</v>
      </c>
    </row>
    <row r="86" spans="1:5" ht="14.25" customHeight="1" x14ac:dyDescent="0.2">
      <c r="A86" s="515" t="s">
        <v>543</v>
      </c>
      <c r="B86" s="657"/>
      <c r="C86" s="461" t="s">
        <v>112</v>
      </c>
      <c r="D86" s="461" t="s">
        <v>112</v>
      </c>
      <c r="E86" s="462" t="s">
        <v>112</v>
      </c>
    </row>
    <row r="87" spans="1:5" ht="14.25" customHeight="1" x14ac:dyDescent="0.2">
      <c r="A87" s="515" t="s">
        <v>544</v>
      </c>
      <c r="B87" s="658"/>
      <c r="C87" s="457">
        <f>Insumos!$I123</f>
        <v>142.21333333333334</v>
      </c>
      <c r="D87" s="457">
        <f>Insumos!$H123</f>
        <v>122.52333333333333</v>
      </c>
      <c r="E87" s="459">
        <f>Insumos!$H123</f>
        <v>122.52333333333333</v>
      </c>
    </row>
    <row r="88" spans="1:5" ht="14.25" customHeight="1" x14ac:dyDescent="0.2">
      <c r="A88" s="505" t="s">
        <v>496</v>
      </c>
      <c r="B88" s="522"/>
      <c r="C88" s="507">
        <f>SUM(C84:C87)</f>
        <v>417.20541666666668</v>
      </c>
      <c r="D88" s="653">
        <f>SUM(D84:D87)</f>
        <v>397.51541666666668</v>
      </c>
      <c r="E88" s="654">
        <f>SUM(E84:E87)</f>
        <v>397.51541666666668</v>
      </c>
    </row>
    <row r="89" spans="1:5" ht="14.25" customHeight="1" x14ac:dyDescent="0.2">
      <c r="A89" s="843"/>
      <c r="B89" s="843"/>
      <c r="C89" s="843"/>
      <c r="D89" s="843"/>
      <c r="E89" s="843"/>
    </row>
    <row r="90" spans="1:5" ht="14.25" customHeight="1" x14ac:dyDescent="0.2">
      <c r="A90" s="842" t="s">
        <v>548</v>
      </c>
      <c r="B90" s="842"/>
      <c r="C90" s="842"/>
      <c r="D90" s="842"/>
      <c r="E90" s="842"/>
    </row>
    <row r="91" spans="1:5" ht="14.25" customHeight="1" x14ac:dyDescent="0.2">
      <c r="A91" s="452" t="s">
        <v>549</v>
      </c>
      <c r="B91" s="453" t="s">
        <v>487</v>
      </c>
      <c r="C91" s="453" t="s">
        <v>488</v>
      </c>
      <c r="D91" s="453" t="s">
        <v>488</v>
      </c>
      <c r="E91" s="454" t="s">
        <v>488</v>
      </c>
    </row>
    <row r="92" spans="1:5" ht="14.25" customHeight="1" x14ac:dyDescent="0.2">
      <c r="A92" s="455" t="s">
        <v>71</v>
      </c>
      <c r="B92" s="479">
        <v>0.03</v>
      </c>
      <c r="C92" s="486">
        <f>($C$19+$C$49+$C$60+$C$80+$C$88)*$B$92</f>
        <v>104.32285306818649</v>
      </c>
      <c r="D92" s="642">
        <f>(D$19+D$49+D$60+D$80+D$88)*$B$92</f>
        <v>79.463586356861754</v>
      </c>
      <c r="E92" s="487">
        <f>(E$19+E$49+E$60+E$80+E$88)*$B$92</f>
        <v>61.12560619124811</v>
      </c>
    </row>
    <row r="93" spans="1:5" ht="14.25" customHeight="1" x14ac:dyDescent="0.2">
      <c r="A93" s="455" t="s">
        <v>72</v>
      </c>
      <c r="B93" s="479">
        <v>6.7900000000000002E-2</v>
      </c>
      <c r="C93" s="486">
        <f>($C$19+$C$49+$C$60+$C$80+$C$88+C92)*B93</f>
        <v>243.20091250099193</v>
      </c>
      <c r="D93" s="642">
        <f>(D$19+D$49+D$60+D$80+D$88+D$92)*$B$93</f>
        <v>185.24816130132803</v>
      </c>
      <c r="E93" s="487">
        <f>(E$19+E$49+E$60+E$80+E$88+E$92)*$B$93</f>
        <v>142.49805067324397</v>
      </c>
    </row>
    <row r="94" spans="1:5" ht="14.25" customHeight="1" x14ac:dyDescent="0.2">
      <c r="A94" s="526" t="s">
        <v>550</v>
      </c>
      <c r="B94" s="527">
        <f>B95+B96</f>
        <v>0.1125</v>
      </c>
      <c r="C94" s="528">
        <f>((C19+C49+C60+C80+C88+C92+C93)/(1-($B$94)))*$B$94</f>
        <v>484.85309592364155</v>
      </c>
      <c r="D94" s="659">
        <f>((D19+D49+D60+D80+D88+D92+D93)/(1-($B$94)))*$B$94</f>
        <v>369.31664276031319</v>
      </c>
      <c r="E94" s="529">
        <f>((E19+E49+E60+E80+E88+E92+E93)/(1-($B$94)))*$B$94</f>
        <v>284.08865872049108</v>
      </c>
    </row>
    <row r="95" spans="1:5" ht="14.25" customHeight="1" x14ac:dyDescent="0.2">
      <c r="A95" s="455" t="s">
        <v>551</v>
      </c>
      <c r="B95" s="479">
        <f>0.0165+0.076</f>
        <v>9.2499999999999999E-2</v>
      </c>
      <c r="C95" s="535">
        <f>((C$19+C$49+C$60+C$80+C$88+C$92+C$93)/(1-($B$94)))*$B$95</f>
        <v>398.65698998166079</v>
      </c>
      <c r="D95" s="660">
        <f>((D$19+D$49+D$60+D$80+D$88+D$92+D$93)/(1-($B$94)))*$B$95</f>
        <v>303.66035071403525</v>
      </c>
      <c r="E95" s="536">
        <f>((E$19+E$49+E$60+E$80+E$88+E$92+E$93)/(1-($B$94)))*$B$95</f>
        <v>233.58400828129265</v>
      </c>
    </row>
    <row r="96" spans="1:5" ht="14.25" customHeight="1" x14ac:dyDescent="0.2">
      <c r="A96" s="455" t="s">
        <v>552</v>
      </c>
      <c r="B96" s="479">
        <v>0.02</v>
      </c>
      <c r="C96" s="538">
        <f>((C$19+C$49+C$60+C$80+C$88+C$92+C$93)/(1-($B$94)))*$B$96</f>
        <v>86.196105941980719</v>
      </c>
      <c r="D96" s="660">
        <f>((D$19+D$49+D$60+D$80+D$88+D$92+D$93)/(1-($B$94)))*$B$96</f>
        <v>65.656292046277898</v>
      </c>
      <c r="E96" s="536">
        <f>((E$19+E$49+E$60+E$80+E$88+E$92+E$93)/(1-($B$94)))*$B$96</f>
        <v>50.504650439198414</v>
      </c>
    </row>
    <row r="97" spans="1:6" ht="14.25" customHeight="1" x14ac:dyDescent="0.2">
      <c r="A97" s="526" t="s">
        <v>553</v>
      </c>
      <c r="B97" s="527">
        <f>B98+B99</f>
        <v>0.11749999999999999</v>
      </c>
      <c r="C97" s="528">
        <f>((C19+C49+C60+C80+C88+C92+C93)/(1-($B$97)))*$B$97</f>
        <v>509.27125624714881</v>
      </c>
      <c r="D97" s="659">
        <f>((D19+D49+D60+D80+D88+D92+D93)/(1-($B$97)))*$B$97</f>
        <v>387.91615892073173</v>
      </c>
      <c r="E97" s="529">
        <f>((E19+E49+E60+E80+E88+E92+E93)/(1-($B$97)))*$B$97</f>
        <v>298.39592513386162</v>
      </c>
    </row>
    <row r="98" spans="1:6" ht="14.25" customHeight="1" x14ac:dyDescent="0.2">
      <c r="A98" s="455" t="s">
        <v>551</v>
      </c>
      <c r="B98" s="479">
        <f>0.0165+0.076</f>
        <v>9.2499999999999999E-2</v>
      </c>
      <c r="C98" s="530">
        <f>((C19+C49+C60+C80+C88+C92+C93)/(1-($B$97)))*$B$98</f>
        <v>400.91566981158525</v>
      </c>
      <c r="D98" s="661">
        <f>((D19+D49+D60+D80+D88+D92+D93)/(1-($B$97)))*$B$98</f>
        <v>305.38080595887396</v>
      </c>
      <c r="E98" s="531">
        <f>((E19+E49+E60+E80+E88+E92+E93)/(1-($B$97)))*$B$98</f>
        <v>234.90743042452939</v>
      </c>
    </row>
    <row r="99" spans="1:6" ht="14.25" customHeight="1" x14ac:dyDescent="0.2">
      <c r="A99" s="455" t="s">
        <v>552</v>
      </c>
      <c r="B99" s="479">
        <v>2.5000000000000001E-2</v>
      </c>
      <c r="C99" s="532">
        <f>((C$19+C$49+C$60+C$80+C$88+C$92+C$93)/(1-($B$97)))*$B$99</f>
        <v>108.35558643556358</v>
      </c>
      <c r="D99" s="661">
        <f>((D$19+D$49+D$60+D$80+D$88+D$92+D$93)/(1-($B$97)))*$B$99</f>
        <v>82.535352961857825</v>
      </c>
      <c r="E99" s="531">
        <f>((E$19+E$49+E$60+E$80+E$88+E$92+E$93)/(1-($B$97)))*$B$99</f>
        <v>63.488494709332272</v>
      </c>
    </row>
    <row r="100" spans="1:6" ht="14.25" customHeight="1" x14ac:dyDescent="0.2">
      <c r="A100" s="526" t="s">
        <v>554</v>
      </c>
      <c r="B100" s="527">
        <f>B101+B102</f>
        <v>0.1225</v>
      </c>
      <c r="C100" s="528">
        <f>((C19+C49+C60+C80+C88+C92+C93)/(1-($B$100)))*$B$100</f>
        <v>533.96768620397245</v>
      </c>
      <c r="D100" s="659">
        <f>((D19+D49+D60+D80+D88+D92+D93)/(1-($B$100)))*$B$100</f>
        <v>406.72763537927489</v>
      </c>
      <c r="E100" s="529">
        <f>((E19+E49+E60+E80+E88+E92+E93)/(1-($B$100)))*$B$100</f>
        <v>312.86623731832492</v>
      </c>
    </row>
    <row r="101" spans="1:6" ht="14.25" customHeight="1" x14ac:dyDescent="0.2">
      <c r="A101" s="455" t="s">
        <v>551</v>
      </c>
      <c r="B101" s="479">
        <f>0.0165+0.076</f>
        <v>9.2499999999999999E-2</v>
      </c>
      <c r="C101" s="530">
        <f>((C19+C49+C60+C80+C88+C92+C93)/(1-($B$100)))*$B$101</f>
        <v>403.20008958259143</v>
      </c>
      <c r="D101" s="661">
        <f>((D19+D49+D60+D80+D88+D92+D93)/(1-($B$100)))*$B$101</f>
        <v>307.12086753128921</v>
      </c>
      <c r="E101" s="531">
        <f>((E19+E49+E60+E80+E88+E92+E93)/(1-($B$100)))*$B$101</f>
        <v>236.24593430159229</v>
      </c>
    </row>
    <row r="102" spans="1:6" ht="14.25" customHeight="1" x14ac:dyDescent="0.2">
      <c r="A102" s="455" t="s">
        <v>552</v>
      </c>
      <c r="B102" s="479">
        <v>0.03</v>
      </c>
      <c r="C102" s="532">
        <f>((C19+C49+C60+C80+C88+C92+C93)/(1-($B$100)))*$B$102</f>
        <v>130.76759662138099</v>
      </c>
      <c r="D102" s="661">
        <f>((D19+D49+D60+D80+D88+D92+D93)/(1-($B$100)))*$B$102</f>
        <v>99.606767847985694</v>
      </c>
      <c r="E102" s="531">
        <f>((E19+E49+E60+E80+E88+E92+E93)/(1-($B$100)))*$B$102</f>
        <v>76.620303016732635</v>
      </c>
      <c r="F102" s="534"/>
    </row>
    <row r="103" spans="1:6" ht="14.25" customHeight="1" x14ac:dyDescent="0.2">
      <c r="A103" s="526" t="s">
        <v>555</v>
      </c>
      <c r="B103" s="527">
        <f>B104+B105</f>
        <v>0.13250000000000001</v>
      </c>
      <c r="C103" s="528">
        <f>((C19+C49+C60+C80+C88+C92+C93)/(1-($B$103)))*$B$103</f>
        <v>584.21460133226492</v>
      </c>
      <c r="D103" s="659">
        <f>((D19+D49+D60+D80+D88+D92+D93)/(1-($B$103)))*$B$103</f>
        <v>445.00112926899089</v>
      </c>
      <c r="E103" s="529">
        <f>((E19+E49+E60+E80+E88+E92+E93)/(1-($B$103)))*$B$103</f>
        <v>342.30727594146902</v>
      </c>
    </row>
    <row r="104" spans="1:6" ht="14.25" customHeight="1" x14ac:dyDescent="0.2">
      <c r="A104" s="455" t="s">
        <v>551</v>
      </c>
      <c r="B104" s="479">
        <f>0.0165+0.076</f>
        <v>9.2499999999999999E-2</v>
      </c>
      <c r="C104" s="530">
        <f>((C19+C49+C60+C80+C88+C92+C93)/(1-($B$103)))*$B$104</f>
        <v>407.84792923195852</v>
      </c>
      <c r="D104" s="661">
        <f>((D19+D49+D60+D80+D88+D92+D93)/(1-($B$103)))*$B$104</f>
        <v>310.66116571608796</v>
      </c>
      <c r="E104" s="531">
        <f>((E19+E49+E60+E80+E88+E92+E93)/(1-($B$103)))*$B$104</f>
        <v>238.96923037423309</v>
      </c>
    </row>
    <row r="105" spans="1:6" ht="14.25" customHeight="1" x14ac:dyDescent="0.2">
      <c r="A105" s="455" t="s">
        <v>552</v>
      </c>
      <c r="B105" s="479">
        <v>0.04</v>
      </c>
      <c r="C105" s="532">
        <f>((C19+C49+C60+C80+C88+C92+C93)/(1-($B$103)))*$B$105</f>
        <v>176.3666721003064</v>
      </c>
      <c r="D105" s="661">
        <f>((D19+D49+D60+D80+D88+D92+D93)/(1-($B$103)))*$B$105</f>
        <v>134.3399635529029</v>
      </c>
      <c r="E105" s="531">
        <f>((E19+E49+E60+E80+E88+E92+E93)/(1-($B$103)))*$B$105</f>
        <v>103.33804556723594</v>
      </c>
    </row>
    <row r="106" spans="1:6" ht="14.25" customHeight="1" x14ac:dyDescent="0.2">
      <c r="A106" s="526" t="s">
        <v>556</v>
      </c>
      <c r="B106" s="527">
        <f>B107+B108</f>
        <v>0.14250000000000002</v>
      </c>
      <c r="C106" s="528">
        <f>((C19+C49+C60+C80+C88+C92+C93)/(1-($B$106)))*$B$106</f>
        <v>635.63345617200446</v>
      </c>
      <c r="D106" s="659">
        <f>((D19+D49+D60+D80+D88+D92+D93)/(1-($B$106)))*$B$106</f>
        <v>484.16729940103261</v>
      </c>
      <c r="E106" s="529">
        <f>((E19+E49+E60+E80+E88+E92+E93)/(1-($B$106)))*$B$106</f>
        <v>372.43498601938046</v>
      </c>
    </row>
    <row r="107" spans="1:6" ht="14.25" customHeight="1" x14ac:dyDescent="0.2">
      <c r="A107" s="455" t="s">
        <v>551</v>
      </c>
      <c r="B107" s="479">
        <f>0.0165+0.076</f>
        <v>9.2499999999999999E-2</v>
      </c>
      <c r="C107" s="535">
        <f>((C19+C49+C60+C80+C88+C92+C93)/(1-($B$106)))*$B$107</f>
        <v>412.60417330463446</v>
      </c>
      <c r="D107" s="660">
        <f>((D19+D49+D60+D80+D88+D92+D93)/(1-($B$106)))*$B$107</f>
        <v>314.28403645330184</v>
      </c>
      <c r="E107" s="536">
        <f>((E19+E49+E60+E80+E88+E92+E93)/(1-($B$106)))*$B$107</f>
        <v>241.75604355643992</v>
      </c>
    </row>
    <row r="108" spans="1:6" ht="14.25" customHeight="1" x14ac:dyDescent="0.2">
      <c r="A108" s="455" t="s">
        <v>552</v>
      </c>
      <c r="B108" s="537">
        <v>0.05</v>
      </c>
      <c r="C108" s="538">
        <f>((C19+C49+C60+C80+C88+C92+C93)/(1-($B$106)))*$B$108</f>
        <v>223.02928286736997</v>
      </c>
      <c r="D108" s="662">
        <f>((D19+D49+D60+D80+D88+D92+D93)/(1-($B$106)))*$B$108</f>
        <v>169.88326294773071</v>
      </c>
      <c r="E108" s="663">
        <f>((E19+E49+E60+E80+E88+E92+E93)/(1-($B$106)))*$B$108</f>
        <v>130.67894246294051</v>
      </c>
    </row>
    <row r="109" spans="1:6" ht="14.25" customHeight="1" x14ac:dyDescent="0.2">
      <c r="A109" s="838" t="s">
        <v>557</v>
      </c>
      <c r="B109" s="540">
        <v>0.02</v>
      </c>
      <c r="C109" s="541">
        <f>C92+C93+C94</f>
        <v>832.3768614928199</v>
      </c>
      <c r="D109" s="664">
        <f>D92+D93+D94</f>
        <v>634.02839041850302</v>
      </c>
      <c r="E109" s="542">
        <f>E92+E93+E94</f>
        <v>487.71231558498317</v>
      </c>
    </row>
    <row r="110" spans="1:6" ht="14.25" customHeight="1" x14ac:dyDescent="0.2">
      <c r="A110" s="838"/>
      <c r="B110" s="543">
        <v>2.5000000000000001E-2</v>
      </c>
      <c r="C110" s="544">
        <f>C92+C93+C97</f>
        <v>856.79502181632722</v>
      </c>
      <c r="D110" s="665">
        <f>D92+D93+D97</f>
        <v>652.62790657892151</v>
      </c>
      <c r="E110" s="545">
        <f>E92+E93+E97</f>
        <v>502.01958199835371</v>
      </c>
    </row>
    <row r="111" spans="1:6" ht="14.25" customHeight="1" x14ac:dyDescent="0.2">
      <c r="A111" s="838"/>
      <c r="B111" s="543">
        <v>0.03</v>
      </c>
      <c r="C111" s="544">
        <f>C92+C93+C100</f>
        <v>881.49145177315086</v>
      </c>
      <c r="D111" s="665">
        <f>D92+D93+D100</f>
        <v>671.43938303746472</v>
      </c>
      <c r="E111" s="545">
        <f>E92+E93+E100</f>
        <v>516.48989418281701</v>
      </c>
      <c r="F111" s="534"/>
    </row>
    <row r="112" spans="1:6" ht="14.25" customHeight="1" x14ac:dyDescent="0.2">
      <c r="A112" s="838"/>
      <c r="B112" s="543">
        <v>0.04</v>
      </c>
      <c r="C112" s="544">
        <f>C92+C93+C103</f>
        <v>931.73836690144333</v>
      </c>
      <c r="D112" s="665">
        <f>D92+D93+D103</f>
        <v>709.71287692718067</v>
      </c>
      <c r="E112" s="545">
        <f>E92+E93+E103</f>
        <v>545.93093280596111</v>
      </c>
    </row>
    <row r="113" spans="1:5" ht="14.25" customHeight="1" x14ac:dyDescent="0.2">
      <c r="A113" s="838"/>
      <c r="B113" s="546">
        <v>0.05</v>
      </c>
      <c r="C113" s="547">
        <f>C92+C93+C106</f>
        <v>983.15722174118287</v>
      </c>
      <c r="D113" s="666">
        <f>D92+D93+D106</f>
        <v>748.87904705922233</v>
      </c>
      <c r="E113" s="548">
        <f>E92+E93+E106</f>
        <v>576.05864288387261</v>
      </c>
    </row>
    <row r="114" spans="1:5" ht="7.5" customHeight="1" x14ac:dyDescent="0.2">
      <c r="A114" s="839"/>
      <c r="B114" s="839"/>
      <c r="C114" s="839"/>
      <c r="D114" s="839"/>
      <c r="E114" s="839"/>
    </row>
    <row r="115" spans="1:5" ht="7.5" customHeight="1" x14ac:dyDescent="0.2">
      <c r="A115" s="840"/>
      <c r="B115" s="840"/>
      <c r="C115" s="840"/>
      <c r="D115" s="840"/>
      <c r="E115" s="840"/>
    </row>
    <row r="116" spans="1:5" ht="54.75" customHeight="1" x14ac:dyDescent="0.2">
      <c r="A116" s="841" t="s">
        <v>559</v>
      </c>
      <c r="B116" s="841"/>
      <c r="C116" s="558" t="str">
        <f>C10</f>
        <v>Servente 40h
COVID</v>
      </c>
      <c r="D116" s="667" t="str">
        <f>D10</f>
        <v>Servente 30h
COVID</v>
      </c>
      <c r="E116" s="560" t="str">
        <f>E10</f>
        <v>Servente 20h
COVID</v>
      </c>
    </row>
    <row r="117" spans="1:5" ht="15.75" customHeight="1" x14ac:dyDescent="0.2">
      <c r="A117" s="835" t="s">
        <v>560</v>
      </c>
      <c r="B117" s="835"/>
      <c r="C117" s="561" t="s">
        <v>488</v>
      </c>
      <c r="D117" s="668" t="s">
        <v>488</v>
      </c>
      <c r="E117" s="669" t="s">
        <v>488</v>
      </c>
    </row>
    <row r="118" spans="1:5" ht="14.25" customHeight="1" x14ac:dyDescent="0.2">
      <c r="A118" s="836" t="s">
        <v>561</v>
      </c>
      <c r="B118" s="836"/>
      <c r="C118" s="563">
        <f>C19</f>
        <v>1433.5527272727272</v>
      </c>
      <c r="D118" s="670">
        <f>D19</f>
        <v>1075.1645454545453</v>
      </c>
      <c r="E118" s="564">
        <f>E19</f>
        <v>716.77636363636361</v>
      </c>
    </row>
    <row r="119" spans="1:5" ht="14.25" customHeight="1" x14ac:dyDescent="0.2">
      <c r="A119" s="832" t="s">
        <v>562</v>
      </c>
      <c r="B119" s="832"/>
      <c r="C119" s="565">
        <f>C49</f>
        <v>1233.2109090909091</v>
      </c>
      <c r="D119" s="671">
        <f>D49</f>
        <v>884.96568181818179</v>
      </c>
      <c r="E119" s="566">
        <f>E49</f>
        <v>716.49045454545455</v>
      </c>
    </row>
    <row r="120" spans="1:5" ht="14.25" customHeight="1" x14ac:dyDescent="0.2">
      <c r="A120" s="832" t="s">
        <v>563</v>
      </c>
      <c r="B120" s="832"/>
      <c r="C120" s="565">
        <f>C60</f>
        <v>93.897703636363616</v>
      </c>
      <c r="D120" s="671">
        <f>D60</f>
        <v>70.423277727272705</v>
      </c>
      <c r="E120" s="566">
        <f>E60</f>
        <v>46.948851818181808</v>
      </c>
    </row>
    <row r="121" spans="1:5" ht="14.25" customHeight="1" x14ac:dyDescent="0.2">
      <c r="A121" s="832" t="s">
        <v>564</v>
      </c>
      <c r="B121" s="832"/>
      <c r="C121" s="565">
        <f>C80</f>
        <v>299.56167893954944</v>
      </c>
      <c r="D121" s="671">
        <f>D80</f>
        <v>220.71729022872529</v>
      </c>
      <c r="E121" s="566">
        <f>E80</f>
        <v>159.78911970827053</v>
      </c>
    </row>
    <row r="122" spans="1:5" ht="15.75" customHeight="1" x14ac:dyDescent="0.2">
      <c r="A122" s="832" t="s">
        <v>565</v>
      </c>
      <c r="B122" s="832"/>
      <c r="C122" s="565">
        <f>C88</f>
        <v>417.20541666666668</v>
      </c>
      <c r="D122" s="671">
        <f>D88</f>
        <v>397.51541666666668</v>
      </c>
      <c r="E122" s="566">
        <f>E88</f>
        <v>397.51541666666668</v>
      </c>
    </row>
    <row r="123" spans="1:5" ht="15.75" customHeight="1" x14ac:dyDescent="0.2">
      <c r="A123" s="834" t="s">
        <v>566</v>
      </c>
      <c r="B123" s="834"/>
      <c r="C123" s="567">
        <f>SUM(C118:C122)</f>
        <v>3477.4284356062162</v>
      </c>
      <c r="D123" s="672">
        <f>SUM(D118:D122)</f>
        <v>2648.7862118953917</v>
      </c>
      <c r="E123" s="569">
        <f>SUM(E118:E122)</f>
        <v>2037.5202063749371</v>
      </c>
    </row>
    <row r="124" spans="1:5" ht="15.75" customHeight="1" x14ac:dyDescent="0.2">
      <c r="A124" s="833" t="s">
        <v>567</v>
      </c>
      <c r="B124" s="833"/>
      <c r="C124" s="570">
        <f t="shared" ref="C124:E128" si="2">C109</f>
        <v>832.3768614928199</v>
      </c>
      <c r="D124" s="672">
        <f t="shared" si="2"/>
        <v>634.02839041850302</v>
      </c>
      <c r="E124" s="569">
        <f t="shared" si="2"/>
        <v>487.71231558498317</v>
      </c>
    </row>
    <row r="125" spans="1:5" ht="15.75" customHeight="1" x14ac:dyDescent="0.2">
      <c r="A125" s="832" t="s">
        <v>568</v>
      </c>
      <c r="B125" s="832"/>
      <c r="C125" s="572">
        <f t="shared" si="2"/>
        <v>856.79502181632722</v>
      </c>
      <c r="D125" s="672">
        <f t="shared" si="2"/>
        <v>652.62790657892151</v>
      </c>
      <c r="E125" s="569">
        <f t="shared" si="2"/>
        <v>502.01958199835371</v>
      </c>
    </row>
    <row r="126" spans="1:5" ht="15.75" customHeight="1" x14ac:dyDescent="0.2">
      <c r="A126" s="832" t="s">
        <v>569</v>
      </c>
      <c r="B126" s="832"/>
      <c r="C126" s="572">
        <f t="shared" si="2"/>
        <v>881.49145177315086</v>
      </c>
      <c r="D126" s="672">
        <f t="shared" si="2"/>
        <v>671.43938303746472</v>
      </c>
      <c r="E126" s="569">
        <f t="shared" si="2"/>
        <v>516.48989418281701</v>
      </c>
    </row>
    <row r="127" spans="1:5" ht="15.75" customHeight="1" x14ac:dyDescent="0.2">
      <c r="A127" s="832" t="s">
        <v>570</v>
      </c>
      <c r="B127" s="832"/>
      <c r="C127" s="572">
        <f t="shared" si="2"/>
        <v>931.73836690144333</v>
      </c>
      <c r="D127" s="672">
        <f t="shared" si="2"/>
        <v>709.71287692718067</v>
      </c>
      <c r="E127" s="569">
        <f t="shared" si="2"/>
        <v>545.93093280596111</v>
      </c>
    </row>
    <row r="128" spans="1:5" ht="15.75" customHeight="1" x14ac:dyDescent="0.2">
      <c r="A128" s="833" t="s">
        <v>571</v>
      </c>
      <c r="B128" s="833"/>
      <c r="C128" s="572">
        <f t="shared" si="2"/>
        <v>983.15722174118287</v>
      </c>
      <c r="D128" s="673">
        <f t="shared" si="2"/>
        <v>748.87904705922233</v>
      </c>
      <c r="E128" s="674">
        <f t="shared" si="2"/>
        <v>576.05864288387261</v>
      </c>
    </row>
    <row r="129" spans="1:5" ht="15.75" customHeight="1" x14ac:dyDescent="0.2">
      <c r="A129" s="574" t="s">
        <v>572</v>
      </c>
      <c r="B129" s="575"/>
      <c r="C129" s="576">
        <f>C123+C124</f>
        <v>4309.8052970990357</v>
      </c>
      <c r="D129" s="576">
        <f>D123+D124</f>
        <v>3282.8146023138947</v>
      </c>
      <c r="E129" s="577">
        <f>E123+E124</f>
        <v>2525.2325219599202</v>
      </c>
    </row>
    <row r="130" spans="1:5" ht="15.75" customHeight="1" x14ac:dyDescent="0.2">
      <c r="A130" s="578" t="s">
        <v>573</v>
      </c>
      <c r="B130" s="579"/>
      <c r="C130" s="580">
        <f>C123+C125</f>
        <v>4334.2234574225431</v>
      </c>
      <c r="D130" s="580">
        <f>D123+D125</f>
        <v>3301.414118474313</v>
      </c>
      <c r="E130" s="581">
        <f>E123+E125</f>
        <v>2539.5397883732908</v>
      </c>
    </row>
    <row r="131" spans="1:5" ht="15.75" customHeight="1" x14ac:dyDescent="0.2">
      <c r="A131" s="578" t="s">
        <v>574</v>
      </c>
      <c r="B131" s="579"/>
      <c r="C131" s="580">
        <f>C123+C126</f>
        <v>4358.9198873793666</v>
      </c>
      <c r="D131" s="580">
        <f>D123+D126</f>
        <v>3320.2255949328564</v>
      </c>
      <c r="E131" s="581">
        <f>E123+E126</f>
        <v>2554.010100557754</v>
      </c>
    </row>
    <row r="132" spans="1:5" ht="15.75" customHeight="1" x14ac:dyDescent="0.2">
      <c r="A132" s="578" t="s">
        <v>575</v>
      </c>
      <c r="B132" s="579"/>
      <c r="C132" s="580">
        <f>C123+C127</f>
        <v>4409.1668025076597</v>
      </c>
      <c r="D132" s="580">
        <f>D123+D127</f>
        <v>3358.4990888225725</v>
      </c>
      <c r="E132" s="581">
        <f>E123+E127</f>
        <v>2583.4511391808983</v>
      </c>
    </row>
    <row r="133" spans="1:5" ht="15.75" customHeight="1" x14ac:dyDescent="0.2">
      <c r="A133" s="578" t="s">
        <v>576</v>
      </c>
      <c r="B133" s="579"/>
      <c r="C133" s="580">
        <f>C123+C128</f>
        <v>4460.5856573473993</v>
      </c>
      <c r="D133" s="675">
        <f>D123+D128</f>
        <v>3397.6652589546138</v>
      </c>
      <c r="E133" s="676">
        <f>E123+E128</f>
        <v>2613.5788492588099</v>
      </c>
    </row>
    <row r="134" spans="1:5" ht="15.75" customHeight="1" x14ac:dyDescent="0.2">
      <c r="A134" s="582" t="s">
        <v>577</v>
      </c>
      <c r="B134" s="583"/>
      <c r="C134" s="584">
        <f>C129/200</f>
        <v>21.54902648549518</v>
      </c>
      <c r="D134" s="584"/>
      <c r="E134" s="677"/>
    </row>
    <row r="135" spans="1:5" ht="15.75" customHeight="1" x14ac:dyDescent="0.2">
      <c r="A135" s="587" t="s">
        <v>578</v>
      </c>
      <c r="B135" s="588"/>
      <c r="C135" s="589">
        <f>C130/200</f>
        <v>21.671117287112715</v>
      </c>
      <c r="D135" s="589"/>
      <c r="E135" s="678"/>
    </row>
    <row r="136" spans="1:5" ht="15.75" customHeight="1" x14ac:dyDescent="0.2">
      <c r="A136" s="587" t="s">
        <v>579</v>
      </c>
      <c r="B136" s="588"/>
      <c r="C136" s="589">
        <f>C131/200</f>
        <v>21.794599436896831</v>
      </c>
      <c r="D136" s="589"/>
      <c r="E136" s="678"/>
    </row>
    <row r="137" spans="1:5" ht="15.75" customHeight="1" x14ac:dyDescent="0.2">
      <c r="A137" s="587" t="s">
        <v>580</v>
      </c>
      <c r="B137" s="588"/>
      <c r="C137" s="589">
        <f>C132/200</f>
        <v>22.045834012538297</v>
      </c>
      <c r="D137" s="589"/>
      <c r="E137" s="678"/>
    </row>
    <row r="138" spans="1:5" ht="15.75" customHeight="1" x14ac:dyDescent="0.2">
      <c r="A138" s="592" t="s">
        <v>581</v>
      </c>
      <c r="B138" s="593"/>
      <c r="C138" s="594">
        <f>C133/200</f>
        <v>22.302928286736996</v>
      </c>
      <c r="D138" s="594"/>
      <c r="E138" s="679"/>
    </row>
    <row r="139" spans="1:5" x14ac:dyDescent="0.2">
      <c r="A139" s="597"/>
    </row>
  </sheetData>
  <mergeCells count="31">
    <mergeCell ref="A1:E1"/>
    <mergeCell ref="A2:E2"/>
    <mergeCell ref="A3:E3"/>
    <mergeCell ref="A9:E9"/>
    <mergeCell ref="A11:E11"/>
    <mergeCell ref="A20:E20"/>
    <mergeCell ref="A21:E21"/>
    <mergeCell ref="A50:E50"/>
    <mergeCell ref="A51:E51"/>
    <mergeCell ref="A61:E61"/>
    <mergeCell ref="A62:E62"/>
    <mergeCell ref="A81:E81"/>
    <mergeCell ref="A82:E82"/>
    <mergeCell ref="A89:E89"/>
    <mergeCell ref="A90:E90"/>
    <mergeCell ref="A109:A113"/>
    <mergeCell ref="A114:E114"/>
    <mergeCell ref="A115:E115"/>
    <mergeCell ref="A116:B116"/>
    <mergeCell ref="A117:B117"/>
    <mergeCell ref="A118:B118"/>
    <mergeCell ref="A119:B119"/>
    <mergeCell ref="A120:B120"/>
    <mergeCell ref="A121:B121"/>
    <mergeCell ref="A122:B122"/>
    <mergeCell ref="A128:B128"/>
    <mergeCell ref="A123:B123"/>
    <mergeCell ref="A124:B124"/>
    <mergeCell ref="A125:B125"/>
    <mergeCell ref="A126:B126"/>
    <mergeCell ref="A127:B12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7D31"/>
  </sheetPr>
  <dimension ref="A1:ALX182"/>
  <sheetViews>
    <sheetView zoomScale="75" zoomScaleNormal="75" workbookViewId="0">
      <pane xSplit="1" topLeftCell="B1" activePane="topRight" state="frozen"/>
      <selection pane="topRight" activeCell="AB1" sqref="AB1"/>
    </sheetView>
  </sheetViews>
  <sheetFormatPr defaultRowHeight="14.25" x14ac:dyDescent="0.2"/>
  <cols>
    <col min="1" max="1" width="34.5" customWidth="1"/>
    <col min="2" max="4" width="8.625" customWidth="1"/>
    <col min="5" max="6" width="13.625" customWidth="1"/>
    <col min="7" max="7" width="9.625" customWidth="1"/>
    <col min="8" max="8" width="11.625" customWidth="1"/>
    <col min="9" max="9" width="12.5" customWidth="1"/>
    <col min="10" max="10" width="13.5" customWidth="1"/>
    <col min="11" max="11" width="11.125" customWidth="1"/>
    <col min="12" max="12" width="9.875" customWidth="1"/>
    <col min="13" max="13" width="12.25" customWidth="1"/>
    <col min="14" max="14" width="12.5" customWidth="1"/>
    <col min="15" max="23" width="9.25" customWidth="1"/>
    <col min="24" max="24" width="10.875" customWidth="1"/>
    <col min="25" max="26" width="10.625" customWidth="1"/>
    <col min="27" max="27" width="11.625" customWidth="1"/>
    <col min="28" max="1013" width="10.625" customWidth="1"/>
    <col min="1014" max="1025" width="10.5" customWidth="1"/>
  </cols>
  <sheetData>
    <row r="1" spans="1:27" ht="15" customHeight="1" x14ac:dyDescent="0.2">
      <c r="A1" s="313"/>
      <c r="B1" s="313"/>
      <c r="C1" s="817" t="s">
        <v>331</v>
      </c>
      <c r="D1" s="817"/>
      <c r="E1" s="817"/>
      <c r="F1" s="817"/>
      <c r="G1" s="817"/>
      <c r="H1" s="817"/>
      <c r="I1" s="818" t="s">
        <v>332</v>
      </c>
      <c r="J1" s="818"/>
      <c r="K1" s="818"/>
      <c r="L1" s="819" t="s">
        <v>333</v>
      </c>
      <c r="M1" s="819"/>
      <c r="N1" s="819"/>
      <c r="O1" s="313"/>
      <c r="P1" s="313"/>
      <c r="Q1" s="313"/>
      <c r="R1" s="313"/>
      <c r="S1" s="313"/>
      <c r="T1" s="313"/>
      <c r="U1" s="313"/>
      <c r="V1" s="313"/>
      <c r="W1" s="313"/>
      <c r="X1" s="820"/>
      <c r="Y1" s="820"/>
      <c r="Z1" s="820"/>
      <c r="AA1" s="313"/>
    </row>
    <row r="2" spans="1:27" ht="68.099999999999994" customHeight="1" x14ac:dyDescent="0.2">
      <c r="A2" s="821" t="s">
        <v>339</v>
      </c>
      <c r="B2" s="821" t="s">
        <v>340</v>
      </c>
      <c r="C2" s="822" t="s">
        <v>428</v>
      </c>
      <c r="D2" s="807" t="s">
        <v>341</v>
      </c>
      <c r="E2" s="807" t="s">
        <v>342</v>
      </c>
      <c r="F2" s="808" t="s">
        <v>343</v>
      </c>
      <c r="G2" s="806" t="s">
        <v>344</v>
      </c>
      <c r="H2" s="823" t="s">
        <v>429</v>
      </c>
      <c r="I2" s="824" t="s">
        <v>346</v>
      </c>
      <c r="J2" s="809" t="s">
        <v>430</v>
      </c>
      <c r="K2" s="825" t="s">
        <v>348</v>
      </c>
      <c r="L2" s="826" t="s">
        <v>349</v>
      </c>
      <c r="M2" s="811" t="s">
        <v>350</v>
      </c>
      <c r="N2" s="813" t="s">
        <v>351</v>
      </c>
      <c r="O2" s="814" t="s">
        <v>431</v>
      </c>
      <c r="P2" s="815" t="s">
        <v>432</v>
      </c>
      <c r="Q2" s="815"/>
      <c r="R2" s="815"/>
      <c r="S2" s="815"/>
      <c r="T2" s="815"/>
      <c r="U2" s="815"/>
      <c r="V2" s="816" t="s">
        <v>433</v>
      </c>
      <c r="W2" s="816"/>
      <c r="X2" s="337" t="s">
        <v>434</v>
      </c>
      <c r="Y2" s="338" t="s">
        <v>435</v>
      </c>
      <c r="Z2" s="339" t="s">
        <v>436</v>
      </c>
      <c r="AA2" s="340" t="s">
        <v>437</v>
      </c>
    </row>
    <row r="3" spans="1:27" x14ac:dyDescent="0.2">
      <c r="A3" s="821"/>
      <c r="B3" s="821"/>
      <c r="C3" s="821"/>
      <c r="D3" s="807"/>
      <c r="E3" s="807"/>
      <c r="F3" s="808"/>
      <c r="G3" s="806"/>
      <c r="H3" s="823"/>
      <c r="I3" s="824"/>
      <c r="J3" s="809"/>
      <c r="K3" s="825"/>
      <c r="L3" s="826"/>
      <c r="M3" s="811"/>
      <c r="N3" s="813"/>
      <c r="O3" s="814"/>
      <c r="P3" s="342" t="s">
        <v>438</v>
      </c>
      <c r="Q3" s="342" t="s">
        <v>439</v>
      </c>
      <c r="R3" s="342" t="s">
        <v>440</v>
      </c>
      <c r="S3" s="342" t="s">
        <v>441</v>
      </c>
      <c r="T3" s="343" t="s">
        <v>620</v>
      </c>
      <c r="U3" s="343" t="s">
        <v>621</v>
      </c>
      <c r="V3" s="344" t="s">
        <v>442</v>
      </c>
      <c r="W3" s="344" t="s">
        <v>443</v>
      </c>
      <c r="X3" s="345" t="s">
        <v>444</v>
      </c>
      <c r="Y3" s="346" t="s">
        <v>444</v>
      </c>
      <c r="Z3" s="347" t="s">
        <v>445</v>
      </c>
      <c r="AA3" s="340" t="s">
        <v>442</v>
      </c>
    </row>
    <row r="4" spans="1:27" x14ac:dyDescent="0.2">
      <c r="A4" s="348" t="s">
        <v>622</v>
      </c>
      <c r="B4" s="680">
        <f>'Resumo Proposta'!D20</f>
        <v>0.02</v>
      </c>
      <c r="C4" s="681"/>
      <c r="D4" s="351"/>
      <c r="E4" s="351">
        <f>($E$23*30/40)*(1-H4/$H$23)</f>
        <v>825</v>
      </c>
      <c r="F4" s="284"/>
      <c r="G4" s="682"/>
      <c r="H4" s="353"/>
      <c r="I4" s="284"/>
      <c r="J4" s="353"/>
      <c r="K4" s="284"/>
      <c r="L4" s="353">
        <v>82.1</v>
      </c>
      <c r="M4" s="353"/>
      <c r="N4" s="354"/>
      <c r="O4" s="355">
        <f t="shared" ref="O4:O21" si="0">D4/$D$23+E4/$E$23+F4/$F$23+G4/$G$23+H4/$H$23+I4/$I$23+J4/$J$23+K4/$K$23+M4/$M$23*16*1/188.76+N4/$N$23*16*1/188.76</f>
        <v>0.75</v>
      </c>
      <c r="P4" s="355"/>
      <c r="Q4" s="355"/>
      <c r="R4" s="355">
        <v>1</v>
      </c>
      <c r="S4" s="355"/>
      <c r="T4" s="355"/>
      <c r="U4" s="355"/>
      <c r="V4" s="356"/>
      <c r="W4" s="356"/>
      <c r="X4" s="357">
        <v>6</v>
      </c>
      <c r="Y4" s="358">
        <v>6</v>
      </c>
      <c r="Z4" s="359">
        <v>22</v>
      </c>
      <c r="AA4" s="360">
        <v>1</v>
      </c>
    </row>
    <row r="5" spans="1:27" x14ac:dyDescent="0.2">
      <c r="A5" s="361" t="s">
        <v>83</v>
      </c>
      <c r="B5" s="683">
        <f>'Resumo Proposta'!D21</f>
        <v>0.02</v>
      </c>
      <c r="C5" s="684"/>
      <c r="D5" s="284"/>
      <c r="E5" s="284">
        <f>($E$23*20/40)*(1-H5/$H$23)</f>
        <v>550</v>
      </c>
      <c r="F5" s="284"/>
      <c r="G5" s="284"/>
      <c r="H5" s="284"/>
      <c r="I5" s="284"/>
      <c r="J5" s="284"/>
      <c r="K5" s="284"/>
      <c r="L5" s="284"/>
      <c r="M5" s="284"/>
      <c r="N5" s="365"/>
      <c r="O5" s="355">
        <f t="shared" si="0"/>
        <v>0.5</v>
      </c>
      <c r="P5" s="367"/>
      <c r="Q5" s="367"/>
      <c r="R5" s="367"/>
      <c r="S5" s="367"/>
      <c r="T5" s="367">
        <v>1</v>
      </c>
      <c r="U5" s="367"/>
      <c r="V5" s="368"/>
      <c r="W5" s="368"/>
      <c r="X5" s="369">
        <v>6</v>
      </c>
      <c r="Y5" s="370">
        <v>6</v>
      </c>
      <c r="Z5" s="371"/>
      <c r="AA5" s="372"/>
    </row>
    <row r="6" spans="1:27" x14ac:dyDescent="0.2">
      <c r="A6" s="361" t="s">
        <v>85</v>
      </c>
      <c r="B6" s="683">
        <f>'Resumo Proposta'!D22</f>
        <v>0.02</v>
      </c>
      <c r="C6" s="684"/>
      <c r="D6" s="284"/>
      <c r="E6" s="284">
        <f>($E$23*30/40)*(1-H6/$H$23)</f>
        <v>825</v>
      </c>
      <c r="F6" s="284"/>
      <c r="G6" s="284"/>
      <c r="H6" s="284"/>
      <c r="I6" s="284"/>
      <c r="J6" s="284"/>
      <c r="K6" s="284"/>
      <c r="L6" s="284"/>
      <c r="M6" s="284"/>
      <c r="N6" s="365"/>
      <c r="O6" s="355">
        <f t="shared" si="0"/>
        <v>0.75</v>
      </c>
      <c r="P6" s="367"/>
      <c r="Q6" s="367"/>
      <c r="R6" s="367">
        <v>1</v>
      </c>
      <c r="S6" s="367"/>
      <c r="T6" s="367"/>
      <c r="U6" s="367"/>
      <c r="V6" s="368"/>
      <c r="W6" s="368"/>
      <c r="X6" s="369">
        <v>6</v>
      </c>
      <c r="Y6" s="370">
        <v>6</v>
      </c>
      <c r="Z6" s="373"/>
      <c r="AA6" s="372"/>
    </row>
    <row r="7" spans="1:27" x14ac:dyDescent="0.2">
      <c r="A7" s="361" t="s">
        <v>87</v>
      </c>
      <c r="B7" s="683">
        <f>'Resumo Proposta'!D23</f>
        <v>0.02</v>
      </c>
      <c r="C7" s="684"/>
      <c r="D7" s="284"/>
      <c r="E7" s="284">
        <f>($E$23*30/40)*(1-H7/$H$23)</f>
        <v>825</v>
      </c>
      <c r="F7" s="284"/>
      <c r="G7" s="284"/>
      <c r="H7" s="284"/>
      <c r="I7" s="284"/>
      <c r="J7" s="284"/>
      <c r="K7" s="284"/>
      <c r="L7" s="284"/>
      <c r="M7" s="284"/>
      <c r="N7" s="365"/>
      <c r="O7" s="355">
        <f t="shared" si="0"/>
        <v>0.75</v>
      </c>
      <c r="P7" s="367"/>
      <c r="Q7" s="367"/>
      <c r="R7" s="367">
        <v>1</v>
      </c>
      <c r="S7" s="367"/>
      <c r="T7" s="367"/>
      <c r="U7" s="367"/>
      <c r="V7" s="368"/>
      <c r="W7" s="368"/>
      <c r="X7" s="369">
        <v>6</v>
      </c>
      <c r="Y7" s="370">
        <v>6</v>
      </c>
      <c r="Z7" s="373"/>
      <c r="AA7" s="372"/>
    </row>
    <row r="8" spans="1:27" x14ac:dyDescent="0.2">
      <c r="A8" s="361" t="s">
        <v>89</v>
      </c>
      <c r="B8" s="683">
        <f>'Resumo Proposta'!D24</f>
        <v>2.5000000000000001E-2</v>
      </c>
      <c r="C8" s="684">
        <v>1521.11</v>
      </c>
      <c r="D8" s="284">
        <f>C8-E8-F8-G8-H8</f>
        <v>402.19799999999998</v>
      </c>
      <c r="E8" s="284">
        <f>$E$23*(1-H8/$H$23)</f>
        <v>428.25200000000001</v>
      </c>
      <c r="F8" s="284">
        <v>448.99</v>
      </c>
      <c r="G8" s="284">
        <v>89</v>
      </c>
      <c r="H8" s="284">
        <v>152.66999999999999</v>
      </c>
      <c r="I8" s="284"/>
      <c r="J8" s="284"/>
      <c r="K8" s="284">
        <v>1519.51</v>
      </c>
      <c r="L8" s="284"/>
      <c r="M8" s="284">
        <f>N8</f>
        <v>41.39</v>
      </c>
      <c r="N8" s="365">
        <v>41.39</v>
      </c>
      <c r="O8" s="355">
        <f t="shared" si="0"/>
        <v>1.8913729862482016</v>
      </c>
      <c r="P8" s="367">
        <v>1</v>
      </c>
      <c r="Q8" s="367"/>
      <c r="R8" s="367"/>
      <c r="S8" s="367">
        <v>1</v>
      </c>
      <c r="T8" s="367"/>
      <c r="U8" s="367"/>
      <c r="V8" s="368"/>
      <c r="W8" s="368"/>
      <c r="X8" s="369">
        <v>6</v>
      </c>
      <c r="Y8" s="370">
        <v>6</v>
      </c>
      <c r="Z8" s="373"/>
      <c r="AA8" s="372"/>
    </row>
    <row r="9" spans="1:27" x14ac:dyDescent="0.2">
      <c r="A9" s="361" t="s">
        <v>91</v>
      </c>
      <c r="B9" s="683">
        <f>'Resumo Proposta'!D25</f>
        <v>2.5000000000000001E-2</v>
      </c>
      <c r="C9" s="684"/>
      <c r="D9" s="284"/>
      <c r="E9" s="284">
        <f>($E$23*30/40)*(1-H9/$H$23)</f>
        <v>825</v>
      </c>
      <c r="F9" s="284"/>
      <c r="G9" s="284"/>
      <c r="H9" s="284"/>
      <c r="I9" s="284"/>
      <c r="J9" s="284"/>
      <c r="K9" s="284"/>
      <c r="L9" s="284"/>
      <c r="M9" s="284"/>
      <c r="N9" s="365"/>
      <c r="O9" s="355">
        <f t="shared" si="0"/>
        <v>0.75</v>
      </c>
      <c r="P9" s="367"/>
      <c r="Q9" s="367"/>
      <c r="R9" s="367">
        <v>1</v>
      </c>
      <c r="S9" s="367"/>
      <c r="T9" s="367"/>
      <c r="U9" s="367"/>
      <c r="V9" s="368"/>
      <c r="W9" s="368"/>
      <c r="X9" s="369">
        <v>6</v>
      </c>
      <c r="Y9" s="370">
        <v>6</v>
      </c>
      <c r="Z9" s="373"/>
      <c r="AA9" s="372"/>
    </row>
    <row r="10" spans="1:27" x14ac:dyDescent="0.2">
      <c r="A10" s="361" t="s">
        <v>93</v>
      </c>
      <c r="B10" s="683">
        <f>'Resumo Proposta'!D26</f>
        <v>2.5000000000000001E-2</v>
      </c>
      <c r="C10" s="684">
        <v>1793.65</v>
      </c>
      <c r="D10" s="284">
        <f t="shared" ref="D10:D16" si="1">C10-E10-F10-G10-H10</f>
        <v>543.80600000000004</v>
      </c>
      <c r="E10" s="284">
        <f t="shared" ref="E10:E17" si="2">$E$23*(1-H10/$H$23)</f>
        <v>782.14400000000001</v>
      </c>
      <c r="F10" s="284">
        <v>350.46</v>
      </c>
      <c r="G10" s="284">
        <v>45</v>
      </c>
      <c r="H10" s="284">
        <v>72.239999999999995</v>
      </c>
      <c r="I10" s="284"/>
      <c r="J10" s="284"/>
      <c r="K10" s="284">
        <v>603.89</v>
      </c>
      <c r="L10" s="284"/>
      <c r="M10" s="284">
        <f t="shared" ref="M10:M16" si="3">N10</f>
        <v>56.61</v>
      </c>
      <c r="N10" s="365">
        <v>56.61</v>
      </c>
      <c r="O10" s="355">
        <f t="shared" si="0"/>
        <v>1.8264231074454518</v>
      </c>
      <c r="P10" s="367">
        <v>1</v>
      </c>
      <c r="Q10" s="367"/>
      <c r="R10" s="367"/>
      <c r="S10" s="367">
        <v>1</v>
      </c>
      <c r="T10" s="367"/>
      <c r="U10" s="367"/>
      <c r="V10" s="368"/>
      <c r="W10" s="368">
        <v>1</v>
      </c>
      <c r="X10" s="369">
        <v>6</v>
      </c>
      <c r="Y10" s="370">
        <v>6</v>
      </c>
      <c r="Z10" s="373"/>
      <c r="AA10" s="372"/>
    </row>
    <row r="11" spans="1:27" x14ac:dyDescent="0.2">
      <c r="A11" s="361" t="s">
        <v>95</v>
      </c>
      <c r="B11" s="683">
        <f>'Resumo Proposta'!D27</f>
        <v>3.5000000000000003E-2</v>
      </c>
      <c r="C11" s="684">
        <v>1890.08</v>
      </c>
      <c r="D11" s="284">
        <f t="shared" si="1"/>
        <v>-518.63400000000001</v>
      </c>
      <c r="E11" s="284">
        <f t="shared" si="2"/>
        <v>951.98400000000004</v>
      </c>
      <c r="F11" s="284">
        <f>84.46+339.99</f>
        <v>424.45</v>
      </c>
      <c r="G11" s="284">
        <f>88.78+51.84+170.54+18.29+6.25+346.68+245.79+70.47</f>
        <v>998.64</v>
      </c>
      <c r="H11" s="284">
        <f>19.76+13.88</f>
        <v>33.64</v>
      </c>
      <c r="I11" s="284">
        <v>264.85000000000002</v>
      </c>
      <c r="J11" s="284"/>
      <c r="K11" s="284">
        <v>186.29</v>
      </c>
      <c r="L11" s="284"/>
      <c r="M11" s="284">
        <f t="shared" si="3"/>
        <v>28.83</v>
      </c>
      <c r="N11" s="365">
        <v>28.83</v>
      </c>
      <c r="O11" s="355">
        <f t="shared" si="0"/>
        <v>1.894613361860539</v>
      </c>
      <c r="P11" s="367"/>
      <c r="Q11" s="367"/>
      <c r="R11" s="367">
        <v>1</v>
      </c>
      <c r="S11" s="367">
        <v>1</v>
      </c>
      <c r="T11" s="367"/>
      <c r="U11" s="367"/>
      <c r="V11" s="368"/>
      <c r="W11" s="368">
        <v>1</v>
      </c>
      <c r="X11" s="369">
        <v>6</v>
      </c>
      <c r="Y11" s="370">
        <v>6</v>
      </c>
      <c r="Z11" s="373"/>
      <c r="AA11" s="372"/>
    </row>
    <row r="12" spans="1:27" x14ac:dyDescent="0.2">
      <c r="A12" s="361" t="s">
        <v>97</v>
      </c>
      <c r="B12" s="683">
        <f>'Resumo Proposta'!D28</f>
        <v>0.02</v>
      </c>
      <c r="C12" s="684">
        <v>760.93</v>
      </c>
      <c r="D12" s="284">
        <f t="shared" si="1"/>
        <v>-58.773999999999944</v>
      </c>
      <c r="E12" s="284">
        <f t="shared" si="2"/>
        <v>737.2639999999999</v>
      </c>
      <c r="F12" s="284">
        <v>0</v>
      </c>
      <c r="G12" s="685">
        <v>0</v>
      </c>
      <c r="H12" s="284">
        <v>82.44</v>
      </c>
      <c r="I12" s="284"/>
      <c r="J12" s="284"/>
      <c r="K12" s="284">
        <v>82.48</v>
      </c>
      <c r="L12" s="284"/>
      <c r="M12" s="284">
        <f t="shared" si="3"/>
        <v>23.75</v>
      </c>
      <c r="N12" s="365">
        <v>23.75</v>
      </c>
      <c r="O12" s="355">
        <f t="shared" si="0"/>
        <v>0.96632900049445503</v>
      </c>
      <c r="P12" s="367">
        <v>1</v>
      </c>
      <c r="Q12" s="367"/>
      <c r="R12" s="367"/>
      <c r="S12" s="367">
        <v>1</v>
      </c>
      <c r="T12" s="367"/>
      <c r="U12" s="367"/>
      <c r="V12" s="368"/>
      <c r="W12" s="368">
        <v>1</v>
      </c>
      <c r="X12" s="369">
        <v>6</v>
      </c>
      <c r="Y12" s="370">
        <v>6</v>
      </c>
      <c r="Z12" s="373"/>
      <c r="AA12" s="372"/>
    </row>
    <row r="13" spans="1:27" x14ac:dyDescent="0.2">
      <c r="A13" s="361" t="s">
        <v>99</v>
      </c>
      <c r="B13" s="683">
        <f>'Resumo Proposta'!D29</f>
        <v>0.03</v>
      </c>
      <c r="C13" s="684">
        <v>2438.61</v>
      </c>
      <c r="D13" s="284">
        <f t="shared" si="1"/>
        <v>580.49800000000005</v>
      </c>
      <c r="E13" s="284">
        <f t="shared" si="2"/>
        <v>524.83199999999999</v>
      </c>
      <c r="F13" s="284">
        <f>524.97+45.23+43.85</f>
        <v>614.05000000000007</v>
      </c>
      <c r="G13" s="284">
        <f>350.51+238</f>
        <v>588.51</v>
      </c>
      <c r="H13" s="284">
        <f>14.78+10.37+22.76+14+46.46+11.1+11.25</f>
        <v>130.72</v>
      </c>
      <c r="I13" s="284">
        <v>493.61</v>
      </c>
      <c r="J13" s="284"/>
      <c r="K13" s="284">
        <f>123*3</f>
        <v>369</v>
      </c>
      <c r="L13" s="284"/>
      <c r="M13" s="284">
        <f t="shared" si="3"/>
        <v>79.91</v>
      </c>
      <c r="N13" s="365">
        <v>79.91</v>
      </c>
      <c r="O13" s="355">
        <f t="shared" si="0"/>
        <v>2.7168426985596366</v>
      </c>
      <c r="P13" s="367">
        <v>1</v>
      </c>
      <c r="Q13" s="367"/>
      <c r="R13" s="367"/>
      <c r="S13" s="367">
        <v>2</v>
      </c>
      <c r="T13" s="367"/>
      <c r="U13" s="367"/>
      <c r="V13" s="368"/>
      <c r="W13" s="368">
        <v>1</v>
      </c>
      <c r="X13" s="369">
        <v>6</v>
      </c>
      <c r="Y13" s="370">
        <v>6</v>
      </c>
      <c r="Z13" s="373"/>
      <c r="AA13" s="372"/>
    </row>
    <row r="14" spans="1:27" x14ac:dyDescent="0.2">
      <c r="A14" s="361" t="s">
        <v>101</v>
      </c>
      <c r="B14" s="683">
        <f>'Resumo Proposta'!D30</f>
        <v>0.03</v>
      </c>
      <c r="C14" s="684">
        <v>734.15</v>
      </c>
      <c r="D14" s="284">
        <f t="shared" si="1"/>
        <v>12.119999999999948</v>
      </c>
      <c r="E14" s="284">
        <f t="shared" si="2"/>
        <v>502.04</v>
      </c>
      <c r="F14" s="284">
        <v>40.090000000000003</v>
      </c>
      <c r="G14" s="284">
        <v>44</v>
      </c>
      <c r="H14" s="284">
        <v>135.9</v>
      </c>
      <c r="I14" s="284"/>
      <c r="J14" s="284"/>
      <c r="K14" s="284">
        <v>1238.5</v>
      </c>
      <c r="L14" s="284"/>
      <c r="M14" s="284">
        <f t="shared" si="3"/>
        <v>47.96</v>
      </c>
      <c r="N14" s="365">
        <v>47.96</v>
      </c>
      <c r="O14" s="355">
        <f t="shared" si="0"/>
        <v>1.2362976628634521</v>
      </c>
      <c r="P14" s="367"/>
      <c r="Q14" s="367"/>
      <c r="R14" s="367">
        <v>1</v>
      </c>
      <c r="S14" s="367">
        <v>1</v>
      </c>
      <c r="T14" s="367"/>
      <c r="U14" s="367"/>
      <c r="V14" s="368"/>
      <c r="W14" s="368"/>
      <c r="X14" s="369">
        <v>6</v>
      </c>
      <c r="Y14" s="370">
        <v>6</v>
      </c>
      <c r="Z14" s="373"/>
      <c r="AA14" s="372"/>
    </row>
    <row r="15" spans="1:27" x14ac:dyDescent="0.2">
      <c r="A15" s="361" t="s">
        <v>103</v>
      </c>
      <c r="B15" s="683">
        <f>'Resumo Proposta'!D31</f>
        <v>0.02</v>
      </c>
      <c r="C15" s="684">
        <v>1800.91</v>
      </c>
      <c r="D15" s="284">
        <f t="shared" si="1"/>
        <v>-241.43599999999995</v>
      </c>
      <c r="E15" s="284">
        <f t="shared" si="2"/>
        <v>866.09600000000012</v>
      </c>
      <c r="F15" s="284">
        <v>1052.0899999999999</v>
      </c>
      <c r="G15" s="284">
        <v>71</v>
      </c>
      <c r="H15" s="284">
        <v>53.16</v>
      </c>
      <c r="I15" s="284"/>
      <c r="J15" s="284"/>
      <c r="K15" s="284">
        <v>1660.66</v>
      </c>
      <c r="L15" s="284"/>
      <c r="M15" s="284">
        <f t="shared" si="3"/>
        <v>47.75</v>
      </c>
      <c r="N15" s="365">
        <v>47.75</v>
      </c>
      <c r="O15" s="355">
        <f t="shared" si="0"/>
        <v>1.6418274109887985</v>
      </c>
      <c r="P15" s="367"/>
      <c r="Q15" s="367"/>
      <c r="R15" s="367">
        <v>1</v>
      </c>
      <c r="S15" s="367"/>
      <c r="T15" s="367"/>
      <c r="U15" s="367">
        <v>1</v>
      </c>
      <c r="V15" s="368"/>
      <c r="W15" s="368"/>
      <c r="X15" s="369">
        <v>6</v>
      </c>
      <c r="Y15" s="370">
        <v>6</v>
      </c>
      <c r="Z15" s="373"/>
      <c r="AA15" s="372"/>
    </row>
    <row r="16" spans="1:27" x14ac:dyDescent="0.2">
      <c r="A16" s="361" t="s">
        <v>105</v>
      </c>
      <c r="B16" s="683">
        <f>'Resumo Proposta'!D32</f>
        <v>0.03</v>
      </c>
      <c r="C16" s="684">
        <v>1761.5</v>
      </c>
      <c r="D16" s="284">
        <f t="shared" si="1"/>
        <v>696.85200000000009</v>
      </c>
      <c r="E16" s="284">
        <f t="shared" si="2"/>
        <v>232.62800000000001</v>
      </c>
      <c r="F16" s="284">
        <v>548.89</v>
      </c>
      <c r="G16" s="284">
        <v>86</v>
      </c>
      <c r="H16" s="284">
        <v>197.13</v>
      </c>
      <c r="I16" s="284"/>
      <c r="J16" s="284"/>
      <c r="K16" s="284">
        <v>267.45</v>
      </c>
      <c r="L16" s="284"/>
      <c r="M16" s="284">
        <f t="shared" si="3"/>
        <v>17.75</v>
      </c>
      <c r="N16" s="365">
        <v>17.75</v>
      </c>
      <c r="O16" s="355">
        <f t="shared" si="0"/>
        <v>2.0620760897900614</v>
      </c>
      <c r="P16" s="367"/>
      <c r="Q16" s="367"/>
      <c r="R16" s="367">
        <v>1</v>
      </c>
      <c r="S16" s="367">
        <v>1</v>
      </c>
      <c r="T16" s="367"/>
      <c r="U16" s="367"/>
      <c r="V16" s="368"/>
      <c r="W16" s="368">
        <v>1</v>
      </c>
      <c r="X16" s="369">
        <v>6</v>
      </c>
      <c r="Y16" s="370">
        <v>6</v>
      </c>
      <c r="Z16" s="373"/>
      <c r="AA16" s="372"/>
    </row>
    <row r="17" spans="1:1012" x14ac:dyDescent="0.2">
      <c r="A17" s="361" t="s">
        <v>107</v>
      </c>
      <c r="B17" s="683">
        <f>'Resumo Proposta'!D33</f>
        <v>0.02</v>
      </c>
      <c r="C17" s="684"/>
      <c r="D17" s="284"/>
      <c r="E17" s="284">
        <f t="shared" si="2"/>
        <v>1100</v>
      </c>
      <c r="F17" s="284"/>
      <c r="G17" s="284"/>
      <c r="H17" s="284"/>
      <c r="I17" s="284"/>
      <c r="J17" s="284"/>
      <c r="K17" s="284"/>
      <c r="L17" s="284"/>
      <c r="M17" s="284"/>
      <c r="N17" s="365"/>
      <c r="O17" s="355">
        <f t="shared" si="0"/>
        <v>1</v>
      </c>
      <c r="P17" s="367">
        <v>1</v>
      </c>
      <c r="Q17" s="367"/>
      <c r="R17" s="367"/>
      <c r="S17" s="367"/>
      <c r="T17" s="367"/>
      <c r="U17" s="367"/>
      <c r="V17" s="368"/>
      <c r="W17" s="368"/>
      <c r="X17" s="369">
        <v>6</v>
      </c>
      <c r="Y17" s="370">
        <v>6</v>
      </c>
      <c r="Z17" s="373"/>
      <c r="AA17" s="372"/>
    </row>
    <row r="18" spans="1:1012" x14ac:dyDescent="0.2">
      <c r="A18" s="361" t="s">
        <v>109</v>
      </c>
      <c r="B18" s="683">
        <f>'Resumo Proposta'!D34</f>
        <v>0.03</v>
      </c>
      <c r="C18" s="684"/>
      <c r="D18" s="284"/>
      <c r="E18" s="284">
        <f>($E$23*30/40)*(1-H18/$H$23)</f>
        <v>825</v>
      </c>
      <c r="F18" s="284"/>
      <c r="G18" s="284"/>
      <c r="H18" s="284"/>
      <c r="I18" s="284"/>
      <c r="J18" s="284"/>
      <c r="K18" s="284"/>
      <c r="L18" s="284"/>
      <c r="M18" s="284"/>
      <c r="N18" s="365"/>
      <c r="O18" s="355">
        <f t="shared" si="0"/>
        <v>0.75</v>
      </c>
      <c r="P18" s="367"/>
      <c r="Q18" s="367"/>
      <c r="R18" s="367">
        <v>1</v>
      </c>
      <c r="S18" s="367"/>
      <c r="T18" s="367"/>
      <c r="U18" s="367"/>
      <c r="V18" s="368"/>
      <c r="W18" s="368"/>
      <c r="X18" s="369">
        <v>6</v>
      </c>
      <c r="Y18" s="370">
        <v>6</v>
      </c>
      <c r="Z18" s="373"/>
      <c r="AA18" s="372"/>
    </row>
    <row r="19" spans="1:1012" x14ac:dyDescent="0.2">
      <c r="A19" s="361" t="s">
        <v>110</v>
      </c>
      <c r="B19" s="683">
        <f>'Resumo Proposta'!D35</f>
        <v>2.5000000000000001E-2</v>
      </c>
      <c r="C19" s="684"/>
      <c r="D19" s="284"/>
      <c r="E19" s="284">
        <f>($E$23*30/40)*(1-H19/$H$23)</f>
        <v>825</v>
      </c>
      <c r="F19" s="284"/>
      <c r="G19" s="284"/>
      <c r="H19" s="284"/>
      <c r="I19" s="284"/>
      <c r="J19" s="284"/>
      <c r="K19" s="284"/>
      <c r="L19" s="284"/>
      <c r="M19" s="284"/>
      <c r="N19" s="365"/>
      <c r="O19" s="355">
        <f t="shared" si="0"/>
        <v>0.75</v>
      </c>
      <c r="P19" s="367"/>
      <c r="Q19" s="367"/>
      <c r="R19" s="367">
        <v>1</v>
      </c>
      <c r="S19" s="367"/>
      <c r="T19" s="367"/>
      <c r="U19" s="367"/>
      <c r="V19" s="368"/>
      <c r="W19" s="368"/>
      <c r="X19" s="369">
        <v>6</v>
      </c>
      <c r="Y19" s="370">
        <v>6</v>
      </c>
      <c r="Z19" s="373"/>
      <c r="AA19" s="372"/>
    </row>
    <row r="20" spans="1:1012" x14ac:dyDescent="0.2">
      <c r="A20" s="686" t="s">
        <v>111</v>
      </c>
      <c r="B20" s="683">
        <f>'Resumo Proposta'!D36</f>
        <v>0.03</v>
      </c>
      <c r="C20" s="684"/>
      <c r="D20" s="284"/>
      <c r="E20" s="284"/>
      <c r="F20" s="687"/>
      <c r="G20" s="687"/>
      <c r="H20" s="687"/>
      <c r="I20" s="687"/>
      <c r="J20" s="687"/>
      <c r="K20" s="687"/>
      <c r="L20" s="687"/>
      <c r="M20" s="687"/>
      <c r="N20" s="688"/>
      <c r="O20" s="355">
        <f t="shared" si="0"/>
        <v>0</v>
      </c>
      <c r="P20" s="367"/>
      <c r="Q20" s="367"/>
      <c r="R20" s="367"/>
      <c r="S20" s="367"/>
      <c r="T20" s="367"/>
      <c r="U20" s="367"/>
      <c r="V20" s="368"/>
      <c r="W20" s="368"/>
      <c r="X20" s="369"/>
      <c r="Y20" s="370"/>
      <c r="Z20" s="373"/>
      <c r="AA20" s="372"/>
    </row>
    <row r="21" spans="1:1012" x14ac:dyDescent="0.2">
      <c r="A21" s="375" t="s">
        <v>114</v>
      </c>
      <c r="B21" s="689">
        <f>'Resumo Proposta'!D37</f>
        <v>0.02</v>
      </c>
      <c r="C21" s="690"/>
      <c r="D21" s="378"/>
      <c r="E21" s="378">
        <f>($E$23*30/40)*(1-H21/$H$23)</f>
        <v>825</v>
      </c>
      <c r="F21" s="284"/>
      <c r="G21" s="284"/>
      <c r="H21" s="284"/>
      <c r="I21" s="380"/>
      <c r="J21" s="380"/>
      <c r="K21" s="380"/>
      <c r="L21" s="380"/>
      <c r="M21" s="284"/>
      <c r="N21" s="365"/>
      <c r="O21" s="355">
        <f t="shared" si="0"/>
        <v>0.75</v>
      </c>
      <c r="P21" s="367"/>
      <c r="Q21" s="367"/>
      <c r="R21" s="367">
        <v>1</v>
      </c>
      <c r="S21" s="367"/>
      <c r="T21" s="367"/>
      <c r="U21" s="367"/>
      <c r="V21" s="368"/>
      <c r="W21" s="368"/>
      <c r="X21" s="369">
        <v>6</v>
      </c>
      <c r="Y21" s="370">
        <v>6</v>
      </c>
      <c r="Z21" s="373"/>
      <c r="AA21" s="372"/>
    </row>
    <row r="22" spans="1:1012" x14ac:dyDescent="0.2">
      <c r="A22" s="382" t="s">
        <v>446</v>
      </c>
      <c r="B22" s="382"/>
      <c r="C22" s="691">
        <f t="shared" ref="C22:AA22" si="4">SUM(C4:C21)</f>
        <v>12700.94</v>
      </c>
      <c r="D22" s="691">
        <f t="shared" si="4"/>
        <v>1416.63</v>
      </c>
      <c r="E22" s="691">
        <f t="shared" si="4"/>
        <v>12450.240000000002</v>
      </c>
      <c r="F22" s="691">
        <f t="shared" si="4"/>
        <v>3479.02</v>
      </c>
      <c r="G22" s="691">
        <f t="shared" si="4"/>
        <v>1922.1499999999999</v>
      </c>
      <c r="H22" s="691">
        <f t="shared" si="4"/>
        <v>857.89999999999986</v>
      </c>
      <c r="I22" s="691">
        <f t="shared" si="4"/>
        <v>758.46</v>
      </c>
      <c r="J22" s="691">
        <f t="shared" si="4"/>
        <v>0</v>
      </c>
      <c r="K22" s="691">
        <f t="shared" si="4"/>
        <v>5927.78</v>
      </c>
      <c r="L22" s="691">
        <f t="shared" si="4"/>
        <v>82.1</v>
      </c>
      <c r="M22" s="691">
        <f t="shared" si="4"/>
        <v>343.95</v>
      </c>
      <c r="N22" s="691">
        <f t="shared" si="4"/>
        <v>343.95</v>
      </c>
      <c r="O22" s="384">
        <f t="shared" si="4"/>
        <v>20.985782318250596</v>
      </c>
      <c r="P22" s="386">
        <f t="shared" si="4"/>
        <v>5</v>
      </c>
      <c r="Q22" s="386">
        <f t="shared" si="4"/>
        <v>0</v>
      </c>
      <c r="R22" s="692">
        <f t="shared" si="4"/>
        <v>11</v>
      </c>
      <c r="S22" s="386">
        <f t="shared" si="4"/>
        <v>8</v>
      </c>
      <c r="T22" s="386">
        <f t="shared" si="4"/>
        <v>1</v>
      </c>
      <c r="U22" s="386">
        <f t="shared" si="4"/>
        <v>1</v>
      </c>
      <c r="V22" s="693">
        <f t="shared" si="4"/>
        <v>0</v>
      </c>
      <c r="W22" s="693">
        <f t="shared" si="4"/>
        <v>5</v>
      </c>
      <c r="X22" s="389">
        <f t="shared" si="4"/>
        <v>102</v>
      </c>
      <c r="Y22" s="390">
        <f t="shared" si="4"/>
        <v>102</v>
      </c>
      <c r="Z22" s="391">
        <f t="shared" si="4"/>
        <v>22</v>
      </c>
      <c r="AA22" s="392">
        <f t="shared" si="4"/>
        <v>1</v>
      </c>
      <c r="ALW22" s="272"/>
      <c r="ALX22" s="272"/>
    </row>
    <row r="23" spans="1:1012" x14ac:dyDescent="0.2">
      <c r="A23" s="393" t="s">
        <v>447</v>
      </c>
      <c r="B23" s="393"/>
      <c r="C23" s="393"/>
      <c r="D23" s="394">
        <v>1100</v>
      </c>
      <c r="E23" s="394">
        <v>1100</v>
      </c>
      <c r="F23" s="395">
        <v>1800</v>
      </c>
      <c r="G23" s="395">
        <v>1000</v>
      </c>
      <c r="H23" s="395">
        <v>250</v>
      </c>
      <c r="I23" s="395">
        <v>2700</v>
      </c>
      <c r="J23" s="395">
        <v>100000</v>
      </c>
      <c r="K23" s="395">
        <v>9000</v>
      </c>
      <c r="L23" s="395">
        <v>160</v>
      </c>
      <c r="M23" s="395">
        <v>380</v>
      </c>
      <c r="N23" s="396">
        <v>380</v>
      </c>
      <c r="O23" s="397"/>
      <c r="P23" s="398" t="s">
        <v>448</v>
      </c>
      <c r="Q23" s="399">
        <f>SUM(P22:U22)</f>
        <v>26</v>
      </c>
      <c r="R23" s="316"/>
      <c r="S23" s="400"/>
      <c r="T23" s="400"/>
      <c r="U23" s="400"/>
      <c r="V23" s="398" t="s">
        <v>448</v>
      </c>
      <c r="W23" s="401">
        <f>V22+W22</f>
        <v>5</v>
      </c>
      <c r="X23" s="402"/>
      <c r="Y23" s="402"/>
      <c r="Z23" s="402"/>
      <c r="AA23" s="316"/>
    </row>
    <row r="24" spans="1:1012" ht="15" x14ac:dyDescent="0.25">
      <c r="A24" s="403" t="s">
        <v>449</v>
      </c>
      <c r="B24" s="403"/>
      <c r="C24" s="403"/>
      <c r="D24" s="404">
        <f t="shared" ref="D24:K24" si="5">D22/D23</f>
        <v>1.2878454545454547</v>
      </c>
      <c r="E24" s="404">
        <f t="shared" si="5"/>
        <v>11.318400000000002</v>
      </c>
      <c r="F24" s="405">
        <f t="shared" si="5"/>
        <v>1.9327888888888889</v>
      </c>
      <c r="G24" s="405">
        <f t="shared" si="5"/>
        <v>1.9221499999999998</v>
      </c>
      <c r="H24" s="405">
        <f t="shared" si="5"/>
        <v>3.4315999999999995</v>
      </c>
      <c r="I24" s="405">
        <f t="shared" si="5"/>
        <v>0.28091111111111111</v>
      </c>
      <c r="J24" s="405">
        <f t="shared" si="5"/>
        <v>0</v>
      </c>
      <c r="K24" s="405">
        <f t="shared" si="5"/>
        <v>0.65864222222222224</v>
      </c>
      <c r="L24" s="405">
        <f>1/L23*8*1/1132.6*L22</f>
        <v>3.624404026134558E-3</v>
      </c>
      <c r="M24" s="405">
        <f>1/M23*16*1/188.76*M22</f>
        <v>7.6722320741459502E-2</v>
      </c>
      <c r="N24" s="406">
        <f>1/N23*16*1/188.76*N22</f>
        <v>7.6722320741459502E-2</v>
      </c>
      <c r="O24" s="407">
        <f>SUM(D24:N24)-L24</f>
        <v>20.985782318250596</v>
      </c>
      <c r="P24" s="398" t="s">
        <v>450</v>
      </c>
      <c r="Q24" s="694">
        <f>P22+Q22+(R22*0.75)+(S22*0.75)+(T22*0.5)+(U22*0.5)</f>
        <v>20.25</v>
      </c>
      <c r="R24" s="316"/>
      <c r="S24" s="316"/>
      <c r="T24" s="316"/>
      <c r="U24" s="316"/>
      <c r="V24" s="408"/>
      <c r="W24" s="408"/>
      <c r="X24" s="316"/>
      <c r="Y24" s="316"/>
      <c r="Z24" s="316"/>
      <c r="AA24" s="316"/>
    </row>
    <row r="25" spans="1:1012" ht="15" x14ac:dyDescent="0.25">
      <c r="A25" s="409" t="s">
        <v>451</v>
      </c>
      <c r="B25" s="409"/>
      <c r="C25" s="409"/>
      <c r="D25" s="410">
        <f t="shared" ref="D25:K25" si="6">D22/($O24*D23)</f>
        <v>6.1367521830504299E-2</v>
      </c>
      <c r="E25" s="695">
        <f t="shared" si="6"/>
        <v>0.5393365769431806</v>
      </c>
      <c r="F25" s="696">
        <f t="shared" si="6"/>
        <v>9.2099920773885582E-2</v>
      </c>
      <c r="G25" s="696">
        <f t="shared" si="6"/>
        <v>9.1592963790936385E-2</v>
      </c>
      <c r="H25" s="696">
        <f t="shared" si="6"/>
        <v>0.16352023231536419</v>
      </c>
      <c r="I25" s="696">
        <f t="shared" si="6"/>
        <v>1.3385782185818854E-2</v>
      </c>
      <c r="J25" s="696">
        <f t="shared" si="6"/>
        <v>0</v>
      </c>
      <c r="K25" s="696">
        <f t="shared" si="6"/>
        <v>3.1385164118919895E-2</v>
      </c>
      <c r="L25" s="696">
        <f>1/$O24*1/L23*16*1/188.76*L22</f>
        <v>2.0725643554231369E-3</v>
      </c>
      <c r="M25" s="696">
        <f>1/$O24*1/M23*16*1/188.76*M22</f>
        <v>3.6559190206951115E-3</v>
      </c>
      <c r="N25" s="697">
        <f>1/$O24*1/N23*16*1/188.76*N22</f>
        <v>3.6559190206951115E-3</v>
      </c>
      <c r="O25" s="412">
        <f>SUM(D25:N25)</f>
        <v>1.0020725643554231</v>
      </c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7"/>
    </row>
    <row r="26" spans="1:1012" ht="15" hidden="1" x14ac:dyDescent="0.25">
      <c r="A26" s="413" t="s">
        <v>452</v>
      </c>
      <c r="B26" s="413"/>
      <c r="C26" s="413"/>
      <c r="D26" s="414">
        <f>ROUND(1/D23,9)</f>
        <v>9.09091E-4</v>
      </c>
      <c r="E26" s="414"/>
      <c r="F26" s="415">
        <f t="shared" ref="F26:K26" si="7">ROUND(1/F23,9)</f>
        <v>5.5555600000000002E-4</v>
      </c>
      <c r="G26" s="415">
        <f t="shared" si="7"/>
        <v>1E-3</v>
      </c>
      <c r="H26" s="415">
        <f t="shared" si="7"/>
        <v>4.0000000000000001E-3</v>
      </c>
      <c r="I26" s="415">
        <f t="shared" si="7"/>
        <v>3.7037000000000002E-4</v>
      </c>
      <c r="J26" s="415">
        <f t="shared" si="7"/>
        <v>1.0000000000000001E-5</v>
      </c>
      <c r="K26" s="415">
        <f t="shared" si="7"/>
        <v>1.11111E-4</v>
      </c>
      <c r="L26" s="416">
        <f>(1/L23)*(1/N31)*8</f>
        <v>4.8611111111111115E-5</v>
      </c>
      <c r="M26" s="416">
        <f>(1/M23)*(1/N30)*16</f>
        <v>2.4561403508771931E-4</v>
      </c>
      <c r="N26" s="417">
        <f>(1/N23)*(1/N30)*16</f>
        <v>2.4561403508771931E-4</v>
      </c>
      <c r="O26" s="317"/>
      <c r="P26" s="317"/>
      <c r="Q26" s="317"/>
      <c r="R26" s="317"/>
      <c r="S26" s="317"/>
      <c r="T26" s="317"/>
      <c r="U26" s="317"/>
      <c r="V26" s="317"/>
      <c r="W26" s="317"/>
      <c r="X26" s="317"/>
      <c r="Y26" s="317"/>
      <c r="Z26" s="317"/>
      <c r="AA26" s="317"/>
    </row>
    <row r="27" spans="1:1012" ht="15" hidden="1" x14ac:dyDescent="0.25">
      <c r="A27" s="418" t="s">
        <v>453</v>
      </c>
      <c r="B27" s="418"/>
      <c r="C27" s="418"/>
      <c r="D27" s="419">
        <f>D26/$AA$22</f>
        <v>9.09091E-4</v>
      </c>
      <c r="E27" s="419"/>
      <c r="F27" s="420">
        <f t="shared" ref="F27:N27" si="8">F26/$AA$22</f>
        <v>5.5555600000000002E-4</v>
      </c>
      <c r="G27" s="420">
        <f t="shared" si="8"/>
        <v>1E-3</v>
      </c>
      <c r="H27" s="420">
        <f t="shared" si="8"/>
        <v>4.0000000000000001E-3</v>
      </c>
      <c r="I27" s="420">
        <f t="shared" si="8"/>
        <v>3.7037000000000002E-4</v>
      </c>
      <c r="J27" s="420">
        <f t="shared" si="8"/>
        <v>1.0000000000000001E-5</v>
      </c>
      <c r="K27" s="420">
        <f t="shared" si="8"/>
        <v>1.11111E-4</v>
      </c>
      <c r="L27" s="421">
        <f t="shared" si="8"/>
        <v>4.8611111111111115E-5</v>
      </c>
      <c r="M27" s="421">
        <f t="shared" si="8"/>
        <v>2.4561403508771931E-4</v>
      </c>
      <c r="N27" s="422">
        <f t="shared" si="8"/>
        <v>2.4561403508771931E-4</v>
      </c>
      <c r="O27" s="317"/>
      <c r="P27" s="317"/>
      <c r="Q27" s="317"/>
      <c r="R27" s="317"/>
      <c r="S27" s="317"/>
      <c r="T27" s="317"/>
      <c r="U27" s="317"/>
      <c r="V27" s="317"/>
      <c r="W27" s="317"/>
      <c r="X27" s="317"/>
      <c r="Y27" s="317"/>
      <c r="Z27" s="317"/>
      <c r="AA27" s="317"/>
    </row>
    <row r="28" spans="1:1012" ht="15" x14ac:dyDescent="0.25">
      <c r="A28" s="423" t="s">
        <v>454</v>
      </c>
      <c r="B28" s="423"/>
      <c r="C28" s="423"/>
      <c r="D28" s="424" t="s">
        <v>455</v>
      </c>
      <c r="E28" s="424" t="s">
        <v>455</v>
      </c>
      <c r="F28" s="425" t="s">
        <v>456</v>
      </c>
      <c r="G28" s="425" t="s">
        <v>457</v>
      </c>
      <c r="H28" s="425" t="s">
        <v>458</v>
      </c>
      <c r="I28" s="426" t="s">
        <v>459</v>
      </c>
      <c r="J28" s="426">
        <v>100000</v>
      </c>
      <c r="K28" s="426" t="s">
        <v>460</v>
      </c>
      <c r="L28" s="427" t="s">
        <v>461</v>
      </c>
      <c r="M28" s="427" t="s">
        <v>462</v>
      </c>
      <c r="N28" s="428" t="s">
        <v>462</v>
      </c>
      <c r="O28" s="317"/>
      <c r="P28" s="317"/>
      <c r="Q28" s="317"/>
      <c r="R28" s="317"/>
      <c r="S28" s="317"/>
      <c r="T28" s="317"/>
      <c r="U28" s="317"/>
      <c r="V28" s="317"/>
      <c r="W28" s="317"/>
      <c r="X28" s="317"/>
      <c r="Y28" s="317"/>
      <c r="Z28" s="317"/>
      <c r="AA28" s="317"/>
    </row>
    <row r="29" spans="1:1012" ht="15" hidden="1" x14ac:dyDescent="0.25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7"/>
      <c r="U29" s="317"/>
      <c r="V29" s="317"/>
      <c r="W29" s="317"/>
      <c r="X29" s="317"/>
      <c r="Y29" s="317"/>
      <c r="Z29" s="317"/>
      <c r="AA29" s="317"/>
      <c r="ALW29" s="272"/>
      <c r="ALX29" s="272"/>
    </row>
    <row r="30" spans="1:1012" ht="15" hidden="1" x14ac:dyDescent="0.25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429">
        <f>30/7</f>
        <v>4.2857142857142856</v>
      </c>
      <c r="M30" s="429">
        <v>40</v>
      </c>
      <c r="N30" s="429">
        <f>L30*M30</f>
        <v>171.42857142857142</v>
      </c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29"/>
      <c r="AA30" s="429"/>
      <c r="ALW30" s="272"/>
      <c r="ALX30" s="272"/>
    </row>
    <row r="31" spans="1:1012" ht="15" hidden="1" x14ac:dyDescent="0.25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429"/>
      <c r="M31" s="429"/>
      <c r="N31" s="429">
        <f>N30*6</f>
        <v>1028.5714285714284</v>
      </c>
      <c r="O31" s="429" t="s">
        <v>463</v>
      </c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29"/>
      <c r="AA31" s="429"/>
      <c r="ALW31" s="272"/>
      <c r="ALX31" s="272"/>
    </row>
    <row r="182" spans="4:4" x14ac:dyDescent="0.2">
      <c r="D182">
        <f>(1/'Prod. GEXCAN'!L18)*(1/('Prod. GEXCAN'!L19))*8</f>
        <v>12.357074277734135</v>
      </c>
    </row>
  </sheetData>
  <mergeCells count="21">
    <mergeCell ref="C1:H1"/>
    <mergeCell ref="I1:K1"/>
    <mergeCell ref="L1:N1"/>
    <mergeCell ref="X1:Z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U2"/>
    <mergeCell ref="V2:W2"/>
  </mergeCells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</sheetPr>
  <dimension ref="A1:AMK205"/>
  <sheetViews>
    <sheetView zoomScale="75" zoomScaleNormal="75" workbookViewId="0">
      <selection activeCell="O153" sqref="O153"/>
    </sheetView>
  </sheetViews>
  <sheetFormatPr defaultRowHeight="14.25" x14ac:dyDescent="0.2"/>
  <cols>
    <col min="1" max="1" width="56.5" style="429" customWidth="1"/>
    <col min="2" max="2" width="16.25" style="429" customWidth="1"/>
    <col min="3" max="3" width="14" style="429" customWidth="1"/>
    <col min="4" max="4" width="12.75" style="429" customWidth="1"/>
    <col min="5" max="5" width="14" style="429" customWidth="1"/>
    <col min="6" max="6" width="12.375" style="429" customWidth="1"/>
    <col min="7" max="7" width="14" style="429" customWidth="1"/>
    <col min="8" max="8" width="12.75" style="429" customWidth="1"/>
    <col min="9" max="9" width="14" style="429" customWidth="1"/>
    <col min="10" max="10" width="12.75" style="429" customWidth="1"/>
    <col min="11" max="11" width="14" style="429" customWidth="1"/>
    <col min="12" max="12" width="12.625" style="429" customWidth="1"/>
    <col min="13" max="13" width="14" style="429" customWidth="1"/>
    <col min="14" max="14" width="12.75" style="429" customWidth="1"/>
    <col min="15" max="15" width="10.5" style="429" customWidth="1"/>
    <col min="16" max="16" width="14.25" style="429" customWidth="1"/>
    <col min="17" max="1025" width="10.5" style="429" customWidth="1"/>
  </cols>
  <sheetData>
    <row r="1" spans="1:10" ht="15.75" x14ac:dyDescent="0.2">
      <c r="A1" s="849" t="s">
        <v>464</v>
      </c>
      <c r="B1" s="849"/>
      <c r="C1" s="849"/>
      <c r="D1" s="849"/>
      <c r="E1" s="849"/>
      <c r="F1" s="849"/>
      <c r="G1" s="849"/>
      <c r="H1" s="849"/>
      <c r="I1" s="849"/>
      <c r="J1" s="849"/>
    </row>
    <row r="2" spans="1:10" ht="15.75" x14ac:dyDescent="0.2">
      <c r="A2" s="850" t="s">
        <v>465</v>
      </c>
      <c r="B2" s="850"/>
      <c r="C2" s="850"/>
      <c r="D2" s="850"/>
      <c r="E2" s="850"/>
      <c r="F2" s="850"/>
      <c r="G2" s="850"/>
      <c r="H2" s="850"/>
      <c r="I2" s="850"/>
      <c r="J2" s="850"/>
    </row>
    <row r="3" spans="1:10" ht="15.75" customHeight="1" x14ac:dyDescent="0.2">
      <c r="A3" s="850" t="s">
        <v>466</v>
      </c>
      <c r="B3" s="850"/>
      <c r="C3" s="850"/>
      <c r="D3" s="850"/>
      <c r="E3" s="850"/>
      <c r="F3" s="850"/>
      <c r="G3" s="850"/>
      <c r="H3" s="850"/>
      <c r="I3" s="850"/>
      <c r="J3" s="850"/>
    </row>
    <row r="4" spans="1:10" ht="24" x14ac:dyDescent="0.2">
      <c r="A4" s="430"/>
      <c r="B4" s="431"/>
      <c r="C4" s="851" t="s">
        <v>467</v>
      </c>
      <c r="D4" s="851"/>
      <c r="E4" s="852" t="s">
        <v>468</v>
      </c>
      <c r="F4" s="852"/>
      <c r="G4" s="852" t="s">
        <v>469</v>
      </c>
      <c r="H4" s="852"/>
      <c r="I4" s="434" t="s">
        <v>470</v>
      </c>
      <c r="J4" s="435" t="s">
        <v>471</v>
      </c>
    </row>
    <row r="5" spans="1:10" x14ac:dyDescent="0.2">
      <c r="A5" s="436"/>
      <c r="B5" s="437" t="s">
        <v>472</v>
      </c>
      <c r="C5" s="847">
        <f>MC!$D11</f>
        <v>1194.6272727272726</v>
      </c>
      <c r="D5" s="847"/>
      <c r="E5" s="858">
        <f>MC!$E11</f>
        <v>895.97045454545446</v>
      </c>
      <c r="F5" s="858"/>
      <c r="G5" s="858">
        <v>597.30999999999995</v>
      </c>
      <c r="H5" s="858"/>
      <c r="I5" s="698">
        <f>MC!$C13</f>
        <v>1669.75</v>
      </c>
      <c r="J5" s="699">
        <f>MC!$D12</f>
        <v>1673.9117345454545</v>
      </c>
    </row>
    <row r="6" spans="1:10" x14ac:dyDescent="0.2">
      <c r="A6" s="436"/>
      <c r="B6" s="437" t="s">
        <v>473</v>
      </c>
      <c r="C6" s="848">
        <f>MC!$E8</f>
        <v>44562</v>
      </c>
      <c r="D6" s="848"/>
      <c r="E6" s="856">
        <f>MC!$E8</f>
        <v>44562</v>
      </c>
      <c r="F6" s="856"/>
      <c r="G6" s="856">
        <v>44562</v>
      </c>
      <c r="H6" s="856"/>
      <c r="I6" s="700">
        <f>MC!$E8</f>
        <v>44562</v>
      </c>
      <c r="J6" s="701">
        <f>MC!$E8</f>
        <v>44562</v>
      </c>
    </row>
    <row r="7" spans="1:10" x14ac:dyDescent="0.2">
      <c r="A7" s="436"/>
      <c r="B7" s="437" t="s">
        <v>474</v>
      </c>
      <c r="C7" s="848" t="str">
        <f>MC!$C8</f>
        <v>RS005021/2021</v>
      </c>
      <c r="D7" s="848"/>
      <c r="E7" s="856" t="str">
        <f>MC!$C8</f>
        <v>RS005021/2021</v>
      </c>
      <c r="F7" s="856"/>
      <c r="G7" s="856" t="s">
        <v>10</v>
      </c>
      <c r="H7" s="856"/>
      <c r="I7" s="700" t="str">
        <f>MC!$C8</f>
        <v>RS005021/2021</v>
      </c>
      <c r="J7" s="701" t="str">
        <f>MC!$C8</f>
        <v>RS005021/2021</v>
      </c>
    </row>
    <row r="8" spans="1:10" x14ac:dyDescent="0.2">
      <c r="A8" s="436"/>
      <c r="B8" s="437" t="s">
        <v>475</v>
      </c>
      <c r="C8" s="844" t="str">
        <f>MC!$F8</f>
        <v>5143-20</v>
      </c>
      <c r="D8" s="844"/>
      <c r="E8" s="857" t="str">
        <f>MC!$F8</f>
        <v>5143-20</v>
      </c>
      <c r="F8" s="857"/>
      <c r="G8" s="857" t="str">
        <f>MC!$F8</f>
        <v>5143-20</v>
      </c>
      <c r="H8" s="857"/>
      <c r="I8" s="702" t="str">
        <f>MC!$F8</f>
        <v>5143-20</v>
      </c>
      <c r="J8" s="703" t="str">
        <f>MC!$F8</f>
        <v>5143-20</v>
      </c>
    </row>
    <row r="9" spans="1:10" x14ac:dyDescent="0.2">
      <c r="A9" s="846"/>
      <c r="B9" s="846"/>
      <c r="C9" s="846"/>
      <c r="D9" s="846"/>
      <c r="E9" s="846"/>
      <c r="F9" s="846"/>
      <c r="G9" s="846"/>
      <c r="H9" s="846"/>
      <c r="I9" s="846"/>
      <c r="J9" s="846"/>
    </row>
    <row r="10" spans="1:10" ht="56.1" customHeight="1" x14ac:dyDescent="0.2">
      <c r="A10" s="447" t="s">
        <v>476</v>
      </c>
      <c r="B10" s="448" t="s">
        <v>477</v>
      </c>
      <c r="C10" s="449" t="s">
        <v>478</v>
      </c>
      <c r="D10" s="450" t="s">
        <v>479</v>
      </c>
      <c r="E10" s="450" t="s">
        <v>480</v>
      </c>
      <c r="F10" s="450" t="s">
        <v>481</v>
      </c>
      <c r="G10" s="450" t="s">
        <v>623</v>
      </c>
      <c r="H10" s="450" t="s">
        <v>482</v>
      </c>
      <c r="I10" s="450" t="s">
        <v>483</v>
      </c>
      <c r="J10" s="451" t="s">
        <v>484</v>
      </c>
    </row>
    <row r="11" spans="1:10" ht="14.25" customHeight="1" x14ac:dyDescent="0.2">
      <c r="A11" s="842" t="s">
        <v>485</v>
      </c>
      <c r="B11" s="842"/>
      <c r="C11" s="842"/>
      <c r="D11" s="842"/>
      <c r="E11" s="842"/>
      <c r="F11" s="842"/>
      <c r="G11" s="842"/>
      <c r="H11" s="842"/>
      <c r="I11" s="842"/>
      <c r="J11" s="842"/>
    </row>
    <row r="12" spans="1:10" ht="15.75" customHeight="1" x14ac:dyDescent="0.2">
      <c r="A12" s="452" t="s">
        <v>486</v>
      </c>
      <c r="B12" s="453" t="s">
        <v>487</v>
      </c>
      <c r="C12" s="453" t="s">
        <v>488</v>
      </c>
      <c r="D12" s="453" t="s">
        <v>488</v>
      </c>
      <c r="E12" s="453" t="s">
        <v>488</v>
      </c>
      <c r="F12" s="453" t="s">
        <v>488</v>
      </c>
      <c r="G12" s="453" t="s">
        <v>488</v>
      </c>
      <c r="H12" s="453" t="s">
        <v>488</v>
      </c>
      <c r="I12" s="453" t="s">
        <v>488</v>
      </c>
      <c r="J12" s="454" t="s">
        <v>488</v>
      </c>
    </row>
    <row r="13" spans="1:10" ht="15.75" customHeight="1" x14ac:dyDescent="0.2">
      <c r="A13" s="455" t="s">
        <v>489</v>
      </c>
      <c r="B13" s="456"/>
      <c r="C13" s="457">
        <f>C5</f>
        <v>1194.6272727272726</v>
      </c>
      <c r="D13" s="457">
        <f>C5</f>
        <v>1194.6272727272726</v>
      </c>
      <c r="E13" s="458">
        <f>E5</f>
        <v>895.97045454545446</v>
      </c>
      <c r="F13" s="458">
        <f>E5</f>
        <v>895.97045454545446</v>
      </c>
      <c r="G13" s="458">
        <f>G5</f>
        <v>597.30999999999995</v>
      </c>
      <c r="H13" s="458">
        <f>G5</f>
        <v>597.30999999999995</v>
      </c>
      <c r="I13" s="458">
        <f>I5</f>
        <v>1669.75</v>
      </c>
      <c r="J13" s="459">
        <f>J5</f>
        <v>1673.9117345454545</v>
      </c>
    </row>
    <row r="14" spans="1:10" ht="15.75" customHeight="1" x14ac:dyDescent="0.2">
      <c r="A14" s="455" t="s">
        <v>490</v>
      </c>
      <c r="B14" s="460" t="s">
        <v>491</v>
      </c>
      <c r="C14" s="457">
        <f>C5*0.4</f>
        <v>477.85090909090906</v>
      </c>
      <c r="D14" s="457">
        <f>C5*0.2</f>
        <v>238.92545454545453</v>
      </c>
      <c r="E14" s="457">
        <f>E5*0.4</f>
        <v>358.38818181818181</v>
      </c>
      <c r="F14" s="457">
        <f>E5*0.2</f>
        <v>179.1940909090909</v>
      </c>
      <c r="G14" s="457">
        <f>G5*0.4</f>
        <v>238.92399999999998</v>
      </c>
      <c r="H14" s="457">
        <f>G5*0.2</f>
        <v>119.46199999999999</v>
      </c>
      <c r="I14" s="461" t="s">
        <v>112</v>
      </c>
      <c r="J14" s="462" t="s">
        <v>112</v>
      </c>
    </row>
    <row r="15" spans="1:10" ht="15.75" customHeight="1" x14ac:dyDescent="0.2">
      <c r="A15" s="455" t="s">
        <v>492</v>
      </c>
      <c r="B15" s="463"/>
      <c r="C15" s="461" t="s">
        <v>112</v>
      </c>
      <c r="D15" s="461" t="s">
        <v>112</v>
      </c>
      <c r="E15" s="464" t="s">
        <v>112</v>
      </c>
      <c r="F15" s="464" t="s">
        <v>112</v>
      </c>
      <c r="G15" s="464" t="s">
        <v>112</v>
      </c>
      <c r="H15" s="464" t="s">
        <v>112</v>
      </c>
      <c r="I15" s="464" t="s">
        <v>112</v>
      </c>
      <c r="J15" s="462" t="s">
        <v>112</v>
      </c>
    </row>
    <row r="16" spans="1:10" ht="15.75" customHeight="1" x14ac:dyDescent="0.2">
      <c r="A16" s="455" t="s">
        <v>493</v>
      </c>
      <c r="B16" s="463"/>
      <c r="C16" s="461" t="s">
        <v>112</v>
      </c>
      <c r="D16" s="461" t="s">
        <v>112</v>
      </c>
      <c r="E16" s="464" t="s">
        <v>112</v>
      </c>
      <c r="F16" s="464" t="s">
        <v>112</v>
      </c>
      <c r="G16" s="464" t="s">
        <v>112</v>
      </c>
      <c r="H16" s="464" t="s">
        <v>112</v>
      </c>
      <c r="I16" s="464" t="s">
        <v>112</v>
      </c>
      <c r="J16" s="462" t="s">
        <v>112</v>
      </c>
    </row>
    <row r="17" spans="1:10" ht="15.75" customHeight="1" x14ac:dyDescent="0.2">
      <c r="A17" s="455" t="s">
        <v>494</v>
      </c>
      <c r="B17" s="463"/>
      <c r="C17" s="461" t="s">
        <v>112</v>
      </c>
      <c r="D17" s="461" t="s">
        <v>112</v>
      </c>
      <c r="E17" s="464" t="s">
        <v>112</v>
      </c>
      <c r="F17" s="464" t="s">
        <v>112</v>
      </c>
      <c r="G17" s="464" t="s">
        <v>112</v>
      </c>
      <c r="H17" s="464" t="s">
        <v>112</v>
      </c>
      <c r="I17" s="464" t="s">
        <v>112</v>
      </c>
      <c r="J17" s="462" t="s">
        <v>112</v>
      </c>
    </row>
    <row r="18" spans="1:10" ht="15.75" customHeight="1" x14ac:dyDescent="0.2">
      <c r="A18" s="455" t="s">
        <v>495</v>
      </c>
      <c r="B18" s="465"/>
      <c r="C18" s="461" t="s">
        <v>112</v>
      </c>
      <c r="D18" s="461" t="s">
        <v>112</v>
      </c>
      <c r="E18" s="461" t="s">
        <v>112</v>
      </c>
      <c r="F18" s="461" t="s">
        <v>112</v>
      </c>
      <c r="G18" s="461" t="s">
        <v>112</v>
      </c>
      <c r="H18" s="461" t="s">
        <v>112</v>
      </c>
      <c r="I18" s="464" t="s">
        <v>112</v>
      </c>
      <c r="J18" s="462" t="s">
        <v>112</v>
      </c>
    </row>
    <row r="19" spans="1:10" ht="15.75" customHeight="1" x14ac:dyDescent="0.2">
      <c r="A19" s="466" t="s">
        <v>496</v>
      </c>
      <c r="B19" s="467"/>
      <c r="C19" s="468">
        <f t="shared" ref="C19:J19" si="0">SUM(C13:C18)</f>
        <v>1672.4781818181816</v>
      </c>
      <c r="D19" s="469">
        <f t="shared" si="0"/>
        <v>1433.5527272727272</v>
      </c>
      <c r="E19" s="469">
        <f t="shared" si="0"/>
        <v>1254.3586363636364</v>
      </c>
      <c r="F19" s="469">
        <f t="shared" si="0"/>
        <v>1075.1645454545453</v>
      </c>
      <c r="G19" s="469">
        <f t="shared" si="0"/>
        <v>836.23399999999992</v>
      </c>
      <c r="H19" s="469">
        <f t="shared" si="0"/>
        <v>716.77199999999993</v>
      </c>
      <c r="I19" s="469">
        <f t="shared" si="0"/>
        <v>1669.75</v>
      </c>
      <c r="J19" s="470">
        <f t="shared" si="0"/>
        <v>1673.9117345454545</v>
      </c>
    </row>
    <row r="20" spans="1:10" ht="15.75" customHeight="1" x14ac:dyDescent="0.2">
      <c r="A20" s="837"/>
      <c r="B20" s="837"/>
      <c r="C20" s="472"/>
      <c r="D20" s="472"/>
      <c r="E20" s="473"/>
      <c r="F20" s="473"/>
      <c r="G20" s="473"/>
      <c r="H20" s="473"/>
      <c r="I20" s="473"/>
      <c r="J20" s="474"/>
    </row>
    <row r="21" spans="1:10" ht="14.25" customHeight="1" x14ac:dyDescent="0.2">
      <c r="A21" s="842" t="s">
        <v>497</v>
      </c>
      <c r="B21" s="842"/>
      <c r="C21" s="842"/>
      <c r="D21" s="842"/>
      <c r="E21" s="842"/>
      <c r="F21" s="842"/>
      <c r="G21" s="842"/>
      <c r="H21" s="842"/>
      <c r="I21" s="842"/>
      <c r="J21" s="842"/>
    </row>
    <row r="22" spans="1:10" ht="28.3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6" t="s">
        <v>488</v>
      </c>
      <c r="F22" s="476" t="s">
        <v>488</v>
      </c>
      <c r="G22" s="476" t="s">
        <v>488</v>
      </c>
      <c r="H22" s="476" t="s">
        <v>488</v>
      </c>
      <c r="I22" s="476" t="s">
        <v>488</v>
      </c>
      <c r="J22" s="477" t="s">
        <v>488</v>
      </c>
    </row>
    <row r="23" spans="1:10" ht="15.75" customHeight="1" x14ac:dyDescent="0.2">
      <c r="A23" s="478" t="s">
        <v>499</v>
      </c>
      <c r="B23" s="479">
        <f>1/12</f>
        <v>8.3333333333333329E-2</v>
      </c>
      <c r="C23" s="457">
        <f t="shared" ref="C23:J23" si="1">ROUND($B23*C$19,2)</f>
        <v>139.37</v>
      </c>
      <c r="D23" s="457">
        <f t="shared" si="1"/>
        <v>119.46</v>
      </c>
      <c r="E23" s="457">
        <f t="shared" si="1"/>
        <v>104.53</v>
      </c>
      <c r="F23" s="457">
        <f t="shared" si="1"/>
        <v>89.6</v>
      </c>
      <c r="G23" s="457">
        <f t="shared" si="1"/>
        <v>69.69</v>
      </c>
      <c r="H23" s="457">
        <f t="shared" si="1"/>
        <v>59.73</v>
      </c>
      <c r="I23" s="457">
        <f t="shared" si="1"/>
        <v>139.15</v>
      </c>
      <c r="J23" s="459">
        <f t="shared" si="1"/>
        <v>139.49</v>
      </c>
    </row>
    <row r="24" spans="1:10" x14ac:dyDescent="0.2">
      <c r="A24" s="478" t="s">
        <v>500</v>
      </c>
      <c r="B24" s="479">
        <f>1/3*1/12</f>
        <v>2.7777777777777776E-2</v>
      </c>
      <c r="C24" s="457">
        <f t="shared" ref="C24:J24" si="2">C$19*$B$24</f>
        <v>46.457727272727261</v>
      </c>
      <c r="D24" s="457">
        <f t="shared" si="2"/>
        <v>39.82090909090909</v>
      </c>
      <c r="E24" s="457">
        <f t="shared" si="2"/>
        <v>34.843295454545455</v>
      </c>
      <c r="F24" s="457">
        <f t="shared" si="2"/>
        <v>29.865681818181812</v>
      </c>
      <c r="G24" s="457">
        <f t="shared" si="2"/>
        <v>23.22872222222222</v>
      </c>
      <c r="H24" s="457">
        <f t="shared" si="2"/>
        <v>19.91033333333333</v>
      </c>
      <c r="I24" s="457">
        <f t="shared" si="2"/>
        <v>46.381944444444443</v>
      </c>
      <c r="J24" s="459">
        <f t="shared" si="2"/>
        <v>46.497548181818175</v>
      </c>
    </row>
    <row r="25" spans="1:10" ht="14.25" customHeight="1" x14ac:dyDescent="0.2">
      <c r="A25" s="466" t="s">
        <v>496</v>
      </c>
      <c r="B25" s="480">
        <f t="shared" ref="B25:J25" si="3">SUM(B23:B24)</f>
        <v>0.1111111111111111</v>
      </c>
      <c r="C25" s="481">
        <f t="shared" si="3"/>
        <v>185.82772727272726</v>
      </c>
      <c r="D25" s="481">
        <f t="shared" si="3"/>
        <v>159.28090909090909</v>
      </c>
      <c r="E25" s="481">
        <f t="shared" si="3"/>
        <v>139.37329545454546</v>
      </c>
      <c r="F25" s="481">
        <f t="shared" si="3"/>
        <v>119.46568181818181</v>
      </c>
      <c r="G25" s="481">
        <f t="shared" si="3"/>
        <v>92.918722222222215</v>
      </c>
      <c r="H25" s="481">
        <f t="shared" si="3"/>
        <v>79.640333333333331</v>
      </c>
      <c r="I25" s="481">
        <f t="shared" si="3"/>
        <v>185.53194444444443</v>
      </c>
      <c r="J25" s="482">
        <f t="shared" si="3"/>
        <v>185.98754818181817</v>
      </c>
    </row>
    <row r="26" spans="1:10" x14ac:dyDescent="0.2">
      <c r="A26" s="475" t="s">
        <v>501</v>
      </c>
      <c r="B26" s="476" t="s">
        <v>487</v>
      </c>
      <c r="C26" s="476" t="s">
        <v>488</v>
      </c>
      <c r="D26" s="476" t="s">
        <v>488</v>
      </c>
      <c r="E26" s="476" t="s">
        <v>488</v>
      </c>
      <c r="F26" s="476" t="s">
        <v>488</v>
      </c>
      <c r="G26" s="476" t="s">
        <v>488</v>
      </c>
      <c r="H26" s="476" t="s">
        <v>488</v>
      </c>
      <c r="I26" s="476" t="s">
        <v>488</v>
      </c>
      <c r="J26" s="477" t="s">
        <v>488</v>
      </c>
    </row>
    <row r="27" spans="1:10" ht="15.75" customHeight="1" x14ac:dyDescent="0.2">
      <c r="A27" s="475" t="s">
        <v>502</v>
      </c>
      <c r="B27" s="483"/>
      <c r="C27" s="483"/>
      <c r="D27" s="483"/>
      <c r="E27" s="483"/>
      <c r="F27" s="483"/>
      <c r="G27" s="483"/>
      <c r="H27" s="483"/>
      <c r="I27" s="484"/>
      <c r="J27" s="485"/>
    </row>
    <row r="28" spans="1:10" ht="14.25" customHeight="1" x14ac:dyDescent="0.2">
      <c r="A28" s="478" t="s">
        <v>503</v>
      </c>
      <c r="B28" s="479">
        <v>0.2</v>
      </c>
      <c r="C28" s="486">
        <f>ROUND(($C$19+$C$25)*B28,2)</f>
        <v>371.66</v>
      </c>
      <c r="D28" s="486">
        <f t="shared" ref="D28:J35" si="4">ROUND((D$19+D$25)*$B28,2)</f>
        <v>318.57</v>
      </c>
      <c r="E28" s="486">
        <f t="shared" si="4"/>
        <v>278.75</v>
      </c>
      <c r="F28" s="486">
        <f t="shared" si="4"/>
        <v>238.93</v>
      </c>
      <c r="G28" s="486">
        <f t="shared" si="4"/>
        <v>185.83</v>
      </c>
      <c r="H28" s="486">
        <f t="shared" si="4"/>
        <v>159.28</v>
      </c>
      <c r="I28" s="486">
        <f t="shared" si="4"/>
        <v>371.06</v>
      </c>
      <c r="J28" s="487">
        <f t="shared" si="4"/>
        <v>371.98</v>
      </c>
    </row>
    <row r="29" spans="1:10" ht="15.75" customHeight="1" x14ac:dyDescent="0.2">
      <c r="A29" s="478" t="s">
        <v>504</v>
      </c>
      <c r="B29" s="479">
        <v>2.5000000000000001E-2</v>
      </c>
      <c r="C29" s="486">
        <f t="shared" ref="C29:C35" si="5">ROUND((C$19+C$25)*$B29,2)</f>
        <v>46.46</v>
      </c>
      <c r="D29" s="486">
        <f t="shared" si="4"/>
        <v>39.82</v>
      </c>
      <c r="E29" s="486">
        <f t="shared" si="4"/>
        <v>34.840000000000003</v>
      </c>
      <c r="F29" s="486">
        <f t="shared" si="4"/>
        <v>29.87</v>
      </c>
      <c r="G29" s="486">
        <f t="shared" si="4"/>
        <v>23.23</v>
      </c>
      <c r="H29" s="486">
        <f t="shared" si="4"/>
        <v>19.91</v>
      </c>
      <c r="I29" s="486">
        <f t="shared" si="4"/>
        <v>46.38</v>
      </c>
      <c r="J29" s="487">
        <f t="shared" si="4"/>
        <v>46.5</v>
      </c>
    </row>
    <row r="30" spans="1:10" ht="15.75" customHeight="1" x14ac:dyDescent="0.2">
      <c r="A30" s="478" t="s">
        <v>505</v>
      </c>
      <c r="B30" s="479">
        <v>0.03</v>
      </c>
      <c r="C30" s="486">
        <f t="shared" si="5"/>
        <v>55.75</v>
      </c>
      <c r="D30" s="486">
        <f t="shared" si="4"/>
        <v>47.79</v>
      </c>
      <c r="E30" s="486">
        <f t="shared" si="4"/>
        <v>41.81</v>
      </c>
      <c r="F30" s="486">
        <f t="shared" si="4"/>
        <v>35.840000000000003</v>
      </c>
      <c r="G30" s="486">
        <f t="shared" si="4"/>
        <v>27.87</v>
      </c>
      <c r="H30" s="486">
        <f t="shared" si="4"/>
        <v>23.89</v>
      </c>
      <c r="I30" s="486">
        <f t="shared" si="4"/>
        <v>55.66</v>
      </c>
      <c r="J30" s="487">
        <f t="shared" si="4"/>
        <v>55.8</v>
      </c>
    </row>
    <row r="31" spans="1:10" ht="15.75" customHeight="1" x14ac:dyDescent="0.2">
      <c r="A31" s="478" t="s">
        <v>506</v>
      </c>
      <c r="B31" s="479">
        <v>1.4999999999999999E-2</v>
      </c>
      <c r="C31" s="486">
        <f t="shared" si="5"/>
        <v>27.87</v>
      </c>
      <c r="D31" s="486">
        <f t="shared" si="4"/>
        <v>23.89</v>
      </c>
      <c r="E31" s="486">
        <f t="shared" si="4"/>
        <v>20.91</v>
      </c>
      <c r="F31" s="486">
        <f t="shared" si="4"/>
        <v>17.920000000000002</v>
      </c>
      <c r="G31" s="486">
        <f t="shared" si="4"/>
        <v>13.94</v>
      </c>
      <c r="H31" s="486">
        <f t="shared" si="4"/>
        <v>11.95</v>
      </c>
      <c r="I31" s="486">
        <f t="shared" si="4"/>
        <v>27.83</v>
      </c>
      <c r="J31" s="487">
        <f t="shared" si="4"/>
        <v>27.9</v>
      </c>
    </row>
    <row r="32" spans="1:10" ht="15.75" customHeight="1" x14ac:dyDescent="0.2">
      <c r="A32" s="478" t="s">
        <v>507</v>
      </c>
      <c r="B32" s="479">
        <v>0.01</v>
      </c>
      <c r="C32" s="486">
        <f t="shared" si="5"/>
        <v>18.579999999999998</v>
      </c>
      <c r="D32" s="486">
        <f t="shared" si="4"/>
        <v>15.93</v>
      </c>
      <c r="E32" s="486">
        <f t="shared" si="4"/>
        <v>13.94</v>
      </c>
      <c r="F32" s="486">
        <f t="shared" si="4"/>
        <v>11.95</v>
      </c>
      <c r="G32" s="486">
        <f t="shared" si="4"/>
        <v>9.2899999999999991</v>
      </c>
      <c r="H32" s="486">
        <f t="shared" si="4"/>
        <v>7.96</v>
      </c>
      <c r="I32" s="486">
        <f t="shared" si="4"/>
        <v>18.55</v>
      </c>
      <c r="J32" s="487">
        <f t="shared" si="4"/>
        <v>18.600000000000001</v>
      </c>
    </row>
    <row r="33" spans="1:10" ht="15.75" customHeight="1" x14ac:dyDescent="0.2">
      <c r="A33" s="478" t="s">
        <v>508</v>
      </c>
      <c r="B33" s="479">
        <v>6.0000000000000001E-3</v>
      </c>
      <c r="C33" s="486">
        <f t="shared" si="5"/>
        <v>11.15</v>
      </c>
      <c r="D33" s="486">
        <f t="shared" si="4"/>
        <v>9.56</v>
      </c>
      <c r="E33" s="486">
        <f t="shared" si="4"/>
        <v>8.36</v>
      </c>
      <c r="F33" s="486">
        <f t="shared" si="4"/>
        <v>7.17</v>
      </c>
      <c r="G33" s="486">
        <f t="shared" si="4"/>
        <v>5.57</v>
      </c>
      <c r="H33" s="486">
        <f t="shared" si="4"/>
        <v>4.78</v>
      </c>
      <c r="I33" s="486">
        <f t="shared" si="4"/>
        <v>11.13</v>
      </c>
      <c r="J33" s="487">
        <f t="shared" si="4"/>
        <v>11.16</v>
      </c>
    </row>
    <row r="34" spans="1:10" ht="15.75" customHeight="1" x14ac:dyDescent="0.2">
      <c r="A34" s="478" t="s">
        <v>509</v>
      </c>
      <c r="B34" s="479">
        <v>2E-3</v>
      </c>
      <c r="C34" s="486">
        <f t="shared" si="5"/>
        <v>3.72</v>
      </c>
      <c r="D34" s="486">
        <f t="shared" si="4"/>
        <v>3.19</v>
      </c>
      <c r="E34" s="486">
        <f t="shared" si="4"/>
        <v>2.79</v>
      </c>
      <c r="F34" s="486">
        <f t="shared" si="4"/>
        <v>2.39</v>
      </c>
      <c r="G34" s="486">
        <f t="shared" si="4"/>
        <v>1.86</v>
      </c>
      <c r="H34" s="486">
        <f t="shared" si="4"/>
        <v>1.59</v>
      </c>
      <c r="I34" s="486">
        <f t="shared" si="4"/>
        <v>3.71</v>
      </c>
      <c r="J34" s="487">
        <f t="shared" si="4"/>
        <v>3.72</v>
      </c>
    </row>
    <row r="35" spans="1:10" ht="15.75" customHeight="1" x14ac:dyDescent="0.2">
      <c r="A35" s="478" t="s">
        <v>510</v>
      </c>
      <c r="B35" s="479">
        <v>0.08</v>
      </c>
      <c r="C35" s="486">
        <f t="shared" si="5"/>
        <v>148.66</v>
      </c>
      <c r="D35" s="486">
        <f t="shared" si="4"/>
        <v>127.43</v>
      </c>
      <c r="E35" s="486">
        <f t="shared" si="4"/>
        <v>111.5</v>
      </c>
      <c r="F35" s="486">
        <f t="shared" si="4"/>
        <v>95.57</v>
      </c>
      <c r="G35" s="486">
        <f t="shared" si="4"/>
        <v>74.33</v>
      </c>
      <c r="H35" s="486">
        <f t="shared" si="4"/>
        <v>63.71</v>
      </c>
      <c r="I35" s="486">
        <f t="shared" si="4"/>
        <v>148.41999999999999</v>
      </c>
      <c r="J35" s="487">
        <f t="shared" si="4"/>
        <v>148.79</v>
      </c>
    </row>
    <row r="36" spans="1:10" ht="15.75" customHeight="1" x14ac:dyDescent="0.2">
      <c r="A36" s="466" t="s">
        <v>496</v>
      </c>
      <c r="B36" s="480">
        <f t="shared" ref="B36:J36" si="6">SUM(B28:B35)</f>
        <v>0.36800000000000005</v>
      </c>
      <c r="C36" s="481">
        <f t="shared" si="6"/>
        <v>683.85</v>
      </c>
      <c r="D36" s="481">
        <f t="shared" si="6"/>
        <v>586.18000000000006</v>
      </c>
      <c r="E36" s="481">
        <f t="shared" si="6"/>
        <v>512.90000000000009</v>
      </c>
      <c r="F36" s="481">
        <f t="shared" si="6"/>
        <v>439.64</v>
      </c>
      <c r="G36" s="481">
        <f t="shared" si="6"/>
        <v>341.92</v>
      </c>
      <c r="H36" s="481">
        <f t="shared" si="6"/>
        <v>293.07</v>
      </c>
      <c r="I36" s="481">
        <f t="shared" si="6"/>
        <v>682.74</v>
      </c>
      <c r="J36" s="482">
        <f t="shared" si="6"/>
        <v>684.44999999999993</v>
      </c>
    </row>
    <row r="37" spans="1:10" ht="15.75" customHeight="1" x14ac:dyDescent="0.2">
      <c r="A37" s="475" t="s">
        <v>511</v>
      </c>
      <c r="B37" s="476" t="s">
        <v>512</v>
      </c>
      <c r="C37" s="476" t="s">
        <v>488</v>
      </c>
      <c r="D37" s="476" t="s">
        <v>488</v>
      </c>
      <c r="E37" s="476" t="s">
        <v>488</v>
      </c>
      <c r="F37" s="476" t="s">
        <v>488</v>
      </c>
      <c r="G37" s="476" t="s">
        <v>488</v>
      </c>
      <c r="H37" s="476" t="s">
        <v>488</v>
      </c>
      <c r="I37" s="476" t="s">
        <v>488</v>
      </c>
      <c r="J37" s="477" t="s">
        <v>488</v>
      </c>
    </row>
    <row r="38" spans="1:10" ht="15.75" customHeight="1" x14ac:dyDescent="0.2">
      <c r="A38" s="478" t="s">
        <v>513</v>
      </c>
      <c r="B38" s="488">
        <f>MC!K90</f>
        <v>4</v>
      </c>
      <c r="C38" s="457">
        <f t="shared" ref="C38:J38" si="7">ROUND(((2*22*$B$38)-0.06*C$13),2)</f>
        <v>104.32</v>
      </c>
      <c r="D38" s="457">
        <f t="shared" si="7"/>
        <v>104.32</v>
      </c>
      <c r="E38" s="457">
        <f t="shared" si="7"/>
        <v>122.24</v>
      </c>
      <c r="F38" s="457">
        <f t="shared" si="7"/>
        <v>122.24</v>
      </c>
      <c r="G38" s="457">
        <f t="shared" si="7"/>
        <v>140.16</v>
      </c>
      <c r="H38" s="457">
        <f t="shared" si="7"/>
        <v>140.16</v>
      </c>
      <c r="I38" s="457">
        <f t="shared" si="7"/>
        <v>75.819999999999993</v>
      </c>
      <c r="J38" s="459">
        <f t="shared" si="7"/>
        <v>75.569999999999993</v>
      </c>
    </row>
    <row r="39" spans="1:10" ht="15.75" customHeight="1" x14ac:dyDescent="0.2">
      <c r="A39" s="478" t="s">
        <v>514</v>
      </c>
      <c r="B39" s="489"/>
      <c r="C39" s="486">
        <f>MC!$E$19</f>
        <v>359.61</v>
      </c>
      <c r="D39" s="486">
        <f>MC!$E$19</f>
        <v>359.61</v>
      </c>
      <c r="E39" s="486">
        <f>MC!$E$20</f>
        <v>179.8</v>
      </c>
      <c r="F39" s="486">
        <f>MC!$E$20</f>
        <v>179.8</v>
      </c>
      <c r="G39" s="486">
        <f>MC!$E$20</f>
        <v>179.8</v>
      </c>
      <c r="H39" s="486">
        <f>MC!$E$20</f>
        <v>179.8</v>
      </c>
      <c r="I39" s="486">
        <f>MC!$E$19</f>
        <v>359.61</v>
      </c>
      <c r="J39" s="487">
        <f>MC!$E$19</f>
        <v>359.61</v>
      </c>
    </row>
    <row r="40" spans="1:10" ht="15.75" customHeight="1" x14ac:dyDescent="0.2">
      <c r="A40" s="478" t="s">
        <v>515</v>
      </c>
      <c r="B40" s="479"/>
      <c r="C40" s="490" t="s">
        <v>112</v>
      </c>
      <c r="D40" s="490" t="s">
        <v>112</v>
      </c>
      <c r="E40" s="490" t="s">
        <v>112</v>
      </c>
      <c r="F40" s="490" t="s">
        <v>112</v>
      </c>
      <c r="G40" s="490" t="s">
        <v>112</v>
      </c>
      <c r="H40" s="490" t="s">
        <v>112</v>
      </c>
      <c r="I40" s="490" t="s">
        <v>112</v>
      </c>
      <c r="J40" s="491" t="s">
        <v>112</v>
      </c>
    </row>
    <row r="41" spans="1:10" ht="15.75" customHeight="1" x14ac:dyDescent="0.2">
      <c r="A41" s="478" t="s">
        <v>516</v>
      </c>
      <c r="B41" s="492"/>
      <c r="C41" s="490" t="s">
        <v>112</v>
      </c>
      <c r="D41" s="490" t="s">
        <v>112</v>
      </c>
      <c r="E41" s="490" t="s">
        <v>112</v>
      </c>
      <c r="F41" s="490" t="s">
        <v>112</v>
      </c>
      <c r="G41" s="490" t="s">
        <v>112</v>
      </c>
      <c r="H41" s="490" t="s">
        <v>112</v>
      </c>
      <c r="I41" s="493" t="s">
        <v>112</v>
      </c>
      <c r="J41" s="491" t="s">
        <v>112</v>
      </c>
    </row>
    <row r="42" spans="1:10" ht="15.75" customHeight="1" x14ac:dyDescent="0.2">
      <c r="A42" s="478" t="s">
        <v>517</v>
      </c>
      <c r="B42" s="494">
        <f>MC!E27</f>
        <v>17.32</v>
      </c>
      <c r="C42" s="486">
        <f t="shared" ref="C42:J42" si="8">$B42</f>
        <v>17.32</v>
      </c>
      <c r="D42" s="486">
        <f t="shared" si="8"/>
        <v>17.32</v>
      </c>
      <c r="E42" s="486">
        <f t="shared" si="8"/>
        <v>17.32</v>
      </c>
      <c r="F42" s="486">
        <f t="shared" si="8"/>
        <v>17.32</v>
      </c>
      <c r="G42" s="486">
        <f t="shared" si="8"/>
        <v>17.32</v>
      </c>
      <c r="H42" s="486">
        <f t="shared" si="8"/>
        <v>17.32</v>
      </c>
      <c r="I42" s="486">
        <f t="shared" si="8"/>
        <v>17.32</v>
      </c>
      <c r="J42" s="487">
        <f t="shared" si="8"/>
        <v>17.32</v>
      </c>
    </row>
    <row r="43" spans="1:10" ht="15.75" customHeight="1" x14ac:dyDescent="0.2">
      <c r="A43" s="478" t="s">
        <v>518</v>
      </c>
      <c r="B43" s="479"/>
      <c r="C43" s="490" t="s">
        <v>112</v>
      </c>
      <c r="D43" s="490" t="s">
        <v>112</v>
      </c>
      <c r="E43" s="490" t="s">
        <v>112</v>
      </c>
      <c r="F43" s="490" t="s">
        <v>112</v>
      </c>
      <c r="G43" s="490" t="s">
        <v>112</v>
      </c>
      <c r="H43" s="490" t="s">
        <v>112</v>
      </c>
      <c r="I43" s="493" t="s">
        <v>112</v>
      </c>
      <c r="J43" s="491" t="s">
        <v>112</v>
      </c>
    </row>
    <row r="44" spans="1:10" ht="15.75" customHeight="1" x14ac:dyDescent="0.2">
      <c r="A44" s="466" t="s">
        <v>496</v>
      </c>
      <c r="B44" s="467"/>
      <c r="C44" s="481">
        <f t="shared" ref="C44:J44" si="9">SUM(C38:C43)</f>
        <v>481.25</v>
      </c>
      <c r="D44" s="481">
        <f t="shared" si="9"/>
        <v>481.25</v>
      </c>
      <c r="E44" s="481">
        <f t="shared" si="9"/>
        <v>319.36</v>
      </c>
      <c r="F44" s="481">
        <f t="shared" si="9"/>
        <v>319.36</v>
      </c>
      <c r="G44" s="481">
        <f t="shared" si="9"/>
        <v>337.28000000000003</v>
      </c>
      <c r="H44" s="481">
        <f t="shared" si="9"/>
        <v>337.28000000000003</v>
      </c>
      <c r="I44" s="481">
        <f t="shared" si="9"/>
        <v>452.75</v>
      </c>
      <c r="J44" s="482">
        <f t="shared" si="9"/>
        <v>452.5</v>
      </c>
    </row>
    <row r="45" spans="1:10" x14ac:dyDescent="0.2">
      <c r="A45" s="452" t="s">
        <v>519</v>
      </c>
      <c r="B45" s="453" t="s">
        <v>487</v>
      </c>
      <c r="C45" s="453" t="s">
        <v>488</v>
      </c>
      <c r="D45" s="453" t="s">
        <v>488</v>
      </c>
      <c r="E45" s="453" t="s">
        <v>488</v>
      </c>
      <c r="F45" s="453" t="s">
        <v>488</v>
      </c>
      <c r="G45" s="453" t="s">
        <v>488</v>
      </c>
      <c r="H45" s="453" t="s">
        <v>488</v>
      </c>
      <c r="I45" s="453" t="s">
        <v>488</v>
      </c>
      <c r="J45" s="454" t="s">
        <v>488</v>
      </c>
    </row>
    <row r="46" spans="1:10" ht="15.75" customHeight="1" x14ac:dyDescent="0.2">
      <c r="A46" s="478" t="s">
        <v>498</v>
      </c>
      <c r="B46" s="495">
        <f t="shared" ref="B46:J46" si="10">B25</f>
        <v>0.1111111111111111</v>
      </c>
      <c r="C46" s="496">
        <f t="shared" si="10"/>
        <v>185.82772727272726</v>
      </c>
      <c r="D46" s="496">
        <f t="shared" si="10"/>
        <v>159.28090909090909</v>
      </c>
      <c r="E46" s="496">
        <f t="shared" si="10"/>
        <v>139.37329545454546</v>
      </c>
      <c r="F46" s="496">
        <f t="shared" si="10"/>
        <v>119.46568181818181</v>
      </c>
      <c r="G46" s="496">
        <f t="shared" si="10"/>
        <v>92.918722222222215</v>
      </c>
      <c r="H46" s="496">
        <f t="shared" si="10"/>
        <v>79.640333333333331</v>
      </c>
      <c r="I46" s="496">
        <f t="shared" si="10"/>
        <v>185.53194444444443</v>
      </c>
      <c r="J46" s="497">
        <f t="shared" si="10"/>
        <v>185.98754818181817</v>
      </c>
    </row>
    <row r="47" spans="1:10" ht="15.75" customHeight="1" x14ac:dyDescent="0.2">
      <c r="A47" s="478" t="s">
        <v>520</v>
      </c>
      <c r="B47" s="495">
        <f t="shared" ref="B47:J47" si="11">B36</f>
        <v>0.36800000000000005</v>
      </c>
      <c r="C47" s="496">
        <f t="shared" si="11"/>
        <v>683.85</v>
      </c>
      <c r="D47" s="496">
        <f t="shared" si="11"/>
        <v>586.18000000000006</v>
      </c>
      <c r="E47" s="496">
        <f t="shared" si="11"/>
        <v>512.90000000000009</v>
      </c>
      <c r="F47" s="496">
        <f t="shared" si="11"/>
        <v>439.64</v>
      </c>
      <c r="G47" s="496">
        <f t="shared" si="11"/>
        <v>341.92</v>
      </c>
      <c r="H47" s="496">
        <f t="shared" si="11"/>
        <v>293.07</v>
      </c>
      <c r="I47" s="496">
        <f t="shared" si="11"/>
        <v>682.74</v>
      </c>
      <c r="J47" s="497">
        <f t="shared" si="11"/>
        <v>684.44999999999993</v>
      </c>
    </row>
    <row r="48" spans="1:10" ht="15.75" customHeight="1" x14ac:dyDescent="0.2">
      <c r="A48" s="478" t="s">
        <v>511</v>
      </c>
      <c r="B48" s="495"/>
      <c r="C48" s="496">
        <f t="shared" ref="C48:J48" si="12">C44</f>
        <v>481.25</v>
      </c>
      <c r="D48" s="496">
        <f t="shared" si="12"/>
        <v>481.25</v>
      </c>
      <c r="E48" s="496">
        <f t="shared" si="12"/>
        <v>319.36</v>
      </c>
      <c r="F48" s="496">
        <f t="shared" si="12"/>
        <v>319.36</v>
      </c>
      <c r="G48" s="496">
        <f t="shared" si="12"/>
        <v>337.28000000000003</v>
      </c>
      <c r="H48" s="496">
        <f t="shared" si="12"/>
        <v>337.28000000000003</v>
      </c>
      <c r="I48" s="496">
        <f t="shared" si="12"/>
        <v>452.75</v>
      </c>
      <c r="J48" s="497">
        <f t="shared" si="12"/>
        <v>452.5</v>
      </c>
    </row>
    <row r="49" spans="1:10" ht="15.75" customHeight="1" x14ac:dyDescent="0.2">
      <c r="A49" s="466" t="s">
        <v>496</v>
      </c>
      <c r="B49" s="467"/>
      <c r="C49" s="481">
        <f t="shared" ref="C49:J49" si="13">SUM(C46:C48)</f>
        <v>1350.9277272727272</v>
      </c>
      <c r="D49" s="468">
        <f t="shared" si="13"/>
        <v>1226.7109090909091</v>
      </c>
      <c r="E49" s="481">
        <f t="shared" si="13"/>
        <v>971.63329545454553</v>
      </c>
      <c r="F49" s="481">
        <f t="shared" si="13"/>
        <v>878.46568181818179</v>
      </c>
      <c r="G49" s="481">
        <f t="shared" si="13"/>
        <v>772.11872222222223</v>
      </c>
      <c r="H49" s="481">
        <f t="shared" si="13"/>
        <v>709.99033333333341</v>
      </c>
      <c r="I49" s="481">
        <f t="shared" si="13"/>
        <v>1321.0219444444444</v>
      </c>
      <c r="J49" s="482">
        <f t="shared" si="13"/>
        <v>1322.9375481818181</v>
      </c>
    </row>
    <row r="50" spans="1:10" ht="14.25" customHeight="1" x14ac:dyDescent="0.2">
      <c r="A50" s="837"/>
      <c r="B50" s="837"/>
      <c r="C50" s="837"/>
      <c r="D50" s="837"/>
      <c r="E50" s="837"/>
      <c r="F50" s="837"/>
      <c r="G50" s="837"/>
      <c r="H50" s="837"/>
      <c r="I50" s="837"/>
      <c r="J50" s="837"/>
    </row>
    <row r="51" spans="1:10" s="498" customFormat="1" ht="12.75" customHeight="1" x14ac:dyDescent="0.2">
      <c r="A51" s="842" t="s">
        <v>521</v>
      </c>
      <c r="B51" s="842"/>
      <c r="C51" s="842"/>
      <c r="D51" s="842"/>
      <c r="E51" s="842"/>
      <c r="F51" s="842"/>
      <c r="G51" s="842"/>
      <c r="H51" s="842"/>
      <c r="I51" s="842"/>
      <c r="J51" s="842"/>
    </row>
    <row r="52" spans="1:10" ht="15.75" customHeight="1" x14ac:dyDescent="0.2">
      <c r="A52" s="452" t="s">
        <v>522</v>
      </c>
      <c r="B52" s="453" t="s">
        <v>487</v>
      </c>
      <c r="C52" s="453" t="s">
        <v>488</v>
      </c>
      <c r="D52" s="453" t="s">
        <v>488</v>
      </c>
      <c r="E52" s="453" t="s">
        <v>488</v>
      </c>
      <c r="F52" s="453" t="s">
        <v>488</v>
      </c>
      <c r="G52" s="453" t="s">
        <v>488</v>
      </c>
      <c r="H52" s="453" t="s">
        <v>488</v>
      </c>
      <c r="I52" s="453" t="s">
        <v>488</v>
      </c>
      <c r="J52" s="454" t="s">
        <v>488</v>
      </c>
    </row>
    <row r="53" spans="1:10" ht="15.75" customHeight="1" x14ac:dyDescent="0.2">
      <c r="A53" s="475" t="s">
        <v>523</v>
      </c>
      <c r="B53" s="499"/>
      <c r="C53" s="499"/>
      <c r="D53" s="499"/>
      <c r="E53" s="499"/>
      <c r="F53" s="499"/>
      <c r="G53" s="499"/>
      <c r="H53" s="499"/>
      <c r="I53" s="500"/>
      <c r="J53" s="501"/>
    </row>
    <row r="54" spans="1:10" ht="15.75" customHeight="1" x14ac:dyDescent="0.2">
      <c r="A54" s="478" t="s">
        <v>524</v>
      </c>
      <c r="B54" s="495">
        <f>1/12*0.05</f>
        <v>4.1666666666666666E-3</v>
      </c>
      <c r="C54" s="502">
        <f t="shared" ref="C54:J54" si="14">C19*$B54</f>
        <v>6.9686590909090897</v>
      </c>
      <c r="D54" s="502">
        <f t="shared" si="14"/>
        <v>5.973136363636363</v>
      </c>
      <c r="E54" s="502">
        <f t="shared" si="14"/>
        <v>5.2264943181818184</v>
      </c>
      <c r="F54" s="502">
        <f t="shared" si="14"/>
        <v>4.479852272727272</v>
      </c>
      <c r="G54" s="502">
        <f t="shared" si="14"/>
        <v>3.4843083333333329</v>
      </c>
      <c r="H54" s="502">
        <f t="shared" si="14"/>
        <v>2.9865499999999998</v>
      </c>
      <c r="I54" s="502">
        <f t="shared" si="14"/>
        <v>6.9572916666666664</v>
      </c>
      <c r="J54" s="503">
        <f t="shared" si="14"/>
        <v>6.9746322272727266</v>
      </c>
    </row>
    <row r="55" spans="1:10" x14ac:dyDescent="0.2">
      <c r="A55" s="478" t="s">
        <v>525</v>
      </c>
      <c r="B55" s="495">
        <f>B35*B54</f>
        <v>3.3333333333333332E-4</v>
      </c>
      <c r="C55" s="502">
        <f t="shared" ref="C55:J55" si="15">$B$55*C19</f>
        <v>0.55749272727272714</v>
      </c>
      <c r="D55" s="502">
        <f t="shared" si="15"/>
        <v>0.47785090909090905</v>
      </c>
      <c r="E55" s="502">
        <f t="shared" si="15"/>
        <v>0.41811954545454544</v>
      </c>
      <c r="F55" s="502">
        <f t="shared" si="15"/>
        <v>0.35838818181818177</v>
      </c>
      <c r="G55" s="502">
        <f t="shared" si="15"/>
        <v>0.27874466666666664</v>
      </c>
      <c r="H55" s="502">
        <f t="shared" si="15"/>
        <v>0.23892399999999997</v>
      </c>
      <c r="I55" s="502">
        <f t="shared" si="15"/>
        <v>0.55658333333333332</v>
      </c>
      <c r="J55" s="503">
        <f t="shared" si="15"/>
        <v>0.55797057818181817</v>
      </c>
    </row>
    <row r="56" spans="1:10" x14ac:dyDescent="0.2">
      <c r="A56" s="478" t="s">
        <v>526</v>
      </c>
      <c r="B56" s="495">
        <v>0</v>
      </c>
      <c r="C56" s="502">
        <f t="shared" ref="C56:J56" si="16">C35*$B56</f>
        <v>0</v>
      </c>
      <c r="D56" s="502">
        <f t="shared" si="16"/>
        <v>0</v>
      </c>
      <c r="E56" s="502">
        <f t="shared" si="16"/>
        <v>0</v>
      </c>
      <c r="F56" s="502">
        <f t="shared" si="16"/>
        <v>0</v>
      </c>
      <c r="G56" s="502">
        <f t="shared" si="16"/>
        <v>0</v>
      </c>
      <c r="H56" s="502">
        <f t="shared" si="16"/>
        <v>0</v>
      </c>
      <c r="I56" s="502">
        <f t="shared" si="16"/>
        <v>0</v>
      </c>
      <c r="J56" s="503">
        <f t="shared" si="16"/>
        <v>0</v>
      </c>
    </row>
    <row r="57" spans="1:10" x14ac:dyDescent="0.2">
      <c r="A57" s="478" t="s">
        <v>527</v>
      </c>
      <c r="B57" s="495">
        <f>1/12*1/30*7</f>
        <v>1.9444444444444441E-2</v>
      </c>
      <c r="C57" s="496">
        <f t="shared" ref="C57:J57" si="17">C19*$B57</f>
        <v>32.520409090909084</v>
      </c>
      <c r="D57" s="496">
        <f t="shared" si="17"/>
        <v>27.874636363636359</v>
      </c>
      <c r="E57" s="496">
        <f t="shared" si="17"/>
        <v>24.390306818181813</v>
      </c>
      <c r="F57" s="496">
        <f t="shared" si="17"/>
        <v>20.905977272727267</v>
      </c>
      <c r="G57" s="496">
        <f t="shared" si="17"/>
        <v>16.260105555555551</v>
      </c>
      <c r="H57" s="496">
        <f t="shared" si="17"/>
        <v>13.93723333333333</v>
      </c>
      <c r="I57" s="496">
        <f t="shared" si="17"/>
        <v>32.467361111111103</v>
      </c>
      <c r="J57" s="497">
        <f t="shared" si="17"/>
        <v>32.548283727272718</v>
      </c>
    </row>
    <row r="58" spans="1:10" x14ac:dyDescent="0.2">
      <c r="A58" s="478" t="s">
        <v>528</v>
      </c>
      <c r="B58" s="495">
        <f>B36*B57</f>
        <v>7.1555555555555556E-3</v>
      </c>
      <c r="C58" s="496">
        <f t="shared" ref="C58:J58" si="18">$B58*C19</f>
        <v>11.967510545454545</v>
      </c>
      <c r="D58" s="496">
        <f t="shared" si="18"/>
        <v>10.257866181818182</v>
      </c>
      <c r="E58" s="496">
        <f t="shared" si="18"/>
        <v>8.9756329090909102</v>
      </c>
      <c r="F58" s="496">
        <f t="shared" si="18"/>
        <v>7.693399636363635</v>
      </c>
      <c r="G58" s="496">
        <f t="shared" si="18"/>
        <v>5.9837188444444438</v>
      </c>
      <c r="H58" s="496">
        <f t="shared" si="18"/>
        <v>5.1289018666666664</v>
      </c>
      <c r="I58" s="496">
        <f t="shared" si="18"/>
        <v>11.947988888888888</v>
      </c>
      <c r="J58" s="497">
        <f t="shared" si="18"/>
        <v>11.977768411636363</v>
      </c>
    </row>
    <row r="59" spans="1:10" x14ac:dyDescent="0.2">
      <c r="A59" s="478" t="s">
        <v>529</v>
      </c>
      <c r="B59" s="495">
        <f>B35*40/100*90/100*(1+1/12+1/12+1/3*1/12)</f>
        <v>3.4399999999999993E-2</v>
      </c>
      <c r="C59" s="496">
        <f t="shared" ref="C59:J59" si="19">C19*$B59</f>
        <v>57.533249454545434</v>
      </c>
      <c r="D59" s="496">
        <f t="shared" si="19"/>
        <v>49.314213818181805</v>
      </c>
      <c r="E59" s="496">
        <f t="shared" si="19"/>
        <v>43.149937090909084</v>
      </c>
      <c r="F59" s="496">
        <f t="shared" si="19"/>
        <v>36.985660363636349</v>
      </c>
      <c r="G59" s="496">
        <f t="shared" si="19"/>
        <v>28.766449599999991</v>
      </c>
      <c r="H59" s="496">
        <f t="shared" si="19"/>
        <v>24.656956799999993</v>
      </c>
      <c r="I59" s="496">
        <f t="shared" si="19"/>
        <v>57.439399999999985</v>
      </c>
      <c r="J59" s="497">
        <f t="shared" si="19"/>
        <v>57.582563668363619</v>
      </c>
    </row>
    <row r="60" spans="1:10" ht="14.25" customHeight="1" x14ac:dyDescent="0.2">
      <c r="A60" s="466" t="s">
        <v>496</v>
      </c>
      <c r="B60" s="480">
        <f t="shared" ref="B60:J60" si="20">SUM(B54:B59)</f>
        <v>6.5499999999999989E-2</v>
      </c>
      <c r="C60" s="468">
        <f t="shared" si="20"/>
        <v>109.54732090909087</v>
      </c>
      <c r="D60" s="468">
        <f t="shared" si="20"/>
        <v>93.897703636363616</v>
      </c>
      <c r="E60" s="468">
        <f t="shared" si="20"/>
        <v>82.160490681818175</v>
      </c>
      <c r="F60" s="468">
        <f t="shared" si="20"/>
        <v>70.423277727272705</v>
      </c>
      <c r="G60" s="468">
        <f t="shared" si="20"/>
        <v>54.773326999999981</v>
      </c>
      <c r="H60" s="468">
        <f t="shared" si="20"/>
        <v>46.948565999999985</v>
      </c>
      <c r="I60" s="469">
        <f t="shared" si="20"/>
        <v>109.36862499999998</v>
      </c>
      <c r="J60" s="470">
        <f t="shared" si="20"/>
        <v>109.64121861272724</v>
      </c>
    </row>
    <row r="61" spans="1:10" ht="14.25" customHeight="1" x14ac:dyDescent="0.2">
      <c r="A61" s="843"/>
      <c r="B61" s="843"/>
      <c r="C61" s="843"/>
      <c r="D61" s="843"/>
      <c r="E61" s="843"/>
      <c r="F61" s="843"/>
      <c r="G61" s="843"/>
      <c r="H61" s="843"/>
      <c r="I61" s="843"/>
      <c r="J61" s="843"/>
    </row>
    <row r="62" spans="1:10" ht="15.75" customHeight="1" x14ac:dyDescent="0.2">
      <c r="A62" s="842" t="s">
        <v>530</v>
      </c>
      <c r="B62" s="842"/>
      <c r="C62" s="842"/>
      <c r="D62" s="842"/>
      <c r="E62" s="842"/>
      <c r="F62" s="842"/>
      <c r="G62" s="842"/>
      <c r="H62" s="842"/>
      <c r="I62" s="842"/>
      <c r="J62" s="842"/>
    </row>
    <row r="63" spans="1:10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6" t="s">
        <v>488</v>
      </c>
      <c r="F63" s="476" t="s">
        <v>488</v>
      </c>
      <c r="G63" s="476" t="s">
        <v>488</v>
      </c>
      <c r="H63" s="476" t="s">
        <v>488</v>
      </c>
      <c r="I63" s="476" t="s">
        <v>488</v>
      </c>
      <c r="J63" s="476" t="s">
        <v>488</v>
      </c>
    </row>
    <row r="64" spans="1:10" ht="14.25" customHeight="1" x14ac:dyDescent="0.2">
      <c r="A64" s="478" t="s">
        <v>44</v>
      </c>
      <c r="B64" s="479">
        <f>1/12</f>
        <v>8.3333333333333329E-2</v>
      </c>
      <c r="C64" s="486">
        <f t="shared" ref="C64:J67" si="21">$B64*(C$19+C$49+C$60)</f>
        <v>261.07943583333326</v>
      </c>
      <c r="D64" s="486">
        <f t="shared" si="21"/>
        <v>229.51344499999999</v>
      </c>
      <c r="E64" s="486">
        <f t="shared" si="21"/>
        <v>192.34603520833335</v>
      </c>
      <c r="F64" s="486">
        <f t="shared" si="21"/>
        <v>168.67112541666665</v>
      </c>
      <c r="G64" s="486">
        <f t="shared" si="21"/>
        <v>138.59383743518515</v>
      </c>
      <c r="H64" s="486">
        <f t="shared" si="21"/>
        <v>122.8092416111111</v>
      </c>
      <c r="I64" s="486">
        <f t="shared" si="21"/>
        <v>258.34504745370373</v>
      </c>
      <c r="J64" s="487">
        <f t="shared" si="21"/>
        <v>258.87420844499997</v>
      </c>
    </row>
    <row r="65" spans="1:10" x14ac:dyDescent="0.2">
      <c r="A65" s="478" t="s">
        <v>531</v>
      </c>
      <c r="B65" s="479">
        <f>MC!E54/30/12</f>
        <v>1.3538888888888885E-2</v>
      </c>
      <c r="C65" s="486">
        <f t="shared" si="21"/>
        <v>42.416705675055539</v>
      </c>
      <c r="D65" s="486">
        <f t="shared" si="21"/>
        <v>37.288284364333322</v>
      </c>
      <c r="E65" s="486">
        <f t="shared" si="21"/>
        <v>31.249819186847215</v>
      </c>
      <c r="F65" s="486">
        <f t="shared" si="21"/>
        <v>27.403435509361103</v>
      </c>
      <c r="G65" s="486">
        <f t="shared" si="21"/>
        <v>22.516878788636411</v>
      </c>
      <c r="H65" s="486">
        <f t="shared" si="21"/>
        <v>19.952408120418514</v>
      </c>
      <c r="I65" s="486">
        <f t="shared" si="21"/>
        <v>41.972458709645053</v>
      </c>
      <c r="J65" s="487">
        <f t="shared" si="21"/>
        <v>42.058429732030987</v>
      </c>
    </row>
    <row r="66" spans="1:10" x14ac:dyDescent="0.2">
      <c r="A66" s="478" t="s">
        <v>532</v>
      </c>
      <c r="B66" s="504">
        <f>(5/30)/12*MC!F56*MC!C57</f>
        <v>1.0764583333333333E-4</v>
      </c>
      <c r="C66" s="486">
        <f t="shared" si="21"/>
        <v>0.33724936123770827</v>
      </c>
      <c r="D66" s="486">
        <f t="shared" si="21"/>
        <v>0.29647399257875001</v>
      </c>
      <c r="E66" s="486">
        <f t="shared" si="21"/>
        <v>0.24846299098036462</v>
      </c>
      <c r="F66" s="486">
        <f t="shared" si="21"/>
        <v>0.21788092625697913</v>
      </c>
      <c r="G66" s="486">
        <f t="shared" si="21"/>
        <v>0.17902858950690045</v>
      </c>
      <c r="H66" s="486">
        <f t="shared" si="21"/>
        <v>0.15863883785115279</v>
      </c>
      <c r="I66" s="486">
        <f t="shared" si="21"/>
        <v>0.3337172150483218</v>
      </c>
      <c r="J66" s="487">
        <f t="shared" si="21"/>
        <v>0.33440075875882874</v>
      </c>
    </row>
    <row r="67" spans="1:10" ht="14.25" customHeight="1" x14ac:dyDescent="0.2">
      <c r="A67" s="478" t="s">
        <v>533</v>
      </c>
      <c r="B67" s="504">
        <f>MC!C59/30/12</f>
        <v>2.6830555555555553E-3</v>
      </c>
      <c r="C67" s="486">
        <f t="shared" si="21"/>
        <v>8.4058875690472199</v>
      </c>
      <c r="D67" s="486">
        <f t="shared" si="21"/>
        <v>7.3895678841833332</v>
      </c>
      <c r="E67" s="486">
        <f t="shared" si="21"/>
        <v>6.192901180257639</v>
      </c>
      <c r="F67" s="486">
        <f t="shared" si="21"/>
        <v>5.4306480013319431</v>
      </c>
      <c r="G67" s="486">
        <f t="shared" si="21"/>
        <v>4.4622595859548451</v>
      </c>
      <c r="H67" s="486">
        <f t="shared" si="21"/>
        <v>3.9540482157390739</v>
      </c>
      <c r="I67" s="486">
        <f t="shared" si="21"/>
        <v>8.3178493778510809</v>
      </c>
      <c r="J67" s="487">
        <f t="shared" si="21"/>
        <v>8.334886597900848</v>
      </c>
    </row>
    <row r="68" spans="1:10" ht="14.25" customHeight="1" x14ac:dyDescent="0.2">
      <c r="A68" s="478" t="s">
        <v>495</v>
      </c>
      <c r="B68" s="479"/>
      <c r="C68" s="490" t="s">
        <v>112</v>
      </c>
      <c r="D68" s="490" t="s">
        <v>112</v>
      </c>
      <c r="E68" s="490" t="s">
        <v>112</v>
      </c>
      <c r="F68" s="490" t="s">
        <v>112</v>
      </c>
      <c r="G68" s="490" t="s">
        <v>112</v>
      </c>
      <c r="H68" s="490" t="s">
        <v>112</v>
      </c>
      <c r="I68" s="493" t="s">
        <v>112</v>
      </c>
      <c r="J68" s="491" t="s">
        <v>112</v>
      </c>
    </row>
    <row r="69" spans="1:10" ht="14.25" customHeight="1" x14ac:dyDescent="0.2">
      <c r="A69" s="505" t="s">
        <v>534</v>
      </c>
      <c r="B69" s="506">
        <f t="shared" ref="B69:J69" si="22">SUM(B64:B68)</f>
        <v>9.9662923611111107E-2</v>
      </c>
      <c r="C69" s="507">
        <f t="shared" si="22"/>
        <v>312.23927843867369</v>
      </c>
      <c r="D69" s="507">
        <f t="shared" si="22"/>
        <v>274.4877712410954</v>
      </c>
      <c r="E69" s="507">
        <f t="shared" si="22"/>
        <v>230.03721856641857</v>
      </c>
      <c r="F69" s="507">
        <f t="shared" si="22"/>
        <v>201.72308985361667</v>
      </c>
      <c r="G69" s="507">
        <f t="shared" si="22"/>
        <v>165.75200439928332</v>
      </c>
      <c r="H69" s="507">
        <f t="shared" si="22"/>
        <v>146.87433678511985</v>
      </c>
      <c r="I69" s="507">
        <f t="shared" si="22"/>
        <v>308.96907275624812</v>
      </c>
      <c r="J69" s="508">
        <f t="shared" si="22"/>
        <v>309.60192553369063</v>
      </c>
    </row>
    <row r="70" spans="1:10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6" t="s">
        <v>488</v>
      </c>
      <c r="F70" s="476" t="s">
        <v>488</v>
      </c>
      <c r="G70" s="476" t="s">
        <v>488</v>
      </c>
      <c r="H70" s="476" t="s">
        <v>488</v>
      </c>
      <c r="I70" s="476" t="s">
        <v>488</v>
      </c>
      <c r="J70" s="477" t="s">
        <v>488</v>
      </c>
    </row>
    <row r="71" spans="1:10" ht="14.25" customHeight="1" x14ac:dyDescent="0.2">
      <c r="A71" s="478" t="s">
        <v>536</v>
      </c>
      <c r="B71" s="479"/>
      <c r="C71" s="490" t="s">
        <v>112</v>
      </c>
      <c r="D71" s="490" t="s">
        <v>112</v>
      </c>
      <c r="E71" s="490" t="s">
        <v>112</v>
      </c>
      <c r="F71" s="490" t="s">
        <v>112</v>
      </c>
      <c r="G71" s="490" t="s">
        <v>112</v>
      </c>
      <c r="H71" s="490" t="s">
        <v>112</v>
      </c>
      <c r="I71" s="493" t="s">
        <v>112</v>
      </c>
      <c r="J71" s="491" t="s">
        <v>112</v>
      </c>
    </row>
    <row r="72" spans="1:10" ht="14.25" customHeight="1" x14ac:dyDescent="0.2">
      <c r="A72" s="505" t="s">
        <v>534</v>
      </c>
      <c r="B72" s="506"/>
      <c r="C72" s="509" t="str">
        <f t="shared" ref="C72:J72" si="23">C71</f>
        <v>-</v>
      </c>
      <c r="D72" s="509" t="str">
        <f t="shared" si="23"/>
        <v>-</v>
      </c>
      <c r="E72" s="509" t="str">
        <f t="shared" si="23"/>
        <v>-</v>
      </c>
      <c r="F72" s="509" t="str">
        <f t="shared" si="23"/>
        <v>-</v>
      </c>
      <c r="G72" s="509" t="str">
        <f t="shared" si="23"/>
        <v>-</v>
      </c>
      <c r="H72" s="509" t="str">
        <f t="shared" si="23"/>
        <v>-</v>
      </c>
      <c r="I72" s="509" t="str">
        <f t="shared" si="23"/>
        <v>-</v>
      </c>
      <c r="J72" s="510" t="str">
        <f t="shared" si="23"/>
        <v>-</v>
      </c>
    </row>
    <row r="73" spans="1:10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6" t="s">
        <v>488</v>
      </c>
      <c r="F73" s="476" t="s">
        <v>488</v>
      </c>
      <c r="G73" s="476" t="s">
        <v>488</v>
      </c>
      <c r="H73" s="476" t="s">
        <v>488</v>
      </c>
      <c r="I73" s="476" t="s">
        <v>488</v>
      </c>
      <c r="J73" s="477" t="s">
        <v>488</v>
      </c>
    </row>
    <row r="74" spans="1:10" ht="14.25" customHeight="1" x14ac:dyDescent="0.2">
      <c r="A74" s="478" t="s">
        <v>66</v>
      </c>
      <c r="B74" s="479">
        <f>120/30*MC!C62*MC!C63</f>
        <v>6.18624E-3</v>
      </c>
      <c r="C74" s="486">
        <f t="shared" ref="C74:J74" si="24">(((C19*2)+ (C19*1/3))+(C36)+(C44-C38-C39))*$B$74</f>
        <v>28.47909256494545</v>
      </c>
      <c r="D74" s="486">
        <f t="shared" si="24"/>
        <v>24.426098694981821</v>
      </c>
      <c r="E74" s="486">
        <f t="shared" si="24"/>
        <v>21.386183170909092</v>
      </c>
      <c r="F74" s="486">
        <f t="shared" si="24"/>
        <v>18.346391371636361</v>
      </c>
      <c r="G74" s="486">
        <f t="shared" si="24"/>
        <v>14.293014704639999</v>
      </c>
      <c r="H74" s="486">
        <f t="shared" si="24"/>
        <v>12.266435473919998</v>
      </c>
      <c r="I74" s="486">
        <f t="shared" si="24"/>
        <v>28.432845734400001</v>
      </c>
      <c r="J74" s="487">
        <f t="shared" si="24"/>
        <v>28.50349701180043</v>
      </c>
    </row>
    <row r="75" spans="1:10" ht="15.75" customHeight="1" x14ac:dyDescent="0.2">
      <c r="A75" s="505" t="s">
        <v>496</v>
      </c>
      <c r="B75" s="506"/>
      <c r="C75" s="509">
        <f t="shared" ref="C75:J75" si="25">C74</f>
        <v>28.47909256494545</v>
      </c>
      <c r="D75" s="509">
        <f t="shared" si="25"/>
        <v>24.426098694981821</v>
      </c>
      <c r="E75" s="509">
        <f t="shared" si="25"/>
        <v>21.386183170909092</v>
      </c>
      <c r="F75" s="509">
        <f t="shared" si="25"/>
        <v>18.346391371636361</v>
      </c>
      <c r="G75" s="509">
        <f t="shared" si="25"/>
        <v>14.293014704639999</v>
      </c>
      <c r="H75" s="509">
        <f t="shared" si="25"/>
        <v>12.266435473919998</v>
      </c>
      <c r="I75" s="509">
        <f t="shared" si="25"/>
        <v>28.432845734400001</v>
      </c>
      <c r="J75" s="510">
        <f t="shared" si="25"/>
        <v>28.50349701180043</v>
      </c>
    </row>
    <row r="76" spans="1:10" x14ac:dyDescent="0.2">
      <c r="A76" s="452" t="s">
        <v>537</v>
      </c>
      <c r="B76" s="453" t="s">
        <v>487</v>
      </c>
      <c r="C76" s="453" t="s">
        <v>488</v>
      </c>
      <c r="D76" s="453" t="s">
        <v>488</v>
      </c>
      <c r="E76" s="453" t="s">
        <v>488</v>
      </c>
      <c r="F76" s="453" t="s">
        <v>488</v>
      </c>
      <c r="G76" s="453" t="s">
        <v>488</v>
      </c>
      <c r="H76" s="453" t="s">
        <v>488</v>
      </c>
      <c r="I76" s="453" t="s">
        <v>488</v>
      </c>
      <c r="J76" s="454" t="s">
        <v>488</v>
      </c>
    </row>
    <row r="77" spans="1:10" x14ac:dyDescent="0.2">
      <c r="A77" s="478" t="s">
        <v>43</v>
      </c>
      <c r="B77" s="495">
        <f t="shared" ref="B77:J77" si="26">B69</f>
        <v>9.9662923611111107E-2</v>
      </c>
      <c r="C77" s="496">
        <f t="shared" si="26"/>
        <v>312.23927843867369</v>
      </c>
      <c r="D77" s="496">
        <f t="shared" si="26"/>
        <v>274.4877712410954</v>
      </c>
      <c r="E77" s="496">
        <f t="shared" si="26"/>
        <v>230.03721856641857</v>
      </c>
      <c r="F77" s="496">
        <f t="shared" si="26"/>
        <v>201.72308985361667</v>
      </c>
      <c r="G77" s="496">
        <f t="shared" si="26"/>
        <v>165.75200439928332</v>
      </c>
      <c r="H77" s="496">
        <f t="shared" si="26"/>
        <v>146.87433678511985</v>
      </c>
      <c r="I77" s="496">
        <f t="shared" si="26"/>
        <v>308.96907275624812</v>
      </c>
      <c r="J77" s="497">
        <f t="shared" si="26"/>
        <v>309.60192553369063</v>
      </c>
    </row>
    <row r="78" spans="1:10" ht="15.75" customHeight="1" x14ac:dyDescent="0.2">
      <c r="A78" s="478" t="s">
        <v>535</v>
      </c>
      <c r="B78" s="495">
        <f t="shared" ref="B78:J78" si="27">B72</f>
        <v>0</v>
      </c>
      <c r="C78" s="496" t="str">
        <f t="shared" si="27"/>
        <v>-</v>
      </c>
      <c r="D78" s="496" t="str">
        <f t="shared" si="27"/>
        <v>-</v>
      </c>
      <c r="E78" s="496" t="str">
        <f t="shared" si="27"/>
        <v>-</v>
      </c>
      <c r="F78" s="496" t="str">
        <f t="shared" si="27"/>
        <v>-</v>
      </c>
      <c r="G78" s="496" t="str">
        <f t="shared" si="27"/>
        <v>-</v>
      </c>
      <c r="H78" s="496" t="str">
        <f t="shared" si="27"/>
        <v>-</v>
      </c>
      <c r="I78" s="496" t="str">
        <f t="shared" si="27"/>
        <v>-</v>
      </c>
      <c r="J78" s="497" t="str">
        <f t="shared" si="27"/>
        <v>-</v>
      </c>
    </row>
    <row r="79" spans="1:10" ht="15.75" customHeight="1" x14ac:dyDescent="0.2">
      <c r="A79" s="478" t="s">
        <v>65</v>
      </c>
      <c r="B79" s="495">
        <f t="shared" ref="B79:J79" si="28">B74</f>
        <v>6.18624E-3</v>
      </c>
      <c r="C79" s="496">
        <f t="shared" si="28"/>
        <v>28.47909256494545</v>
      </c>
      <c r="D79" s="496">
        <f t="shared" si="28"/>
        <v>24.426098694981821</v>
      </c>
      <c r="E79" s="496">
        <f t="shared" si="28"/>
        <v>21.386183170909092</v>
      </c>
      <c r="F79" s="496">
        <f t="shared" si="28"/>
        <v>18.346391371636361</v>
      </c>
      <c r="G79" s="496">
        <f t="shared" si="28"/>
        <v>14.293014704639999</v>
      </c>
      <c r="H79" s="496">
        <f t="shared" si="28"/>
        <v>12.266435473919998</v>
      </c>
      <c r="I79" s="496">
        <f t="shared" si="28"/>
        <v>28.432845734400001</v>
      </c>
      <c r="J79" s="497">
        <f t="shared" si="28"/>
        <v>28.50349701180043</v>
      </c>
    </row>
    <row r="80" spans="1:10" ht="15.75" customHeight="1" x14ac:dyDescent="0.2">
      <c r="A80" s="466" t="s">
        <v>496</v>
      </c>
      <c r="B80" s="467"/>
      <c r="C80" s="481">
        <f t="shared" ref="C80:J80" si="29">SUM(C77:C79)</f>
        <v>340.71837100361915</v>
      </c>
      <c r="D80" s="481">
        <f t="shared" si="29"/>
        <v>298.91386993607722</v>
      </c>
      <c r="E80" s="481">
        <f t="shared" si="29"/>
        <v>251.42340173732765</v>
      </c>
      <c r="F80" s="481">
        <f t="shared" si="29"/>
        <v>220.06948122525304</v>
      </c>
      <c r="G80" s="481">
        <f t="shared" si="29"/>
        <v>180.04501910392332</v>
      </c>
      <c r="H80" s="481">
        <f t="shared" si="29"/>
        <v>159.14077225903986</v>
      </c>
      <c r="I80" s="481">
        <f t="shared" si="29"/>
        <v>337.40191849064814</v>
      </c>
      <c r="J80" s="482">
        <f t="shared" si="29"/>
        <v>338.10542254549108</v>
      </c>
    </row>
    <row r="81" spans="1:10" ht="15.75" customHeight="1" x14ac:dyDescent="0.2">
      <c r="A81" s="471"/>
      <c r="B81" s="472"/>
      <c r="C81" s="472"/>
      <c r="D81" s="472"/>
      <c r="E81" s="472"/>
      <c r="F81" s="472"/>
      <c r="G81" s="472"/>
      <c r="H81" s="472"/>
      <c r="I81" s="473"/>
      <c r="J81" s="474"/>
    </row>
    <row r="82" spans="1:10" ht="15.75" customHeight="1" x14ac:dyDescent="0.2">
      <c r="A82" s="511" t="s">
        <v>538</v>
      </c>
      <c r="B82" s="512"/>
      <c r="C82" s="512"/>
      <c r="D82" s="512"/>
      <c r="E82" s="512"/>
      <c r="F82" s="512"/>
      <c r="G82" s="512"/>
      <c r="H82" s="512"/>
      <c r="I82" s="512"/>
      <c r="J82" s="513"/>
    </row>
    <row r="83" spans="1:10" ht="15.75" customHeight="1" x14ac:dyDescent="0.2">
      <c r="A83" s="452" t="s">
        <v>539</v>
      </c>
      <c r="B83" s="453" t="s">
        <v>540</v>
      </c>
      <c r="C83" s="453" t="s">
        <v>488</v>
      </c>
      <c r="D83" s="453" t="s">
        <v>488</v>
      </c>
      <c r="E83" s="453" t="s">
        <v>488</v>
      </c>
      <c r="F83" s="453" t="s">
        <v>488</v>
      </c>
      <c r="G83" s="453" t="s">
        <v>488</v>
      </c>
      <c r="H83" s="453" t="s">
        <v>488</v>
      </c>
      <c r="I83" s="453" t="s">
        <v>488</v>
      </c>
      <c r="J83" s="454" t="s">
        <v>488</v>
      </c>
    </row>
    <row r="84" spans="1:10" ht="15.75" customHeight="1" x14ac:dyDescent="0.2">
      <c r="A84" s="478" t="s">
        <v>541</v>
      </c>
      <c r="B84" s="514"/>
      <c r="C84" s="457">
        <f>Insumos!$J119</f>
        <v>34.030416666666667</v>
      </c>
      <c r="D84" s="457">
        <f>Insumos!$J119</f>
        <v>34.030416666666667</v>
      </c>
      <c r="E84" s="457">
        <f>Insumos!$J119</f>
        <v>34.030416666666667</v>
      </c>
      <c r="F84" s="457">
        <f>Insumos!$J119</f>
        <v>34.030416666666667</v>
      </c>
      <c r="G84" s="457">
        <f>Insumos!$J119</f>
        <v>34.030416666666667</v>
      </c>
      <c r="H84" s="457">
        <f>Insumos!$J119</f>
        <v>34.030416666666667</v>
      </c>
      <c r="I84" s="457">
        <f>Insumos!$J119</f>
        <v>34.030416666666667</v>
      </c>
      <c r="J84" s="457">
        <f>Insumos!$J118</f>
        <v>27.875416666666666</v>
      </c>
    </row>
    <row r="85" spans="1:10" x14ac:dyDescent="0.2">
      <c r="A85" s="515" t="s">
        <v>542</v>
      </c>
      <c r="B85" s="514"/>
      <c r="C85" s="457">
        <f>Insumos!$G60</f>
        <v>461.23111666666665</v>
      </c>
      <c r="D85" s="457">
        <f>Insumos!$G60</f>
        <v>461.23111666666665</v>
      </c>
      <c r="E85" s="457">
        <f>Insumos!$G60</f>
        <v>461.23111666666665</v>
      </c>
      <c r="F85" s="457">
        <f>Insumos!$G60</f>
        <v>461.23111666666665</v>
      </c>
      <c r="G85" s="457">
        <f>Insumos!$G60</f>
        <v>461.23111666666665</v>
      </c>
      <c r="H85" s="457">
        <f>Insumos!$G60</f>
        <v>461.23111666666665</v>
      </c>
      <c r="I85" s="461" t="s">
        <v>112</v>
      </c>
      <c r="J85" s="462" t="s">
        <v>112</v>
      </c>
    </row>
    <row r="86" spans="1:10" x14ac:dyDescent="0.2">
      <c r="A86" s="515" t="s">
        <v>543</v>
      </c>
      <c r="B86" s="516"/>
      <c r="C86" s="457">
        <f>Insumos!$J100</f>
        <v>21.546927884615382</v>
      </c>
      <c r="D86" s="457">
        <f>Insumos!$J100</f>
        <v>21.546927884615382</v>
      </c>
      <c r="E86" s="457">
        <f>Insumos!$J100</f>
        <v>21.546927884615382</v>
      </c>
      <c r="F86" s="457">
        <f>Insumos!$J100</f>
        <v>21.546927884615382</v>
      </c>
      <c r="G86" s="457">
        <f>Insumos!$J100</f>
        <v>21.546927884615382</v>
      </c>
      <c r="H86" s="457">
        <f>Insumos!$J100</f>
        <v>21.546927884615382</v>
      </c>
      <c r="I86" s="461" t="s">
        <v>112</v>
      </c>
      <c r="J86" s="462" t="s">
        <v>112</v>
      </c>
    </row>
    <row r="87" spans="1:10" ht="15.75" customHeight="1" x14ac:dyDescent="0.2">
      <c r="A87" s="515" t="s">
        <v>544</v>
      </c>
      <c r="B87" s="514"/>
      <c r="C87" s="457">
        <f>Insumos!$I130</f>
        <v>36.666666666666671</v>
      </c>
      <c r="D87" s="457">
        <f>Insumos!$I130</f>
        <v>36.666666666666671</v>
      </c>
      <c r="E87" s="457">
        <f>Insumos!$H130</f>
        <v>25.446666666666665</v>
      </c>
      <c r="F87" s="457">
        <f>Insumos!$H130</f>
        <v>25.446666666666665</v>
      </c>
      <c r="G87" s="457">
        <f>Insumos!$H130</f>
        <v>25.446666666666665</v>
      </c>
      <c r="H87" s="457">
        <f>Insumos!$H130</f>
        <v>25.446666666666665</v>
      </c>
      <c r="I87" s="461" t="s">
        <v>112</v>
      </c>
      <c r="J87" s="462" t="s">
        <v>112</v>
      </c>
    </row>
    <row r="88" spans="1:10" ht="15.75" customHeight="1" x14ac:dyDescent="0.2">
      <c r="A88" s="515" t="s">
        <v>545</v>
      </c>
      <c r="B88" s="479">
        <v>0.12</v>
      </c>
      <c r="C88" s="461" t="s">
        <v>112</v>
      </c>
      <c r="D88" s="461" t="s">
        <v>112</v>
      </c>
      <c r="E88" s="461" t="s">
        <v>112</v>
      </c>
      <c r="F88" s="461" t="s">
        <v>112</v>
      </c>
      <c r="G88" s="461" t="s">
        <v>112</v>
      </c>
      <c r="H88" s="461" t="s">
        <v>112</v>
      </c>
      <c r="I88" s="458">
        <f>B88*(I127+I128+I84)</f>
        <v>362.9762833333333</v>
      </c>
      <c r="J88" s="462" t="s">
        <v>112</v>
      </c>
    </row>
    <row r="89" spans="1:10" ht="15.75" customHeight="1" x14ac:dyDescent="0.2">
      <c r="A89" s="517" t="s">
        <v>546</v>
      </c>
      <c r="B89" s="518"/>
      <c r="C89" s="519"/>
      <c r="D89" s="519"/>
      <c r="E89" s="519"/>
      <c r="F89" s="519"/>
      <c r="G89" s="519"/>
      <c r="H89" s="519"/>
      <c r="I89" s="520"/>
      <c r="J89" s="521">
        <f>Insumos!H146</f>
        <v>50.323333333333331</v>
      </c>
    </row>
    <row r="90" spans="1:10" ht="15.75" customHeight="1" x14ac:dyDescent="0.2">
      <c r="A90" s="515" t="s">
        <v>547</v>
      </c>
      <c r="B90" s="479"/>
      <c r="C90" s="461"/>
      <c r="D90" s="461"/>
      <c r="E90" s="461"/>
      <c r="F90" s="461"/>
      <c r="G90" s="461"/>
      <c r="H90" s="461"/>
      <c r="I90" s="458"/>
      <c r="J90" s="462"/>
    </row>
    <row r="91" spans="1:10" ht="15.75" customHeight="1" x14ac:dyDescent="0.2">
      <c r="A91" s="505" t="s">
        <v>496</v>
      </c>
      <c r="B91" s="522"/>
      <c r="C91" s="507">
        <f t="shared" ref="C91:J91" si="30">SUM(C84:C90)</f>
        <v>553.47512788461529</v>
      </c>
      <c r="D91" s="507">
        <f t="shared" si="30"/>
        <v>553.47512788461529</v>
      </c>
      <c r="E91" s="507">
        <f t="shared" si="30"/>
        <v>542.25512788461538</v>
      </c>
      <c r="F91" s="507">
        <f t="shared" si="30"/>
        <v>542.25512788461538</v>
      </c>
      <c r="G91" s="507">
        <f t="shared" si="30"/>
        <v>542.25512788461538</v>
      </c>
      <c r="H91" s="507">
        <f t="shared" si="30"/>
        <v>542.25512788461538</v>
      </c>
      <c r="I91" s="507">
        <f t="shared" si="30"/>
        <v>397.00669999999997</v>
      </c>
      <c r="J91" s="507">
        <f t="shared" si="30"/>
        <v>78.19874999999999</v>
      </c>
    </row>
    <row r="92" spans="1:10" ht="15.75" customHeight="1" x14ac:dyDescent="0.2">
      <c r="A92" s="837"/>
      <c r="B92" s="837"/>
      <c r="C92" s="523"/>
      <c r="D92" s="523"/>
      <c r="E92" s="523"/>
      <c r="F92" s="523"/>
      <c r="G92" s="523"/>
      <c r="H92" s="523"/>
      <c r="I92" s="524"/>
      <c r="J92" s="525"/>
    </row>
    <row r="93" spans="1:10" ht="15.75" customHeight="1" x14ac:dyDescent="0.2">
      <c r="A93" s="511" t="s">
        <v>548</v>
      </c>
      <c r="B93" s="512"/>
      <c r="C93" s="512"/>
      <c r="D93" s="512"/>
      <c r="E93" s="512"/>
      <c r="F93" s="512"/>
      <c r="G93" s="512"/>
      <c r="H93" s="512"/>
      <c r="I93" s="512"/>
      <c r="J93" s="513"/>
    </row>
    <row r="94" spans="1:10" ht="15.75" customHeight="1" x14ac:dyDescent="0.2">
      <c r="A94" s="452" t="s">
        <v>549</v>
      </c>
      <c r="B94" s="453" t="s">
        <v>487</v>
      </c>
      <c r="C94" s="453" t="s">
        <v>488</v>
      </c>
      <c r="D94" s="453" t="s">
        <v>488</v>
      </c>
      <c r="E94" s="453" t="s">
        <v>488</v>
      </c>
      <c r="F94" s="453" t="s">
        <v>488</v>
      </c>
      <c r="G94" s="453" t="s">
        <v>488</v>
      </c>
      <c r="H94" s="453" t="s">
        <v>488</v>
      </c>
      <c r="I94" s="453" t="s">
        <v>488</v>
      </c>
      <c r="J94" s="454" t="s">
        <v>488</v>
      </c>
    </row>
    <row r="95" spans="1:10" ht="15.75" customHeight="1" x14ac:dyDescent="0.2">
      <c r="A95" s="455" t="s">
        <v>71</v>
      </c>
      <c r="B95" s="479">
        <f>MC!C66</f>
        <v>0.03</v>
      </c>
      <c r="C95" s="486">
        <f t="shared" ref="C95:J95" si="31">(C$19+C$49+C$60+C$80+C$91)*$B$95</f>
        <v>120.81440186664702</v>
      </c>
      <c r="D95" s="486">
        <f t="shared" si="31"/>
        <v>108.19651013462078</v>
      </c>
      <c r="E95" s="486">
        <f t="shared" si="31"/>
        <v>93.054928563658308</v>
      </c>
      <c r="F95" s="486">
        <f t="shared" si="31"/>
        <v>83.591343423296053</v>
      </c>
      <c r="G95" s="486">
        <f t="shared" si="31"/>
        <v>71.562785886322814</v>
      </c>
      <c r="H95" s="486">
        <f t="shared" si="31"/>
        <v>65.253203984309664</v>
      </c>
      <c r="I95" s="486">
        <f t="shared" si="31"/>
        <v>115.03647563805278</v>
      </c>
      <c r="J95" s="487">
        <f t="shared" si="31"/>
        <v>105.68384021656472</v>
      </c>
    </row>
    <row r="96" spans="1:10" x14ac:dyDescent="0.2">
      <c r="A96" s="455" t="s">
        <v>72</v>
      </c>
      <c r="B96" s="479">
        <f>MC!C67</f>
        <v>6.7900000000000002E-2</v>
      </c>
      <c r="C96" s="486">
        <f t="shared" ref="C96:J96" si="32">(C$19+C$49+C$60+C$80+C$91+C95)*$B$96</f>
        <v>281.64656077825646</v>
      </c>
      <c r="D96" s="486">
        <f t="shared" si="32"/>
        <v>252.23131097616579</v>
      </c>
      <c r="E96" s="486">
        <f t="shared" si="32"/>
        <v>216.93275129855238</v>
      </c>
      <c r="F96" s="486">
        <f t="shared" si="32"/>
        <v>194.87092616650187</v>
      </c>
      <c r="G96" s="486">
        <f t="shared" si="32"/>
        <v>166.82955188439198</v>
      </c>
      <c r="H96" s="486">
        <f t="shared" si="32"/>
        <v>152.12044423502215</v>
      </c>
      <c r="I96" s="486">
        <f t="shared" si="32"/>
        <v>268.17686655661657</v>
      </c>
      <c r="J96" s="487">
        <f t="shared" si="32"/>
        <v>246.3736911075296</v>
      </c>
    </row>
    <row r="97" spans="1:11" x14ac:dyDescent="0.2">
      <c r="A97" s="526" t="s">
        <v>550</v>
      </c>
      <c r="B97" s="527">
        <f>B98+B99</f>
        <v>0.1125</v>
      </c>
      <c r="C97" s="528">
        <f t="shared" ref="C97:J97" si="33">((C19+C49+C60+C80+C91+C95+C96)/(1-($B$97)))*$B$97</f>
        <v>561.49956653236961</v>
      </c>
      <c r="D97" s="528">
        <f t="shared" si="33"/>
        <v>502.85638634342695</v>
      </c>
      <c r="E97" s="528">
        <f t="shared" si="33"/>
        <v>432.48405194165338</v>
      </c>
      <c r="F97" s="528">
        <f t="shared" si="33"/>
        <v>388.5008937084084</v>
      </c>
      <c r="G97" s="528">
        <f t="shared" si="33"/>
        <v>332.59671557511666</v>
      </c>
      <c r="H97" s="528">
        <f t="shared" si="33"/>
        <v>303.27216942629417</v>
      </c>
      <c r="I97" s="528">
        <f t="shared" si="33"/>
        <v>534.64595452349101</v>
      </c>
      <c r="J97" s="529">
        <f t="shared" si="33"/>
        <v>491.17844854769396</v>
      </c>
    </row>
    <row r="98" spans="1:11" x14ac:dyDescent="0.2">
      <c r="A98" s="455" t="s">
        <v>551</v>
      </c>
      <c r="B98" s="479">
        <f>0.0165+0.076</f>
        <v>9.2499999999999999E-2</v>
      </c>
      <c r="C98" s="530">
        <f t="shared" ref="C98:J98" si="34">((C$19+C$49+C$60+C$80+C$91+C$95+C$96)/(1-($B$97)))*$B$98</f>
        <v>461.67742137105944</v>
      </c>
      <c r="D98" s="530">
        <f t="shared" si="34"/>
        <v>413.45969543792881</v>
      </c>
      <c r="E98" s="530">
        <f t="shared" si="34"/>
        <v>355.59799826313719</v>
      </c>
      <c r="F98" s="530">
        <f t="shared" si="34"/>
        <v>319.43406816024691</v>
      </c>
      <c r="G98" s="530">
        <f t="shared" si="34"/>
        <v>273.46841058398479</v>
      </c>
      <c r="H98" s="530">
        <f t="shared" si="34"/>
        <v>249.35711708384184</v>
      </c>
      <c r="I98" s="530">
        <f t="shared" si="34"/>
        <v>439.59778483042589</v>
      </c>
      <c r="J98" s="531">
        <f t="shared" si="34"/>
        <v>403.85783547254835</v>
      </c>
    </row>
    <row r="99" spans="1:11" x14ac:dyDescent="0.2">
      <c r="A99" s="455" t="s">
        <v>552</v>
      </c>
      <c r="B99" s="479">
        <v>0.02</v>
      </c>
      <c r="C99" s="532">
        <f t="shared" ref="C99:J99" si="35">((C$19+C$49+C$60+C$80+C$91+C$95+C$96)/(1-($B$97)))*$B$99</f>
        <v>99.822145161310146</v>
      </c>
      <c r="D99" s="532">
        <f t="shared" si="35"/>
        <v>89.396690905498133</v>
      </c>
      <c r="E99" s="532">
        <f t="shared" si="35"/>
        <v>76.886053678516163</v>
      </c>
      <c r="F99" s="532">
        <f t="shared" si="35"/>
        <v>69.066825548161503</v>
      </c>
      <c r="G99" s="532">
        <f t="shared" si="35"/>
        <v>59.128304991131849</v>
      </c>
      <c r="H99" s="532">
        <f t="shared" si="35"/>
        <v>53.915052342452292</v>
      </c>
      <c r="I99" s="532">
        <f t="shared" si="35"/>
        <v>95.048169693065063</v>
      </c>
      <c r="J99" s="533">
        <f t="shared" si="35"/>
        <v>87.320613075145602</v>
      </c>
    </row>
    <row r="100" spans="1:11" x14ac:dyDescent="0.2">
      <c r="A100" s="526" t="s">
        <v>553</v>
      </c>
      <c r="B100" s="527">
        <f>B101+B102</f>
        <v>0.11749999999999999</v>
      </c>
      <c r="C100" s="528">
        <f t="shared" ref="C100:J100" si="36">((C19+C49+C60+C80+C91+C95+C96)/(1-($B$100)))*$B$100</f>
        <v>589.7777946233922</v>
      </c>
      <c r="D100" s="528">
        <f t="shared" si="36"/>
        <v>528.18122795971533</v>
      </c>
      <c r="E100" s="528">
        <f t="shared" si="36"/>
        <v>454.26480369194115</v>
      </c>
      <c r="F100" s="528">
        <f t="shared" si="36"/>
        <v>408.06656666822744</v>
      </c>
      <c r="G100" s="528">
        <f t="shared" si="36"/>
        <v>349.34694361793009</v>
      </c>
      <c r="H100" s="528">
        <f t="shared" si="36"/>
        <v>318.5455553590001</v>
      </c>
      <c r="I100" s="528">
        <f t="shared" si="36"/>
        <v>561.57178163200786</v>
      </c>
      <c r="J100" s="529">
        <f t="shared" si="36"/>
        <v>515.91516613272097</v>
      </c>
    </row>
    <row r="101" spans="1:11" x14ac:dyDescent="0.2">
      <c r="A101" s="455" t="s">
        <v>551</v>
      </c>
      <c r="B101" s="479">
        <f>0.0165+0.076</f>
        <v>9.2499999999999999E-2</v>
      </c>
      <c r="C101" s="530">
        <f t="shared" ref="C101:J101" si="37">((C19+C49+C60+C80+C91+C95+C96)/(1-($B$100)))*$B$101</f>
        <v>464.29315746947901</v>
      </c>
      <c r="D101" s="530">
        <f t="shared" si="37"/>
        <v>415.80224328743543</v>
      </c>
      <c r="E101" s="530">
        <f t="shared" si="37"/>
        <v>357.61271780003881</v>
      </c>
      <c r="F101" s="530">
        <f t="shared" si="37"/>
        <v>321.24389290903014</v>
      </c>
      <c r="G101" s="530">
        <f t="shared" si="37"/>
        <v>275.01780667794498</v>
      </c>
      <c r="H101" s="530">
        <f t="shared" si="37"/>
        <v>250.76990528261715</v>
      </c>
      <c r="I101" s="530">
        <f t="shared" si="37"/>
        <v>442.08842383796366</v>
      </c>
      <c r="J101" s="531">
        <f t="shared" si="37"/>
        <v>406.14598184916332</v>
      </c>
    </row>
    <row r="102" spans="1:11" x14ac:dyDescent="0.2">
      <c r="A102" s="455" t="s">
        <v>552</v>
      </c>
      <c r="B102" s="479">
        <v>2.5000000000000001E-2</v>
      </c>
      <c r="C102" s="532">
        <f t="shared" ref="C102:J102" si="38">((C$19+C$49+C$60+C$80+C$91+C$95+C$96)/(1-($B$100)))*$B$102</f>
        <v>125.48463715391324</v>
      </c>
      <c r="D102" s="532">
        <f t="shared" si="38"/>
        <v>112.37898467227986</v>
      </c>
      <c r="E102" s="532">
        <f t="shared" si="38"/>
        <v>96.652085891902388</v>
      </c>
      <c r="F102" s="532">
        <f t="shared" si="38"/>
        <v>86.822673759197343</v>
      </c>
      <c r="G102" s="532">
        <f t="shared" si="38"/>
        <v>74.329136939985133</v>
      </c>
      <c r="H102" s="532">
        <f t="shared" si="38"/>
        <v>67.775650076383016</v>
      </c>
      <c r="I102" s="532">
        <f t="shared" si="38"/>
        <v>119.48335779404425</v>
      </c>
      <c r="J102" s="533">
        <f t="shared" si="38"/>
        <v>109.76918428355766</v>
      </c>
    </row>
    <row r="103" spans="1:11" x14ac:dyDescent="0.2">
      <c r="A103" s="526" t="s">
        <v>554</v>
      </c>
      <c r="B103" s="527">
        <f>B104+B105</f>
        <v>0.1225</v>
      </c>
      <c r="C103" s="528">
        <f t="shared" ref="C103:J103" si="39">((C19+C49+C60+C80+C91+C95+C96)/(1-($B$103)))*$B$103</f>
        <v>618.37828172399929</v>
      </c>
      <c r="D103" s="528">
        <f t="shared" si="39"/>
        <v>553.79467175966522</v>
      </c>
      <c r="E103" s="528">
        <f t="shared" si="39"/>
        <v>476.29376913738912</v>
      </c>
      <c r="F103" s="528">
        <f t="shared" si="39"/>
        <v>427.85521026006739</v>
      </c>
      <c r="G103" s="528">
        <f t="shared" si="39"/>
        <v>366.2880574504054</v>
      </c>
      <c r="H103" s="528">
        <f t="shared" si="39"/>
        <v>333.99299697185097</v>
      </c>
      <c r="I103" s="528">
        <f t="shared" si="39"/>
        <v>588.8044557731007</v>
      </c>
      <c r="J103" s="529">
        <f t="shared" si="39"/>
        <v>540.933783633247</v>
      </c>
    </row>
    <row r="104" spans="1:11" x14ac:dyDescent="0.2">
      <c r="A104" s="455" t="s">
        <v>551</v>
      </c>
      <c r="B104" s="479">
        <f>0.0165+0.076</f>
        <v>9.2499999999999999E-2</v>
      </c>
      <c r="C104" s="530">
        <f t="shared" ref="C104:J104" si="40">((C19+C49+C60+C80+C91+C95+C96)/(1-($B$103)))*$B$104</f>
        <v>466.93870252628523</v>
      </c>
      <c r="D104" s="530">
        <f t="shared" si="40"/>
        <v>418.17148683893089</v>
      </c>
      <c r="E104" s="530">
        <f t="shared" si="40"/>
        <v>359.65039710374282</v>
      </c>
      <c r="F104" s="530">
        <f t="shared" si="40"/>
        <v>323.07434244127535</v>
      </c>
      <c r="G104" s="530">
        <f t="shared" si="40"/>
        <v>276.58485970744897</v>
      </c>
      <c r="H104" s="530">
        <f t="shared" si="40"/>
        <v>252.19879363180584</v>
      </c>
      <c r="I104" s="530">
        <f t="shared" si="40"/>
        <v>444.60744619601485</v>
      </c>
      <c r="J104" s="531">
        <f t="shared" si="40"/>
        <v>408.46020396796206</v>
      </c>
    </row>
    <row r="105" spans="1:11" x14ac:dyDescent="0.2">
      <c r="A105" s="455" t="s">
        <v>552</v>
      </c>
      <c r="B105" s="479">
        <v>0.03</v>
      </c>
      <c r="C105" s="532">
        <f t="shared" ref="C105:J105" si="41">((C19+C49+C60+C80+C91+C95+C96)/(1-($B$103)))*$B$105</f>
        <v>151.43957919771412</v>
      </c>
      <c r="D105" s="532">
        <f t="shared" si="41"/>
        <v>135.62318492073433</v>
      </c>
      <c r="E105" s="532">
        <f t="shared" si="41"/>
        <v>116.64337203364632</v>
      </c>
      <c r="F105" s="532">
        <f t="shared" si="41"/>
        <v>104.780867818792</v>
      </c>
      <c r="G105" s="532">
        <f t="shared" si="41"/>
        <v>89.703197742956434</v>
      </c>
      <c r="H105" s="532">
        <f t="shared" si="41"/>
        <v>81.794203340045144</v>
      </c>
      <c r="I105" s="532">
        <f t="shared" si="41"/>
        <v>144.19700957708588</v>
      </c>
      <c r="J105" s="533">
        <f t="shared" si="41"/>
        <v>132.47357966528497</v>
      </c>
      <c r="K105" s="534"/>
    </row>
    <row r="106" spans="1:11" x14ac:dyDescent="0.2">
      <c r="A106" s="526" t="s">
        <v>624</v>
      </c>
      <c r="B106" s="527">
        <f>B107+B108</f>
        <v>0.1275</v>
      </c>
      <c r="C106" s="528">
        <f t="shared" ref="C106:J106" si="42">((C19+C49+C60+C80+C91+C95+C96)/(1-($B$106)))*$B$106</f>
        <v>647.30656810369635</v>
      </c>
      <c r="D106" s="528">
        <f t="shared" si="42"/>
        <v>579.70167938540237</v>
      </c>
      <c r="E106" s="528">
        <f t="shared" si="42"/>
        <v>498.57521556215431</v>
      </c>
      <c r="F106" s="528">
        <f t="shared" si="42"/>
        <v>447.87065778992257</v>
      </c>
      <c r="G106" s="528">
        <f t="shared" si="42"/>
        <v>383.4233387766626</v>
      </c>
      <c r="H106" s="528">
        <f t="shared" si="42"/>
        <v>349.61748662610989</v>
      </c>
      <c r="I106" s="528">
        <f t="shared" si="42"/>
        <v>616.34925225391942</v>
      </c>
      <c r="J106" s="529">
        <f t="shared" si="42"/>
        <v>566.23914746615719</v>
      </c>
      <c r="K106" s="534"/>
    </row>
    <row r="107" spans="1:11" x14ac:dyDescent="0.2">
      <c r="A107" s="455" t="s">
        <v>551</v>
      </c>
      <c r="B107" s="479">
        <f>0.0165+0.076</f>
        <v>9.2499999999999999E-2</v>
      </c>
      <c r="C107" s="704">
        <f t="shared" ref="C107:J107" si="43">((C19+C49+C60+C80+C91+C95+C96)/(1-($B$106)))*$B$107</f>
        <v>469.61456901640713</v>
      </c>
      <c r="D107" s="704">
        <f t="shared" si="43"/>
        <v>420.56788504431154</v>
      </c>
      <c r="E107" s="704">
        <f t="shared" si="43"/>
        <v>361.71143089803348</v>
      </c>
      <c r="F107" s="704">
        <f t="shared" si="43"/>
        <v>324.92577133778695</v>
      </c>
      <c r="G107" s="704">
        <f t="shared" si="43"/>
        <v>278.16987323012779</v>
      </c>
      <c r="H107" s="704">
        <f t="shared" si="43"/>
        <v>253.6440589248248</v>
      </c>
      <c r="I107" s="704">
        <f t="shared" si="43"/>
        <v>447.15533987049048</v>
      </c>
      <c r="J107" s="705">
        <f t="shared" si="43"/>
        <v>410.80095012250615</v>
      </c>
      <c r="K107" s="534"/>
    </row>
    <row r="108" spans="1:11" x14ac:dyDescent="0.2">
      <c r="A108" s="455" t="s">
        <v>552</v>
      </c>
      <c r="B108" s="479">
        <v>3.5000000000000003E-2</v>
      </c>
      <c r="C108" s="706">
        <f t="shared" ref="C108:J108" si="44">((C19+C49+C60+C80+C91+C95+C96)/(1-($B$106)))*$B$108</f>
        <v>177.69199908728919</v>
      </c>
      <c r="D108" s="706">
        <f t="shared" si="44"/>
        <v>159.13379434109086</v>
      </c>
      <c r="E108" s="706">
        <f t="shared" si="44"/>
        <v>136.8637846641208</v>
      </c>
      <c r="F108" s="706">
        <f t="shared" si="44"/>
        <v>122.94488645213562</v>
      </c>
      <c r="G108" s="706">
        <f t="shared" si="44"/>
        <v>105.25346554653484</v>
      </c>
      <c r="H108" s="706">
        <f t="shared" si="44"/>
        <v>95.973427701285075</v>
      </c>
      <c r="I108" s="706">
        <f t="shared" si="44"/>
        <v>169.19391238342885</v>
      </c>
      <c r="J108" s="707">
        <f t="shared" si="44"/>
        <v>155.43819734365098</v>
      </c>
      <c r="K108" s="534"/>
    </row>
    <row r="109" spans="1:11" x14ac:dyDescent="0.2">
      <c r="A109" s="526" t="s">
        <v>555</v>
      </c>
      <c r="B109" s="527">
        <f>B110+B111</f>
        <v>0.13250000000000001</v>
      </c>
      <c r="C109" s="528">
        <f t="shared" ref="C109:J109" si="45">((C19+C49+C60+C80+C91+C95+C96)/(1-($B$109)))*$B$109</f>
        <v>676.56832176154569</v>
      </c>
      <c r="D109" s="528">
        <f t="shared" si="45"/>
        <v>605.90732686849697</v>
      </c>
      <c r="E109" s="528">
        <f t="shared" si="45"/>
        <v>521.11350863158555</v>
      </c>
      <c r="F109" s="528">
        <f t="shared" si="45"/>
        <v>468.11683093971851</v>
      </c>
      <c r="G109" s="528">
        <f t="shared" si="45"/>
        <v>400.75614495970666</v>
      </c>
      <c r="H109" s="528">
        <f t="shared" si="45"/>
        <v>365.42208567119599</v>
      </c>
      <c r="I109" s="528">
        <f t="shared" si="45"/>
        <v>644.21156800252857</v>
      </c>
      <c r="J109" s="529">
        <f t="shared" si="45"/>
        <v>591.83621578129123</v>
      </c>
    </row>
    <row r="110" spans="1:11" x14ac:dyDescent="0.2">
      <c r="A110" s="455" t="s">
        <v>551</v>
      </c>
      <c r="B110" s="479">
        <f>0.0165+0.076</f>
        <v>9.2499999999999999E-2</v>
      </c>
      <c r="C110" s="530">
        <f t="shared" ref="C110:J110" si="46">((C19+C49+C60+C80+C91+C95+C96)/(1-($B$109)))*$B$110</f>
        <v>472.32128122975826</v>
      </c>
      <c r="D110" s="530">
        <f t="shared" si="46"/>
        <v>422.99190743649785</v>
      </c>
      <c r="E110" s="530">
        <f t="shared" si="46"/>
        <v>363.79622300695593</v>
      </c>
      <c r="F110" s="530">
        <f t="shared" si="46"/>
        <v>326.79854235414308</v>
      </c>
      <c r="G110" s="530">
        <f t="shared" si="46"/>
        <v>279.77315780205936</v>
      </c>
      <c r="H110" s="530">
        <f t="shared" si="46"/>
        <v>255.10598433649528</v>
      </c>
      <c r="I110" s="530">
        <f t="shared" si="46"/>
        <v>449.73260407723694</v>
      </c>
      <c r="J110" s="531">
        <f t="shared" si="46"/>
        <v>413.16867894165608</v>
      </c>
    </row>
    <row r="111" spans="1:11" x14ac:dyDescent="0.2">
      <c r="A111" s="455" t="s">
        <v>552</v>
      </c>
      <c r="B111" s="479">
        <v>0.04</v>
      </c>
      <c r="C111" s="532">
        <f t="shared" ref="C111:J111" si="47">((C19+C49+C60+C80+C91+C95+C96)/(1-($B$109)))*$B$111</f>
        <v>204.24704053178735</v>
      </c>
      <c r="D111" s="532">
        <f t="shared" si="47"/>
        <v>182.91541943199908</v>
      </c>
      <c r="E111" s="532">
        <f t="shared" si="47"/>
        <v>157.31728562462962</v>
      </c>
      <c r="F111" s="532">
        <f t="shared" si="47"/>
        <v>141.3182885855754</v>
      </c>
      <c r="G111" s="532">
        <f t="shared" si="47"/>
        <v>120.9829871576473</v>
      </c>
      <c r="H111" s="532">
        <f t="shared" si="47"/>
        <v>110.31610133470068</v>
      </c>
      <c r="I111" s="532">
        <f t="shared" si="47"/>
        <v>194.47896392529165</v>
      </c>
      <c r="J111" s="533">
        <f t="shared" si="47"/>
        <v>178.66753683963506</v>
      </c>
    </row>
    <row r="112" spans="1:11" x14ac:dyDescent="0.2">
      <c r="A112" s="526" t="s">
        <v>556</v>
      </c>
      <c r="B112" s="527">
        <f>B113+B114</f>
        <v>0.14250000000000002</v>
      </c>
      <c r="C112" s="528">
        <f t="shared" ref="C112:J112" si="48">((C19+C49+C60+C80+C91+C95+C96)/(1-($B$112)))*$B$112</f>
        <v>736.11556389909299</v>
      </c>
      <c r="D112" s="528">
        <f t="shared" si="48"/>
        <v>659.23543749007104</v>
      </c>
      <c r="E112" s="528">
        <f t="shared" si="48"/>
        <v>566.97860648133189</v>
      </c>
      <c r="F112" s="528">
        <f t="shared" si="48"/>
        <v>509.31749816583385</v>
      </c>
      <c r="G112" s="528">
        <f t="shared" si="48"/>
        <v>436.02815287738815</v>
      </c>
      <c r="H112" s="528">
        <f t="shared" si="48"/>
        <v>397.58421434020494</v>
      </c>
      <c r="I112" s="528">
        <f t="shared" si="48"/>
        <v>700.91097439474186</v>
      </c>
      <c r="J112" s="529">
        <f t="shared" si="48"/>
        <v>643.92587666748227</v>
      </c>
    </row>
    <row r="113" spans="1:11" x14ac:dyDescent="0.2">
      <c r="A113" s="455" t="s">
        <v>551</v>
      </c>
      <c r="B113" s="479">
        <f>0.0165+0.076</f>
        <v>9.2499999999999999E-2</v>
      </c>
      <c r="C113" s="535">
        <f t="shared" ref="C113:J113" si="49">((C19+C49+C60+C80+C91+C95+C96)/(1-($B$112)))*$B$113</f>
        <v>477.82940112748133</v>
      </c>
      <c r="D113" s="535">
        <f t="shared" si="49"/>
        <v>427.92475766899338</v>
      </c>
      <c r="E113" s="535">
        <f t="shared" si="49"/>
        <v>368.03874455805749</v>
      </c>
      <c r="F113" s="535">
        <f t="shared" si="49"/>
        <v>330.6096040725588</v>
      </c>
      <c r="G113" s="535">
        <f t="shared" si="49"/>
        <v>283.0358185344449</v>
      </c>
      <c r="H113" s="535">
        <f t="shared" si="49"/>
        <v>258.08098123837863</v>
      </c>
      <c r="I113" s="535">
        <f t="shared" si="49"/>
        <v>454.97729916851665</v>
      </c>
      <c r="J113" s="536">
        <f t="shared" si="49"/>
        <v>417.9869725736288</v>
      </c>
    </row>
    <row r="114" spans="1:11" x14ac:dyDescent="0.2">
      <c r="A114" s="455" t="s">
        <v>552</v>
      </c>
      <c r="B114" s="537">
        <v>0.05</v>
      </c>
      <c r="C114" s="538">
        <f t="shared" ref="C114:J114" si="50">((C19+C49+C60+C80+C91+C95+C96)/(1-($B$112)))*$B$114</f>
        <v>258.28616277161154</v>
      </c>
      <c r="D114" s="538">
        <f t="shared" si="50"/>
        <v>231.31067982107754</v>
      </c>
      <c r="E114" s="538">
        <f t="shared" si="50"/>
        <v>198.93986192327432</v>
      </c>
      <c r="F114" s="538">
        <f t="shared" si="50"/>
        <v>178.70789409327503</v>
      </c>
      <c r="G114" s="538">
        <f t="shared" si="50"/>
        <v>152.9923343429432</v>
      </c>
      <c r="H114" s="538">
        <f t="shared" si="50"/>
        <v>139.50323310182628</v>
      </c>
      <c r="I114" s="538">
        <f t="shared" si="50"/>
        <v>245.9336752262252</v>
      </c>
      <c r="J114" s="539">
        <f t="shared" si="50"/>
        <v>225.93890409385341</v>
      </c>
    </row>
    <row r="115" spans="1:11" x14ac:dyDescent="0.2">
      <c r="A115" s="838" t="s">
        <v>557</v>
      </c>
      <c r="B115" s="540">
        <v>0.02</v>
      </c>
      <c r="C115" s="541">
        <f t="shared" ref="C115:J115" si="51">C95+C96+C97</f>
        <v>963.96052917727309</v>
      </c>
      <c r="D115" s="541">
        <f t="shared" si="51"/>
        <v>863.28420745421352</v>
      </c>
      <c r="E115" s="541">
        <f t="shared" si="51"/>
        <v>742.47173180386403</v>
      </c>
      <c r="F115" s="541">
        <f t="shared" si="51"/>
        <v>666.96316329820638</v>
      </c>
      <c r="G115" s="541">
        <f t="shared" si="51"/>
        <v>570.98905334583151</v>
      </c>
      <c r="H115" s="541">
        <f t="shared" si="51"/>
        <v>520.64581764562604</v>
      </c>
      <c r="I115" s="541">
        <f t="shared" si="51"/>
        <v>917.85929671816029</v>
      </c>
      <c r="J115" s="542">
        <f t="shared" si="51"/>
        <v>843.23597987178823</v>
      </c>
    </row>
    <row r="116" spans="1:11" x14ac:dyDescent="0.2">
      <c r="A116" s="838"/>
      <c r="B116" s="543">
        <v>2.5000000000000001E-2</v>
      </c>
      <c r="C116" s="544">
        <f t="shared" ref="C116:J116" si="52">C95+C96+C100</f>
        <v>992.23875726829567</v>
      </c>
      <c r="D116" s="544">
        <f t="shared" si="52"/>
        <v>888.6090490705019</v>
      </c>
      <c r="E116" s="544">
        <f t="shared" si="52"/>
        <v>764.25248355415192</v>
      </c>
      <c r="F116" s="544">
        <f t="shared" si="52"/>
        <v>686.52883625802542</v>
      </c>
      <c r="G116" s="544">
        <f t="shared" si="52"/>
        <v>587.73928138864494</v>
      </c>
      <c r="H116" s="544">
        <f t="shared" si="52"/>
        <v>535.91920357833192</v>
      </c>
      <c r="I116" s="544">
        <f t="shared" si="52"/>
        <v>944.78512382667714</v>
      </c>
      <c r="J116" s="545">
        <f t="shared" si="52"/>
        <v>867.97269745681524</v>
      </c>
    </row>
    <row r="117" spans="1:11" ht="15.75" customHeight="1" x14ac:dyDescent="0.2">
      <c r="A117" s="838"/>
      <c r="B117" s="543">
        <v>0.03</v>
      </c>
      <c r="C117" s="544">
        <f t="shared" ref="C117:J117" si="53">C95+C96+C103</f>
        <v>1020.8392443689028</v>
      </c>
      <c r="D117" s="544">
        <f t="shared" si="53"/>
        <v>914.22249287045179</v>
      </c>
      <c r="E117" s="544">
        <f t="shared" si="53"/>
        <v>786.28144899959989</v>
      </c>
      <c r="F117" s="544">
        <f t="shared" si="53"/>
        <v>706.31747984986532</v>
      </c>
      <c r="G117" s="544">
        <f t="shared" si="53"/>
        <v>604.68039522112019</v>
      </c>
      <c r="H117" s="544">
        <f t="shared" si="53"/>
        <v>551.36664519118278</v>
      </c>
      <c r="I117" s="544">
        <f t="shared" si="53"/>
        <v>972.01779796777009</v>
      </c>
      <c r="J117" s="545">
        <f t="shared" si="53"/>
        <v>892.99131495734127</v>
      </c>
      <c r="K117" s="534"/>
    </row>
    <row r="118" spans="1:11" ht="15.75" customHeight="1" x14ac:dyDescent="0.2">
      <c r="A118" s="838"/>
      <c r="B118" s="543">
        <v>3.5000000000000003E-2</v>
      </c>
      <c r="C118" s="544">
        <f t="shared" ref="C118:J118" si="54">C95+C96+C106</f>
        <v>1049.7675307485997</v>
      </c>
      <c r="D118" s="544">
        <f t="shared" si="54"/>
        <v>940.12950049618894</v>
      </c>
      <c r="E118" s="544">
        <f t="shared" si="54"/>
        <v>808.56289542436502</v>
      </c>
      <c r="F118" s="544">
        <f t="shared" si="54"/>
        <v>726.33292737972056</v>
      </c>
      <c r="G118" s="544">
        <f t="shared" si="54"/>
        <v>621.81567654737739</v>
      </c>
      <c r="H118" s="544">
        <f t="shared" si="54"/>
        <v>566.99113484544171</v>
      </c>
      <c r="I118" s="544">
        <f t="shared" si="54"/>
        <v>999.5625944485887</v>
      </c>
      <c r="J118" s="545">
        <f t="shared" si="54"/>
        <v>918.29667879025146</v>
      </c>
      <c r="K118" s="534"/>
    </row>
    <row r="119" spans="1:11" ht="15.75" customHeight="1" x14ac:dyDescent="0.2">
      <c r="A119" s="838"/>
      <c r="B119" s="543">
        <v>0.04</v>
      </c>
      <c r="C119" s="544">
        <f t="shared" ref="C119:J119" si="55">C95+C96+C109</f>
        <v>1079.0292844064493</v>
      </c>
      <c r="D119" s="544">
        <f t="shared" si="55"/>
        <v>966.33514797928353</v>
      </c>
      <c r="E119" s="544">
        <f t="shared" si="55"/>
        <v>831.10118849379626</v>
      </c>
      <c r="F119" s="544">
        <f t="shared" si="55"/>
        <v>746.57910052951638</v>
      </c>
      <c r="G119" s="544">
        <f t="shared" si="55"/>
        <v>639.14848273042139</v>
      </c>
      <c r="H119" s="544">
        <f t="shared" si="55"/>
        <v>582.7957338905278</v>
      </c>
      <c r="I119" s="544">
        <f t="shared" si="55"/>
        <v>1027.424910197198</v>
      </c>
      <c r="J119" s="545">
        <f t="shared" si="55"/>
        <v>943.8937471053855</v>
      </c>
    </row>
    <row r="120" spans="1:11" ht="15.75" customHeight="1" x14ac:dyDescent="0.2">
      <c r="A120" s="838"/>
      <c r="B120" s="546">
        <v>0.05</v>
      </c>
      <c r="C120" s="547">
        <f t="shared" ref="C120:J120" si="56">C95+C96+C112</f>
        <v>1138.5765265439964</v>
      </c>
      <c r="D120" s="547">
        <f t="shared" si="56"/>
        <v>1019.6632586008576</v>
      </c>
      <c r="E120" s="547">
        <f t="shared" si="56"/>
        <v>876.96628634354261</v>
      </c>
      <c r="F120" s="547">
        <f t="shared" si="56"/>
        <v>787.77976775563184</v>
      </c>
      <c r="G120" s="547">
        <f t="shared" si="56"/>
        <v>674.42049064810294</v>
      </c>
      <c r="H120" s="547">
        <f t="shared" si="56"/>
        <v>614.95786255953681</v>
      </c>
      <c r="I120" s="547">
        <f t="shared" si="56"/>
        <v>1084.1243165894111</v>
      </c>
      <c r="J120" s="548">
        <f t="shared" si="56"/>
        <v>995.98340799157654</v>
      </c>
    </row>
    <row r="121" spans="1:11" ht="15.75" customHeight="1" x14ac:dyDescent="0.2">
      <c r="A121" s="455" t="s">
        <v>558</v>
      </c>
      <c r="B121" s="549"/>
      <c r="C121" s="550"/>
      <c r="D121" s="550"/>
      <c r="E121" s="550"/>
      <c r="F121" s="550"/>
      <c r="G121" s="550"/>
      <c r="H121" s="550"/>
      <c r="I121" s="551"/>
      <c r="J121" s="552"/>
    </row>
    <row r="122" spans="1:11" ht="24.75" customHeight="1" x14ac:dyDescent="0.2">
      <c r="A122" s="553"/>
      <c r="B122" s="554"/>
      <c r="C122" s="555"/>
      <c r="D122" s="555"/>
      <c r="E122" s="555"/>
      <c r="F122" s="555"/>
      <c r="G122" s="555"/>
      <c r="H122" s="555"/>
      <c r="I122" s="556"/>
      <c r="J122" s="557"/>
    </row>
    <row r="123" spans="1:11" ht="15.75" customHeight="1" x14ac:dyDescent="0.2">
      <c r="A123" s="839"/>
      <c r="B123" s="839"/>
      <c r="C123" s="839"/>
      <c r="D123" s="839"/>
      <c r="E123" s="839"/>
      <c r="F123" s="839"/>
      <c r="G123" s="839"/>
      <c r="H123" s="839"/>
      <c r="I123" s="839"/>
      <c r="J123" s="839"/>
    </row>
    <row r="124" spans="1:11" ht="15.75" customHeight="1" x14ac:dyDescent="0.2">
      <c r="A124" s="840"/>
      <c r="B124" s="840"/>
      <c r="C124" s="840"/>
      <c r="D124" s="840"/>
      <c r="E124" s="840"/>
      <c r="F124" s="840"/>
      <c r="G124" s="840"/>
      <c r="H124" s="840"/>
      <c r="I124" s="840"/>
      <c r="J124" s="840"/>
    </row>
    <row r="125" spans="1:11" ht="54.75" customHeight="1" x14ac:dyDescent="0.2">
      <c r="A125" s="841" t="s">
        <v>559</v>
      </c>
      <c r="B125" s="841"/>
      <c r="C125" s="558" t="str">
        <f t="shared" ref="C125:J125" si="57">C10</f>
        <v>Servente 40h (banheirista)
(insalubridade 40%)</v>
      </c>
      <c r="D125" s="558" t="str">
        <f t="shared" si="57"/>
        <v>Servente 40h
(insalubridade 20%)</v>
      </c>
      <c r="E125" s="558" t="str">
        <f t="shared" si="57"/>
        <v>Servente 30h (banheirista)
(insalubridade 40%)</v>
      </c>
      <c r="F125" s="558" t="str">
        <f t="shared" si="57"/>
        <v>Servente 30h
(insalubridade 20%)</v>
      </c>
      <c r="G125" s="558" t="str">
        <f t="shared" si="57"/>
        <v>Servente 20h
(insalubridade 40%)</v>
      </c>
      <c r="H125" s="558" t="str">
        <f t="shared" si="57"/>
        <v>Servente 20h
(insalubridade 20%)</v>
      </c>
      <c r="I125" s="559" t="str">
        <f t="shared" si="57"/>
        <v>Limpador alpinista 44h (limpeza de esquadrias com risco)</v>
      </c>
      <c r="J125" s="560" t="str">
        <f t="shared" si="57"/>
        <v>Encarregada 40h</v>
      </c>
    </row>
    <row r="126" spans="1:11" ht="15.75" customHeight="1" x14ac:dyDescent="0.2">
      <c r="A126" s="835" t="s">
        <v>560</v>
      </c>
      <c r="B126" s="835"/>
      <c r="C126" s="561" t="s">
        <v>488</v>
      </c>
      <c r="D126" s="561" t="s">
        <v>488</v>
      </c>
      <c r="E126" s="561" t="s">
        <v>488</v>
      </c>
      <c r="F126" s="561" t="s">
        <v>488</v>
      </c>
      <c r="G126" s="561" t="s">
        <v>488</v>
      </c>
      <c r="H126" s="561" t="s">
        <v>488</v>
      </c>
      <c r="I126" s="561" t="s">
        <v>488</v>
      </c>
      <c r="J126" s="562" t="s">
        <v>488</v>
      </c>
    </row>
    <row r="127" spans="1:11" ht="14.25" customHeight="1" x14ac:dyDescent="0.2">
      <c r="A127" s="836" t="s">
        <v>561</v>
      </c>
      <c r="B127" s="836"/>
      <c r="C127" s="563">
        <f t="shared" ref="C127:J127" si="58">C19</f>
        <v>1672.4781818181816</v>
      </c>
      <c r="D127" s="563">
        <f t="shared" si="58"/>
        <v>1433.5527272727272</v>
      </c>
      <c r="E127" s="563">
        <f t="shared" si="58"/>
        <v>1254.3586363636364</v>
      </c>
      <c r="F127" s="563">
        <f t="shared" si="58"/>
        <v>1075.1645454545453</v>
      </c>
      <c r="G127" s="563">
        <f t="shared" si="58"/>
        <v>836.23399999999992</v>
      </c>
      <c r="H127" s="563">
        <f t="shared" si="58"/>
        <v>716.77199999999993</v>
      </c>
      <c r="I127" s="563">
        <f t="shared" si="58"/>
        <v>1669.75</v>
      </c>
      <c r="J127" s="564">
        <f t="shared" si="58"/>
        <v>1673.9117345454545</v>
      </c>
    </row>
    <row r="128" spans="1:11" ht="14.25" customHeight="1" x14ac:dyDescent="0.2">
      <c r="A128" s="832" t="s">
        <v>562</v>
      </c>
      <c r="B128" s="832"/>
      <c r="C128" s="565">
        <f t="shared" ref="C128:J128" si="59">C49</f>
        <v>1350.9277272727272</v>
      </c>
      <c r="D128" s="565">
        <f t="shared" si="59"/>
        <v>1226.7109090909091</v>
      </c>
      <c r="E128" s="565">
        <f t="shared" si="59"/>
        <v>971.63329545454553</v>
      </c>
      <c r="F128" s="565">
        <f t="shared" si="59"/>
        <v>878.46568181818179</v>
      </c>
      <c r="G128" s="565">
        <f t="shared" si="59"/>
        <v>772.11872222222223</v>
      </c>
      <c r="H128" s="565">
        <f t="shared" si="59"/>
        <v>709.99033333333341</v>
      </c>
      <c r="I128" s="565">
        <f t="shared" si="59"/>
        <v>1321.0219444444444</v>
      </c>
      <c r="J128" s="566">
        <f t="shared" si="59"/>
        <v>1322.9375481818181</v>
      </c>
    </row>
    <row r="129" spans="1:10" ht="14.25" customHeight="1" x14ac:dyDescent="0.2">
      <c r="A129" s="832" t="s">
        <v>563</v>
      </c>
      <c r="B129" s="832"/>
      <c r="C129" s="565">
        <f t="shared" ref="C129:J129" si="60">C60</f>
        <v>109.54732090909087</v>
      </c>
      <c r="D129" s="565">
        <f t="shared" si="60"/>
        <v>93.897703636363616</v>
      </c>
      <c r="E129" s="565">
        <f t="shared" si="60"/>
        <v>82.160490681818175</v>
      </c>
      <c r="F129" s="565">
        <f t="shared" si="60"/>
        <v>70.423277727272705</v>
      </c>
      <c r="G129" s="565">
        <f t="shared" si="60"/>
        <v>54.773326999999981</v>
      </c>
      <c r="H129" s="565">
        <f t="shared" si="60"/>
        <v>46.948565999999985</v>
      </c>
      <c r="I129" s="565">
        <f t="shared" si="60"/>
        <v>109.36862499999998</v>
      </c>
      <c r="J129" s="566">
        <f t="shared" si="60"/>
        <v>109.64121861272724</v>
      </c>
    </row>
    <row r="130" spans="1:10" ht="14.25" customHeight="1" x14ac:dyDescent="0.2">
      <c r="A130" s="832" t="s">
        <v>564</v>
      </c>
      <c r="B130" s="832"/>
      <c r="C130" s="565">
        <f t="shared" ref="C130:I130" si="61">C80</f>
        <v>340.71837100361915</v>
      </c>
      <c r="D130" s="565">
        <f t="shared" si="61"/>
        <v>298.91386993607722</v>
      </c>
      <c r="E130" s="565">
        <f t="shared" si="61"/>
        <v>251.42340173732765</v>
      </c>
      <c r="F130" s="565">
        <f t="shared" si="61"/>
        <v>220.06948122525304</v>
      </c>
      <c r="G130" s="565">
        <f t="shared" si="61"/>
        <v>180.04501910392332</v>
      </c>
      <c r="H130" s="565">
        <f t="shared" si="61"/>
        <v>159.14077225903986</v>
      </c>
      <c r="I130" s="565">
        <f t="shared" si="61"/>
        <v>337.40191849064814</v>
      </c>
      <c r="J130" s="566">
        <f>J69</f>
        <v>309.60192553369063</v>
      </c>
    </row>
    <row r="131" spans="1:10" ht="15.75" customHeight="1" x14ac:dyDescent="0.2">
      <c r="A131" s="832" t="s">
        <v>565</v>
      </c>
      <c r="B131" s="832"/>
      <c r="C131" s="565">
        <f t="shared" ref="C131:J131" si="62">C91</f>
        <v>553.47512788461529</v>
      </c>
      <c r="D131" s="565">
        <f t="shared" si="62"/>
        <v>553.47512788461529</v>
      </c>
      <c r="E131" s="565">
        <f t="shared" si="62"/>
        <v>542.25512788461538</v>
      </c>
      <c r="F131" s="565">
        <f t="shared" si="62"/>
        <v>542.25512788461538</v>
      </c>
      <c r="G131" s="565">
        <f t="shared" si="62"/>
        <v>542.25512788461538</v>
      </c>
      <c r="H131" s="565">
        <f t="shared" si="62"/>
        <v>542.25512788461538</v>
      </c>
      <c r="I131" s="565">
        <f t="shared" si="62"/>
        <v>397.00669999999997</v>
      </c>
      <c r="J131" s="566">
        <f t="shared" si="62"/>
        <v>78.19874999999999</v>
      </c>
    </row>
    <row r="132" spans="1:10" ht="15.75" customHeight="1" x14ac:dyDescent="0.2">
      <c r="A132" s="834" t="s">
        <v>566</v>
      </c>
      <c r="B132" s="834"/>
      <c r="C132" s="567">
        <f t="shared" ref="C132:J132" si="63">SUM(C127:C131)</f>
        <v>4027.1467288882341</v>
      </c>
      <c r="D132" s="567">
        <f t="shared" si="63"/>
        <v>3606.5503378206927</v>
      </c>
      <c r="E132" s="567">
        <f t="shared" si="63"/>
        <v>3101.8309521219435</v>
      </c>
      <c r="F132" s="567">
        <f t="shared" si="63"/>
        <v>2786.3781141098684</v>
      </c>
      <c r="G132" s="567">
        <f t="shared" si="63"/>
        <v>2385.4261962107607</v>
      </c>
      <c r="H132" s="567">
        <f t="shared" si="63"/>
        <v>2175.1067994769887</v>
      </c>
      <c r="I132" s="568">
        <f t="shared" si="63"/>
        <v>3834.549187935093</v>
      </c>
      <c r="J132" s="569">
        <f t="shared" si="63"/>
        <v>3494.2911768736903</v>
      </c>
    </row>
    <row r="133" spans="1:10" ht="15.75" customHeight="1" x14ac:dyDescent="0.2">
      <c r="A133" s="833" t="s">
        <v>567</v>
      </c>
      <c r="B133" s="833"/>
      <c r="C133" s="570">
        <f t="shared" ref="C133:J138" si="64">C115</f>
        <v>963.96052917727309</v>
      </c>
      <c r="D133" s="570">
        <f t="shared" si="64"/>
        <v>863.28420745421352</v>
      </c>
      <c r="E133" s="570">
        <f t="shared" si="64"/>
        <v>742.47173180386403</v>
      </c>
      <c r="F133" s="570">
        <f t="shared" si="64"/>
        <v>666.96316329820638</v>
      </c>
      <c r="G133" s="570">
        <f t="shared" si="64"/>
        <v>570.98905334583151</v>
      </c>
      <c r="H133" s="570">
        <f t="shared" si="64"/>
        <v>520.64581764562604</v>
      </c>
      <c r="I133" s="570">
        <f t="shared" si="64"/>
        <v>917.85929671816029</v>
      </c>
      <c r="J133" s="571">
        <f t="shared" si="64"/>
        <v>843.23597987178823</v>
      </c>
    </row>
    <row r="134" spans="1:10" ht="15.75" customHeight="1" x14ac:dyDescent="0.2">
      <c r="A134" s="832" t="s">
        <v>568</v>
      </c>
      <c r="B134" s="832"/>
      <c r="C134" s="572">
        <f t="shared" si="64"/>
        <v>992.23875726829567</v>
      </c>
      <c r="D134" s="572">
        <f t="shared" si="64"/>
        <v>888.6090490705019</v>
      </c>
      <c r="E134" s="572">
        <f t="shared" si="64"/>
        <v>764.25248355415192</v>
      </c>
      <c r="F134" s="572">
        <f t="shared" si="64"/>
        <v>686.52883625802542</v>
      </c>
      <c r="G134" s="572">
        <f t="shared" si="64"/>
        <v>587.73928138864494</v>
      </c>
      <c r="H134" s="572">
        <f t="shared" si="64"/>
        <v>535.91920357833192</v>
      </c>
      <c r="I134" s="572">
        <f t="shared" si="64"/>
        <v>944.78512382667714</v>
      </c>
      <c r="J134" s="573">
        <f t="shared" si="64"/>
        <v>867.97269745681524</v>
      </c>
    </row>
    <row r="135" spans="1:10" ht="15.75" customHeight="1" x14ac:dyDescent="0.2">
      <c r="A135" s="832" t="s">
        <v>569</v>
      </c>
      <c r="B135" s="832"/>
      <c r="C135" s="572">
        <f t="shared" si="64"/>
        <v>1020.8392443689028</v>
      </c>
      <c r="D135" s="572">
        <f t="shared" si="64"/>
        <v>914.22249287045179</v>
      </c>
      <c r="E135" s="572">
        <f t="shared" si="64"/>
        <v>786.28144899959989</v>
      </c>
      <c r="F135" s="572">
        <f t="shared" si="64"/>
        <v>706.31747984986532</v>
      </c>
      <c r="G135" s="572">
        <f t="shared" si="64"/>
        <v>604.68039522112019</v>
      </c>
      <c r="H135" s="572">
        <f t="shared" si="64"/>
        <v>551.36664519118278</v>
      </c>
      <c r="I135" s="572">
        <f t="shared" si="64"/>
        <v>972.01779796777009</v>
      </c>
      <c r="J135" s="573">
        <f t="shared" si="64"/>
        <v>892.99131495734127</v>
      </c>
    </row>
    <row r="136" spans="1:10" ht="15.75" customHeight="1" x14ac:dyDescent="0.2">
      <c r="A136" s="832" t="s">
        <v>625</v>
      </c>
      <c r="B136" s="832"/>
      <c r="C136" s="572">
        <f t="shared" si="64"/>
        <v>1049.7675307485997</v>
      </c>
      <c r="D136" s="572">
        <f t="shared" si="64"/>
        <v>940.12950049618894</v>
      </c>
      <c r="E136" s="572">
        <f t="shared" si="64"/>
        <v>808.56289542436502</v>
      </c>
      <c r="F136" s="572">
        <f t="shared" si="64"/>
        <v>726.33292737972056</v>
      </c>
      <c r="G136" s="572">
        <f t="shared" si="64"/>
        <v>621.81567654737739</v>
      </c>
      <c r="H136" s="572">
        <f t="shared" si="64"/>
        <v>566.99113484544171</v>
      </c>
      <c r="I136" s="572">
        <f t="shared" si="64"/>
        <v>999.5625944485887</v>
      </c>
      <c r="J136" s="573">
        <f t="shared" si="64"/>
        <v>918.29667879025146</v>
      </c>
    </row>
    <row r="137" spans="1:10" ht="15.75" customHeight="1" x14ac:dyDescent="0.2">
      <c r="A137" s="832" t="s">
        <v>570</v>
      </c>
      <c r="B137" s="832"/>
      <c r="C137" s="572">
        <f t="shared" si="64"/>
        <v>1079.0292844064493</v>
      </c>
      <c r="D137" s="572">
        <f t="shared" si="64"/>
        <v>966.33514797928353</v>
      </c>
      <c r="E137" s="572">
        <f t="shared" si="64"/>
        <v>831.10118849379626</v>
      </c>
      <c r="F137" s="572">
        <f t="shared" si="64"/>
        <v>746.57910052951638</v>
      </c>
      <c r="G137" s="572">
        <f t="shared" si="64"/>
        <v>639.14848273042139</v>
      </c>
      <c r="H137" s="572">
        <f t="shared" si="64"/>
        <v>582.7957338905278</v>
      </c>
      <c r="I137" s="572">
        <f t="shared" si="64"/>
        <v>1027.424910197198</v>
      </c>
      <c r="J137" s="573">
        <f t="shared" si="64"/>
        <v>943.8937471053855</v>
      </c>
    </row>
    <row r="138" spans="1:10" ht="15.75" customHeight="1" x14ac:dyDescent="0.2">
      <c r="A138" s="833" t="s">
        <v>571</v>
      </c>
      <c r="B138" s="833"/>
      <c r="C138" s="572">
        <f t="shared" si="64"/>
        <v>1138.5765265439964</v>
      </c>
      <c r="D138" s="572">
        <f t="shared" si="64"/>
        <v>1019.6632586008576</v>
      </c>
      <c r="E138" s="572">
        <f t="shared" si="64"/>
        <v>876.96628634354261</v>
      </c>
      <c r="F138" s="572">
        <f t="shared" si="64"/>
        <v>787.77976775563184</v>
      </c>
      <c r="G138" s="572">
        <f t="shared" si="64"/>
        <v>674.42049064810294</v>
      </c>
      <c r="H138" s="572">
        <f t="shared" si="64"/>
        <v>614.95786255953681</v>
      </c>
      <c r="I138" s="572">
        <f t="shared" si="64"/>
        <v>1084.1243165894111</v>
      </c>
      <c r="J138" s="573">
        <f t="shared" si="64"/>
        <v>995.98340799157654</v>
      </c>
    </row>
    <row r="139" spans="1:10" ht="15.75" customHeight="1" x14ac:dyDescent="0.2">
      <c r="A139" s="574" t="s">
        <v>572</v>
      </c>
      <c r="B139" s="575"/>
      <c r="C139" s="576">
        <f t="shared" ref="C139:J139" si="65">C132+C133</f>
        <v>4991.1072580655073</v>
      </c>
      <c r="D139" s="576">
        <f t="shared" si="65"/>
        <v>4469.8345452749063</v>
      </c>
      <c r="E139" s="576">
        <f t="shared" si="65"/>
        <v>3844.3026839258073</v>
      </c>
      <c r="F139" s="576">
        <f t="shared" si="65"/>
        <v>3453.3412774080748</v>
      </c>
      <c r="G139" s="576">
        <f t="shared" si="65"/>
        <v>2956.4152495565922</v>
      </c>
      <c r="H139" s="576">
        <f t="shared" si="65"/>
        <v>2695.7526171226145</v>
      </c>
      <c r="I139" s="576">
        <f t="shared" si="65"/>
        <v>4752.4084846532533</v>
      </c>
      <c r="J139" s="577">
        <f t="shared" si="65"/>
        <v>4337.5271567454784</v>
      </c>
    </row>
    <row r="140" spans="1:10" ht="15.75" customHeight="1" x14ac:dyDescent="0.2">
      <c r="A140" s="578" t="s">
        <v>573</v>
      </c>
      <c r="B140" s="579"/>
      <c r="C140" s="580">
        <f t="shared" ref="C140:J140" si="66">C132+C134</f>
        <v>5019.3854861565296</v>
      </c>
      <c r="D140" s="580">
        <f t="shared" si="66"/>
        <v>4495.159386891195</v>
      </c>
      <c r="E140" s="580">
        <f t="shared" si="66"/>
        <v>3866.0834356760952</v>
      </c>
      <c r="F140" s="580">
        <f t="shared" si="66"/>
        <v>3472.9069503678938</v>
      </c>
      <c r="G140" s="580">
        <f t="shared" si="66"/>
        <v>2973.1654775994057</v>
      </c>
      <c r="H140" s="580">
        <f t="shared" si="66"/>
        <v>2711.0260030553209</v>
      </c>
      <c r="I140" s="580">
        <f t="shared" si="66"/>
        <v>4779.3343117617696</v>
      </c>
      <c r="J140" s="581">
        <f t="shared" si="66"/>
        <v>4362.2638743305051</v>
      </c>
    </row>
    <row r="141" spans="1:10" ht="15.75" customHeight="1" x14ac:dyDescent="0.2">
      <c r="A141" s="578" t="s">
        <v>574</v>
      </c>
      <c r="B141" s="579"/>
      <c r="C141" s="580">
        <f t="shared" ref="C141:J141" si="67">C132+C135</f>
        <v>5047.9859732571367</v>
      </c>
      <c r="D141" s="580">
        <f t="shared" si="67"/>
        <v>4520.7728306911449</v>
      </c>
      <c r="E141" s="580">
        <f t="shared" si="67"/>
        <v>3888.1124011215434</v>
      </c>
      <c r="F141" s="580">
        <f t="shared" si="67"/>
        <v>3492.6955939597337</v>
      </c>
      <c r="G141" s="580">
        <f t="shared" si="67"/>
        <v>2990.106591431881</v>
      </c>
      <c r="H141" s="580">
        <f t="shared" si="67"/>
        <v>2726.4734446681714</v>
      </c>
      <c r="I141" s="580">
        <f t="shared" si="67"/>
        <v>4806.5669859028631</v>
      </c>
      <c r="J141" s="581">
        <f t="shared" si="67"/>
        <v>4387.2824918310316</v>
      </c>
    </row>
    <row r="142" spans="1:10" ht="15.75" customHeight="1" x14ac:dyDescent="0.2">
      <c r="A142" s="578" t="s">
        <v>626</v>
      </c>
      <c r="B142" s="579"/>
      <c r="C142" s="580">
        <f t="shared" ref="C142:J142" si="68">C132+C136</f>
        <v>5076.9142596368338</v>
      </c>
      <c r="D142" s="580">
        <f t="shared" si="68"/>
        <v>4546.6798383168816</v>
      </c>
      <c r="E142" s="580">
        <f t="shared" si="68"/>
        <v>3910.3938475463083</v>
      </c>
      <c r="F142" s="580">
        <f t="shared" si="68"/>
        <v>3512.7110414895888</v>
      </c>
      <c r="G142" s="580">
        <f t="shared" si="68"/>
        <v>3007.241872758138</v>
      </c>
      <c r="H142" s="580">
        <f t="shared" si="68"/>
        <v>2742.0979343224303</v>
      </c>
      <c r="I142" s="580">
        <f t="shared" si="68"/>
        <v>4834.1117823836812</v>
      </c>
      <c r="J142" s="581">
        <f t="shared" si="68"/>
        <v>4412.5878556639418</v>
      </c>
    </row>
    <row r="143" spans="1:10" ht="15.75" customHeight="1" x14ac:dyDescent="0.2">
      <c r="A143" s="578" t="s">
        <v>575</v>
      </c>
      <c r="B143" s="579"/>
      <c r="C143" s="580">
        <f t="shared" ref="C143:J143" si="69">C132+C137</f>
        <v>5106.1760132946838</v>
      </c>
      <c r="D143" s="580">
        <f t="shared" si="69"/>
        <v>4572.8854857999759</v>
      </c>
      <c r="E143" s="580">
        <f t="shared" si="69"/>
        <v>3932.9321406157396</v>
      </c>
      <c r="F143" s="580">
        <f t="shared" si="69"/>
        <v>3532.9572146393848</v>
      </c>
      <c r="G143" s="580">
        <f t="shared" si="69"/>
        <v>3024.5746789411824</v>
      </c>
      <c r="H143" s="580">
        <f t="shared" si="69"/>
        <v>2757.9025333675163</v>
      </c>
      <c r="I143" s="580">
        <f t="shared" si="69"/>
        <v>4861.9740981322911</v>
      </c>
      <c r="J143" s="581">
        <f t="shared" si="69"/>
        <v>4438.1849239790754</v>
      </c>
    </row>
    <row r="144" spans="1:10" ht="15.75" customHeight="1" x14ac:dyDescent="0.2">
      <c r="A144" s="578" t="s">
        <v>576</v>
      </c>
      <c r="B144" s="579"/>
      <c r="C144" s="580">
        <f t="shared" ref="C144:J144" si="70">C132+C138</f>
        <v>5165.7232554322309</v>
      </c>
      <c r="D144" s="580">
        <f t="shared" si="70"/>
        <v>4626.2135964215504</v>
      </c>
      <c r="E144" s="580">
        <f t="shared" si="70"/>
        <v>3978.7972384654859</v>
      </c>
      <c r="F144" s="580">
        <f t="shared" si="70"/>
        <v>3574.1578818655003</v>
      </c>
      <c r="G144" s="580">
        <f t="shared" si="70"/>
        <v>3059.8466868588639</v>
      </c>
      <c r="H144" s="580">
        <f t="shared" si="70"/>
        <v>2790.0646620365255</v>
      </c>
      <c r="I144" s="580">
        <f t="shared" si="70"/>
        <v>4918.6735045245041</v>
      </c>
      <c r="J144" s="581">
        <f t="shared" si="70"/>
        <v>4490.2745848652667</v>
      </c>
    </row>
    <row r="145" spans="1:17" ht="15.75" customHeight="1" x14ac:dyDescent="0.2">
      <c r="A145" s="582" t="s">
        <v>577</v>
      </c>
      <c r="B145" s="583"/>
      <c r="C145" s="584">
        <f t="shared" ref="C145:C150" si="71">C139/200</f>
        <v>24.955536290327537</v>
      </c>
      <c r="D145" s="584"/>
      <c r="E145" s="584"/>
      <c r="F145" s="584"/>
      <c r="G145" s="584"/>
      <c r="H145" s="584"/>
      <c r="I145" s="585"/>
      <c r="J145" s="586"/>
    </row>
    <row r="146" spans="1:17" ht="15.75" customHeight="1" x14ac:dyDescent="0.2">
      <c r="A146" s="587" t="s">
        <v>578</v>
      </c>
      <c r="B146" s="588"/>
      <c r="C146" s="589">
        <f t="shared" si="71"/>
        <v>25.09692743078265</v>
      </c>
      <c r="D146" s="589"/>
      <c r="E146" s="589"/>
      <c r="F146" s="589"/>
      <c r="G146" s="589"/>
      <c r="H146" s="589"/>
      <c r="I146" s="590"/>
      <c r="J146" s="591"/>
    </row>
    <row r="147" spans="1:17" ht="15.75" customHeight="1" x14ac:dyDescent="0.2">
      <c r="A147" s="587" t="s">
        <v>579</v>
      </c>
      <c r="B147" s="588"/>
      <c r="C147" s="589">
        <f t="shared" si="71"/>
        <v>25.239929866285685</v>
      </c>
      <c r="D147" s="589"/>
      <c r="E147" s="589"/>
      <c r="F147" s="589"/>
      <c r="G147" s="589"/>
      <c r="H147" s="589"/>
      <c r="I147" s="590"/>
      <c r="J147" s="591"/>
    </row>
    <row r="148" spans="1:17" ht="15.75" customHeight="1" x14ac:dyDescent="0.2">
      <c r="A148" s="587" t="s">
        <v>627</v>
      </c>
      <c r="B148" s="588"/>
      <c r="C148" s="589">
        <f t="shared" si="71"/>
        <v>25.38457129818417</v>
      </c>
      <c r="D148" s="589"/>
      <c r="E148" s="589"/>
      <c r="F148" s="589"/>
      <c r="G148" s="589"/>
      <c r="H148" s="589"/>
      <c r="I148" s="590"/>
      <c r="J148" s="591"/>
    </row>
    <row r="149" spans="1:17" ht="15.75" customHeight="1" x14ac:dyDescent="0.2">
      <c r="A149" s="587" t="s">
        <v>580</v>
      </c>
      <c r="B149" s="588"/>
      <c r="C149" s="589">
        <f t="shared" si="71"/>
        <v>25.530880066473419</v>
      </c>
      <c r="D149" s="589"/>
      <c r="E149" s="589"/>
      <c r="F149" s="589"/>
      <c r="G149" s="589"/>
      <c r="H149" s="589"/>
      <c r="I149" s="590"/>
      <c r="J149" s="591"/>
    </row>
    <row r="150" spans="1:17" ht="15.75" customHeight="1" x14ac:dyDescent="0.2">
      <c r="A150" s="592" t="s">
        <v>581</v>
      </c>
      <c r="B150" s="593"/>
      <c r="C150" s="594">
        <f t="shared" si="71"/>
        <v>25.828616277161153</v>
      </c>
      <c r="D150" s="594"/>
      <c r="E150" s="594"/>
      <c r="F150" s="594"/>
      <c r="G150" s="594"/>
      <c r="H150" s="594"/>
      <c r="I150" s="595"/>
      <c r="J150" s="596"/>
    </row>
    <row r="151" spans="1:17" x14ac:dyDescent="0.2">
      <c r="A151" s="597"/>
    </row>
    <row r="152" spans="1:17" ht="14.25" customHeight="1" x14ac:dyDescent="0.2">
      <c r="A152" s="831" t="s">
        <v>582</v>
      </c>
      <c r="B152" s="831"/>
      <c r="C152" s="831" t="s">
        <v>583</v>
      </c>
      <c r="D152" s="831"/>
      <c r="E152" s="830" t="s">
        <v>584</v>
      </c>
      <c r="F152" s="830"/>
      <c r="G152" s="831" t="s">
        <v>585</v>
      </c>
      <c r="H152" s="831"/>
      <c r="I152" s="831" t="s">
        <v>628</v>
      </c>
      <c r="J152" s="831"/>
      <c r="K152" s="831" t="s">
        <v>586</v>
      </c>
      <c r="L152" s="831"/>
      <c r="M152" s="831" t="s">
        <v>587</v>
      </c>
      <c r="N152" s="831"/>
    </row>
    <row r="153" spans="1:17" ht="25.5" x14ac:dyDescent="0.2">
      <c r="A153" s="598" t="s">
        <v>588</v>
      </c>
      <c r="B153" s="599" t="s">
        <v>589</v>
      </c>
      <c r="C153" s="599" t="s">
        <v>590</v>
      </c>
      <c r="D153" s="599" t="s">
        <v>591</v>
      </c>
      <c r="E153" s="599" t="s">
        <v>590</v>
      </c>
      <c r="F153" s="599" t="s">
        <v>591</v>
      </c>
      <c r="G153" s="599" t="s">
        <v>590</v>
      </c>
      <c r="H153" s="599" t="s">
        <v>591</v>
      </c>
      <c r="I153" s="599" t="s">
        <v>590</v>
      </c>
      <c r="J153" s="599" t="s">
        <v>591</v>
      </c>
      <c r="K153" s="599" t="s">
        <v>590</v>
      </c>
      <c r="L153" s="599" t="s">
        <v>591</v>
      </c>
      <c r="M153" s="599" t="s">
        <v>590</v>
      </c>
      <c r="N153" s="599" t="s">
        <v>591</v>
      </c>
    </row>
    <row r="154" spans="1:17" x14ac:dyDescent="0.2">
      <c r="A154" s="600" t="s">
        <v>592</v>
      </c>
      <c r="B154" s="601">
        <f>1/'Prod. GEXNHB'!D23</f>
        <v>9.0909090909090909E-4</v>
      </c>
      <c r="C154" s="602">
        <f>D139</f>
        <v>4469.8345452749063</v>
      </c>
      <c r="D154" s="602">
        <f>B154*C154</f>
        <v>4.0634859502499152</v>
      </c>
      <c r="E154" s="602">
        <f>D140</f>
        <v>4495.159386891195</v>
      </c>
      <c r="F154" s="602">
        <f>B154*E154</f>
        <v>4.08650853353745</v>
      </c>
      <c r="G154" s="602">
        <f>D141</f>
        <v>4520.7728306911449</v>
      </c>
      <c r="H154" s="602">
        <f>B154*G154</f>
        <v>4.109793482446495</v>
      </c>
      <c r="I154" s="602">
        <f>D142</f>
        <v>4546.6798383168816</v>
      </c>
      <c r="J154" s="602">
        <f>B154*I154</f>
        <v>4.1333453075608011</v>
      </c>
      <c r="K154" s="602">
        <f>D143</f>
        <v>4572.8854857999759</v>
      </c>
      <c r="L154" s="602">
        <f>B154*K154</f>
        <v>4.1571686234545231</v>
      </c>
      <c r="M154" s="602">
        <f>D144</f>
        <v>4626.2135964215504</v>
      </c>
      <c r="N154" s="602">
        <f>B154*M154</f>
        <v>4.205648724019591</v>
      </c>
    </row>
    <row r="155" spans="1:17" x14ac:dyDescent="0.2">
      <c r="A155" s="603" t="s">
        <v>593</v>
      </c>
      <c r="B155" s="601">
        <f>B154/'Prod. GEXNHB'!Q23</f>
        <v>3.4965034965034965E-5</v>
      </c>
      <c r="C155" s="602">
        <f>J139</f>
        <v>4337.5271567454784</v>
      </c>
      <c r="D155" s="602">
        <f>C155*B155</f>
        <v>0.15166178869739436</v>
      </c>
      <c r="E155" s="602">
        <f>J139</f>
        <v>4337.5271567454784</v>
      </c>
      <c r="F155" s="602">
        <f>B155*E155</f>
        <v>0.15166178869739436</v>
      </c>
      <c r="G155" s="602">
        <f>J139</f>
        <v>4337.5271567454784</v>
      </c>
      <c r="H155" s="602">
        <f>B155*G155</f>
        <v>0.15166178869739436</v>
      </c>
      <c r="I155" s="602">
        <f>J139</f>
        <v>4337.5271567454784</v>
      </c>
      <c r="J155" s="602">
        <f>B155*I155</f>
        <v>0.15166178869739436</v>
      </c>
      <c r="K155" s="602">
        <f>J139</f>
        <v>4337.5271567454784</v>
      </c>
      <c r="L155" s="602">
        <f>B155*K155</f>
        <v>0.15166178869739436</v>
      </c>
      <c r="M155" s="602">
        <f>J139</f>
        <v>4337.5271567454784</v>
      </c>
      <c r="N155" s="602">
        <f>B155*M155</f>
        <v>0.15166178869739436</v>
      </c>
      <c r="O155" s="827"/>
      <c r="P155" s="827"/>
      <c r="Q155" s="604"/>
    </row>
    <row r="156" spans="1:17" x14ac:dyDescent="0.2">
      <c r="A156" s="605" t="s">
        <v>594</v>
      </c>
      <c r="B156" s="606"/>
      <c r="C156" s="607"/>
      <c r="D156" s="607">
        <f>SUM(D154:D155)</f>
        <v>4.2151477389473095</v>
      </c>
      <c r="E156" s="607"/>
      <c r="F156" s="607">
        <f>SUM(F154:F155)</f>
        <v>4.2381703222348444</v>
      </c>
      <c r="G156" s="607"/>
      <c r="H156" s="607">
        <f>SUM(H154:H155)</f>
        <v>4.2614552711438893</v>
      </c>
      <c r="I156" s="607"/>
      <c r="J156" s="607">
        <f>SUM(J154:J155)</f>
        <v>4.2850070962581954</v>
      </c>
      <c r="K156" s="607"/>
      <c r="L156" s="607">
        <f>SUM(L154:L155)</f>
        <v>4.3088304121519174</v>
      </c>
      <c r="M156" s="607"/>
      <c r="N156" s="607">
        <f>SUM(N154:N155)</f>
        <v>4.3573105127169853</v>
      </c>
      <c r="O156" s="608"/>
      <c r="P156" s="609"/>
    </row>
    <row r="157" spans="1:17" x14ac:dyDescent="0.2">
      <c r="A157" s="597"/>
    </row>
    <row r="158" spans="1:17" ht="14.25" customHeight="1" x14ac:dyDescent="0.2">
      <c r="A158" s="831" t="s">
        <v>595</v>
      </c>
      <c r="B158" s="831"/>
      <c r="C158" s="831" t="s">
        <v>583</v>
      </c>
      <c r="D158" s="831"/>
      <c r="E158" s="830" t="s">
        <v>584</v>
      </c>
      <c r="F158" s="830"/>
      <c r="G158" s="831" t="s">
        <v>585</v>
      </c>
      <c r="H158" s="831"/>
      <c r="I158" s="831" t="s">
        <v>628</v>
      </c>
      <c r="J158" s="831"/>
      <c r="K158" s="831" t="s">
        <v>586</v>
      </c>
      <c r="L158" s="831"/>
      <c r="M158" s="831" t="s">
        <v>587</v>
      </c>
      <c r="N158" s="831"/>
    </row>
    <row r="159" spans="1:17" ht="25.5" x14ac:dyDescent="0.2">
      <c r="A159" s="598" t="s">
        <v>588</v>
      </c>
      <c r="B159" s="599" t="s">
        <v>589</v>
      </c>
      <c r="C159" s="599" t="s">
        <v>590</v>
      </c>
      <c r="D159" s="599" t="s">
        <v>591</v>
      </c>
      <c r="E159" s="599" t="s">
        <v>590</v>
      </c>
      <c r="F159" s="599" t="s">
        <v>591</v>
      </c>
      <c r="G159" s="599" t="s">
        <v>590</v>
      </c>
      <c r="H159" s="599" t="s">
        <v>591</v>
      </c>
      <c r="I159" s="599" t="s">
        <v>590</v>
      </c>
      <c r="J159" s="599" t="s">
        <v>591</v>
      </c>
      <c r="K159" s="599" t="s">
        <v>590</v>
      </c>
      <c r="L159" s="599" t="s">
        <v>591</v>
      </c>
      <c r="M159" s="599" t="s">
        <v>590</v>
      </c>
      <c r="N159" s="599" t="s">
        <v>591</v>
      </c>
    </row>
    <row r="160" spans="1:17" x14ac:dyDescent="0.2">
      <c r="A160" s="600" t="s">
        <v>592</v>
      </c>
      <c r="B160" s="601">
        <f>1/'Prod. GEXNHB'!E23</f>
        <v>9.0909090909090909E-4</v>
      </c>
      <c r="C160" s="610">
        <f>C139</f>
        <v>4991.1072580655073</v>
      </c>
      <c r="D160" s="602">
        <f>B160*C160</f>
        <v>4.5373702346050067</v>
      </c>
      <c r="E160" s="610">
        <f>C140</f>
        <v>5019.3854861565296</v>
      </c>
      <c r="F160" s="602">
        <f>B160*E160</f>
        <v>4.5630777146877541</v>
      </c>
      <c r="G160" s="610">
        <f>C141</f>
        <v>5047.9859732571367</v>
      </c>
      <c r="H160" s="602">
        <f>B160*G160</f>
        <v>4.5890781575064876</v>
      </c>
      <c r="I160" s="610">
        <f>C142</f>
        <v>5076.9142596368338</v>
      </c>
      <c r="J160" s="602">
        <f>B160*I160</f>
        <v>4.6153765996698493</v>
      </c>
      <c r="K160" s="610">
        <f>C143</f>
        <v>5106.1760132946838</v>
      </c>
      <c r="L160" s="602">
        <f>B160*K160</f>
        <v>4.6419781939042579</v>
      </c>
      <c r="M160" s="610">
        <f>C144</f>
        <v>5165.7232554322309</v>
      </c>
      <c r="N160" s="602">
        <f>B160*M160</f>
        <v>4.6961120503929372</v>
      </c>
    </row>
    <row r="161" spans="1:17" x14ac:dyDescent="0.2">
      <c r="A161" s="603" t="s">
        <v>593</v>
      </c>
      <c r="B161" s="601">
        <f>B160/'Prod. GEXNHB'!Q23</f>
        <v>3.4965034965034965E-5</v>
      </c>
      <c r="C161" s="602">
        <f>J139</f>
        <v>4337.5271567454784</v>
      </c>
      <c r="D161" s="602">
        <f>C161*B161</f>
        <v>0.15166178869739436</v>
      </c>
      <c r="E161" s="602">
        <f>J139</f>
        <v>4337.5271567454784</v>
      </c>
      <c r="F161" s="602">
        <f>B161*E161</f>
        <v>0.15166178869739436</v>
      </c>
      <c r="G161" s="602">
        <f>J139</f>
        <v>4337.5271567454784</v>
      </c>
      <c r="H161" s="602">
        <f>B161*G161</f>
        <v>0.15166178869739436</v>
      </c>
      <c r="I161" s="602">
        <f>J139</f>
        <v>4337.5271567454784</v>
      </c>
      <c r="J161" s="602">
        <f>B161*I161</f>
        <v>0.15166178869739436</v>
      </c>
      <c r="K161" s="602">
        <f>J139</f>
        <v>4337.5271567454784</v>
      </c>
      <c r="L161" s="602">
        <f>B161*K161</f>
        <v>0.15166178869739436</v>
      </c>
      <c r="M161" s="602">
        <f>J139</f>
        <v>4337.5271567454784</v>
      </c>
      <c r="N161" s="602">
        <f>B161*M161</f>
        <v>0.15166178869739436</v>
      </c>
      <c r="O161" s="827"/>
      <c r="P161" s="827"/>
      <c r="Q161" s="604"/>
    </row>
    <row r="162" spans="1:17" x14ac:dyDescent="0.2">
      <c r="A162" s="605" t="s">
        <v>594</v>
      </c>
      <c r="B162" s="606"/>
      <c r="C162" s="607"/>
      <c r="D162" s="607">
        <f>SUM(D160:D161)</f>
        <v>4.689032023302401</v>
      </c>
      <c r="E162" s="607"/>
      <c r="F162" s="607">
        <f>SUM(F160:F161)</f>
        <v>4.7147395033851485</v>
      </c>
      <c r="G162" s="607"/>
      <c r="H162" s="607">
        <f>SUM(H160:H161)</f>
        <v>4.7407399462038819</v>
      </c>
      <c r="I162" s="607"/>
      <c r="J162" s="607">
        <f>SUM(J160:J161)</f>
        <v>4.7670383883672436</v>
      </c>
      <c r="K162" s="607"/>
      <c r="L162" s="607">
        <f>SUM(L160:L161)</f>
        <v>4.7936399826016522</v>
      </c>
      <c r="M162" s="607"/>
      <c r="N162" s="607">
        <f>SUM(N160:N161)</f>
        <v>4.8477738390903315</v>
      </c>
      <c r="O162" s="608"/>
      <c r="P162" s="609"/>
    </row>
    <row r="163" spans="1:17" x14ac:dyDescent="0.2">
      <c r="A163" s="611"/>
      <c r="B163" s="612"/>
      <c r="C163" s="612"/>
      <c r="D163" s="612"/>
      <c r="E163" s="613"/>
      <c r="F163" s="613"/>
      <c r="G163" s="613"/>
      <c r="H163" s="613"/>
      <c r="I163" s="613"/>
      <c r="J163" s="613"/>
    </row>
    <row r="164" spans="1:17" ht="14.25" customHeight="1" x14ac:dyDescent="0.2">
      <c r="A164" s="830" t="s">
        <v>596</v>
      </c>
      <c r="B164" s="830"/>
      <c r="C164" s="830" t="s">
        <v>583</v>
      </c>
      <c r="D164" s="830"/>
      <c r="E164" s="830" t="s">
        <v>584</v>
      </c>
      <c r="F164" s="830"/>
      <c r="G164" s="830" t="s">
        <v>585</v>
      </c>
      <c r="H164" s="830"/>
      <c r="I164" s="831" t="s">
        <v>628</v>
      </c>
      <c r="J164" s="831"/>
      <c r="K164" s="830" t="s">
        <v>586</v>
      </c>
      <c r="L164" s="830"/>
      <c r="M164" s="830" t="s">
        <v>587</v>
      </c>
      <c r="N164" s="830"/>
    </row>
    <row r="165" spans="1:17" ht="25.5" x14ac:dyDescent="0.2">
      <c r="A165" s="598" t="s">
        <v>588</v>
      </c>
      <c r="B165" s="599" t="s">
        <v>597</v>
      </c>
      <c r="C165" s="599" t="s">
        <v>590</v>
      </c>
      <c r="D165" s="599" t="s">
        <v>591</v>
      </c>
      <c r="E165" s="599" t="s">
        <v>590</v>
      </c>
      <c r="F165" s="599" t="s">
        <v>591</v>
      </c>
      <c r="G165" s="599" t="s">
        <v>590</v>
      </c>
      <c r="H165" s="599" t="s">
        <v>591</v>
      </c>
      <c r="I165" s="599" t="s">
        <v>590</v>
      </c>
      <c r="J165" s="599" t="s">
        <v>591</v>
      </c>
      <c r="K165" s="599" t="s">
        <v>590</v>
      </c>
      <c r="L165" s="599" t="s">
        <v>591</v>
      </c>
      <c r="M165" s="599" t="s">
        <v>590</v>
      </c>
      <c r="N165" s="599" t="s">
        <v>591</v>
      </c>
    </row>
    <row r="166" spans="1:17" x14ac:dyDescent="0.2">
      <c r="A166" s="600" t="s">
        <v>592</v>
      </c>
      <c r="B166" s="614">
        <f>1/'Prod. GEXNHB'!F23</f>
        <v>5.5555555555555556E-4</v>
      </c>
      <c r="C166" s="615">
        <f>D139</f>
        <v>4469.8345452749063</v>
      </c>
      <c r="D166" s="602">
        <f>B166*C166</f>
        <v>2.4832414140416148</v>
      </c>
      <c r="E166" s="602">
        <f>D140</f>
        <v>4495.159386891195</v>
      </c>
      <c r="F166" s="602">
        <f>B166*E166</f>
        <v>2.4973107704951083</v>
      </c>
      <c r="G166" s="602">
        <f>D141</f>
        <v>4520.7728306911449</v>
      </c>
      <c r="H166" s="602">
        <f>B166*G166</f>
        <v>2.5115404614950805</v>
      </c>
      <c r="I166" s="602">
        <f>D142</f>
        <v>4546.6798383168816</v>
      </c>
      <c r="J166" s="602">
        <f>B166*I166</f>
        <v>2.5259332435093786</v>
      </c>
      <c r="K166" s="602">
        <f>D143</f>
        <v>4572.8854857999759</v>
      </c>
      <c r="L166" s="602">
        <f>B166*K166</f>
        <v>2.5404919365555423</v>
      </c>
      <c r="M166" s="602">
        <f>D144</f>
        <v>4626.2135964215504</v>
      </c>
      <c r="N166" s="602">
        <f>B166*M166</f>
        <v>2.5701186646786391</v>
      </c>
    </row>
    <row r="167" spans="1:17" x14ac:dyDescent="0.2">
      <c r="A167" s="603" t="s">
        <v>593</v>
      </c>
      <c r="B167" s="601">
        <f>B166/'Prod. GEXNHB'!Q23</f>
        <v>2.1367521367521368E-5</v>
      </c>
      <c r="C167" s="602">
        <f>J139</f>
        <v>4337.5271567454784</v>
      </c>
      <c r="D167" s="602">
        <f>B167*C167</f>
        <v>9.2682204203963212E-2</v>
      </c>
      <c r="E167" s="602">
        <f>J139</f>
        <v>4337.5271567454784</v>
      </c>
      <c r="F167" s="602">
        <f>B167*E167</f>
        <v>9.2682204203963212E-2</v>
      </c>
      <c r="G167" s="602">
        <f>J139</f>
        <v>4337.5271567454784</v>
      </c>
      <c r="H167" s="602">
        <f>B167*G167</f>
        <v>9.2682204203963212E-2</v>
      </c>
      <c r="I167" s="602">
        <f>J139</f>
        <v>4337.5271567454784</v>
      </c>
      <c r="J167" s="602">
        <f>B167*I167</f>
        <v>9.2682204203963212E-2</v>
      </c>
      <c r="K167" s="602">
        <f>J139</f>
        <v>4337.5271567454784</v>
      </c>
      <c r="L167" s="602">
        <f>B167*K167</f>
        <v>9.2682204203963212E-2</v>
      </c>
      <c r="M167" s="602">
        <f>J139</f>
        <v>4337.5271567454784</v>
      </c>
      <c r="N167" s="602">
        <f>B167*M167</f>
        <v>9.2682204203963212E-2</v>
      </c>
    </row>
    <row r="168" spans="1:17" x14ac:dyDescent="0.2">
      <c r="A168" s="605" t="s">
        <v>598</v>
      </c>
      <c r="B168" s="606"/>
      <c r="C168" s="607"/>
      <c r="D168" s="607">
        <f>SUM(D166:D167)</f>
        <v>2.5759236182455778</v>
      </c>
      <c r="E168" s="607"/>
      <c r="F168" s="607">
        <f>SUM(F166:F167)</f>
        <v>2.5899929746990713</v>
      </c>
      <c r="G168" s="607"/>
      <c r="H168" s="607">
        <f>SUM(H166:H167)</f>
        <v>2.6042226656990435</v>
      </c>
      <c r="I168" s="607"/>
      <c r="J168" s="607">
        <f>SUM(J166:J167)</f>
        <v>2.6186154477133416</v>
      </c>
      <c r="K168" s="607"/>
      <c r="L168" s="607">
        <f>SUM(L166:L167)</f>
        <v>2.6331741407595053</v>
      </c>
      <c r="M168" s="607"/>
      <c r="N168" s="607">
        <f>SUM(N166:N167)</f>
        <v>2.6628008688826021</v>
      </c>
    </row>
    <row r="169" spans="1:17" x14ac:dyDescent="0.2">
      <c r="A169" s="611"/>
      <c r="B169" s="616"/>
      <c r="C169" s="616"/>
      <c r="D169" s="616"/>
      <c r="E169" s="616"/>
      <c r="F169" s="616"/>
      <c r="G169" s="616"/>
      <c r="H169" s="616"/>
      <c r="I169" s="616"/>
      <c r="J169" s="616"/>
    </row>
    <row r="170" spans="1:17" ht="14.25" customHeight="1" x14ac:dyDescent="0.2">
      <c r="A170" s="830" t="s">
        <v>599</v>
      </c>
      <c r="B170" s="830"/>
      <c r="C170" s="830" t="s">
        <v>583</v>
      </c>
      <c r="D170" s="830"/>
      <c r="E170" s="830" t="s">
        <v>584</v>
      </c>
      <c r="F170" s="830"/>
      <c r="G170" s="830" t="s">
        <v>585</v>
      </c>
      <c r="H170" s="830"/>
      <c r="I170" s="831" t="s">
        <v>628</v>
      </c>
      <c r="J170" s="831"/>
      <c r="K170" s="830" t="s">
        <v>586</v>
      </c>
      <c r="L170" s="830"/>
      <c r="M170" s="830" t="s">
        <v>587</v>
      </c>
      <c r="N170" s="830"/>
    </row>
    <row r="171" spans="1:17" ht="25.5" x14ac:dyDescent="0.2">
      <c r="A171" s="598" t="s">
        <v>588</v>
      </c>
      <c r="B171" s="599" t="s">
        <v>597</v>
      </c>
      <c r="C171" s="599" t="s">
        <v>590</v>
      </c>
      <c r="D171" s="599" t="s">
        <v>591</v>
      </c>
      <c r="E171" s="599" t="s">
        <v>590</v>
      </c>
      <c r="F171" s="599" t="s">
        <v>591</v>
      </c>
      <c r="G171" s="599" t="s">
        <v>590</v>
      </c>
      <c r="H171" s="599" t="s">
        <v>591</v>
      </c>
      <c r="I171" s="599" t="s">
        <v>590</v>
      </c>
      <c r="J171" s="599" t="s">
        <v>591</v>
      </c>
      <c r="K171" s="599" t="s">
        <v>590</v>
      </c>
      <c r="L171" s="599" t="s">
        <v>591</v>
      </c>
      <c r="M171" s="599" t="s">
        <v>590</v>
      </c>
      <c r="N171" s="599" t="s">
        <v>591</v>
      </c>
    </row>
    <row r="172" spans="1:17" x14ac:dyDescent="0.2">
      <c r="A172" s="600" t="s">
        <v>592</v>
      </c>
      <c r="B172" s="614">
        <f>1/'Prod. GEXNHB'!G23</f>
        <v>1E-3</v>
      </c>
      <c r="C172" s="615">
        <f>D139</f>
        <v>4469.8345452749063</v>
      </c>
      <c r="D172" s="602">
        <f>B172*C172</f>
        <v>4.4698345452749066</v>
      </c>
      <c r="E172" s="602">
        <f>D140</f>
        <v>4495.159386891195</v>
      </c>
      <c r="F172" s="602">
        <f>B172*E172</f>
        <v>4.4951593868911948</v>
      </c>
      <c r="G172" s="602">
        <f>D141</f>
        <v>4520.7728306911449</v>
      </c>
      <c r="H172" s="602">
        <f>B172*G172</f>
        <v>4.5207728306911452</v>
      </c>
      <c r="I172" s="602">
        <f>D142</f>
        <v>4546.6798383168816</v>
      </c>
      <c r="J172" s="602">
        <f>B172*I172</f>
        <v>4.5466798383168818</v>
      </c>
      <c r="K172" s="602">
        <f>D143</f>
        <v>4572.8854857999759</v>
      </c>
      <c r="L172" s="602">
        <f>B172*K172</f>
        <v>4.5728854857999757</v>
      </c>
      <c r="M172" s="602">
        <f>D144</f>
        <v>4626.2135964215504</v>
      </c>
      <c r="N172" s="602">
        <f>B172*M172</f>
        <v>4.6262135964215503</v>
      </c>
    </row>
    <row r="173" spans="1:17" x14ac:dyDescent="0.2">
      <c r="A173" s="603" t="s">
        <v>593</v>
      </c>
      <c r="B173" s="601">
        <f>B172/'Prod. GEXNHB'!Q23</f>
        <v>3.8461538461538463E-5</v>
      </c>
      <c r="C173" s="602">
        <f>J139</f>
        <v>4337.5271567454784</v>
      </c>
      <c r="D173" s="602">
        <f>B173*C173</f>
        <v>0.16682796756713378</v>
      </c>
      <c r="E173" s="602">
        <f>J139</f>
        <v>4337.5271567454784</v>
      </c>
      <c r="F173" s="602">
        <f>B173*E173</f>
        <v>0.16682796756713378</v>
      </c>
      <c r="G173" s="602">
        <f>J139</f>
        <v>4337.5271567454784</v>
      </c>
      <c r="H173" s="602">
        <f>B173*G173</f>
        <v>0.16682796756713378</v>
      </c>
      <c r="I173" s="602">
        <f>J139</f>
        <v>4337.5271567454784</v>
      </c>
      <c r="J173" s="602">
        <f>B173*I173</f>
        <v>0.16682796756713378</v>
      </c>
      <c r="K173" s="602">
        <f>J139</f>
        <v>4337.5271567454784</v>
      </c>
      <c r="L173" s="602">
        <f>B173*K173</f>
        <v>0.16682796756713378</v>
      </c>
      <c r="M173" s="602">
        <f>J139</f>
        <v>4337.5271567454784</v>
      </c>
      <c r="N173" s="602">
        <f>B173*M173</f>
        <v>0.16682796756713378</v>
      </c>
    </row>
    <row r="174" spans="1:17" x14ac:dyDescent="0.2">
      <c r="A174" s="605" t="s">
        <v>598</v>
      </c>
      <c r="B174" s="606"/>
      <c r="C174" s="607"/>
      <c r="D174" s="607">
        <f>SUM(D172:D173)</f>
        <v>4.6366625128420402</v>
      </c>
      <c r="E174" s="607"/>
      <c r="F174" s="607">
        <f>SUM(F172:F173)</f>
        <v>4.6619873544583283</v>
      </c>
      <c r="G174" s="607"/>
      <c r="H174" s="607">
        <f>SUM(H172:H173)</f>
        <v>4.6876007982582788</v>
      </c>
      <c r="I174" s="607"/>
      <c r="J174" s="607">
        <f>SUM(J172:J173)</f>
        <v>4.7135078058840154</v>
      </c>
      <c r="K174" s="607"/>
      <c r="L174" s="607">
        <f>SUM(L172:L173)</f>
        <v>4.7397134533671093</v>
      </c>
      <c r="M174" s="607"/>
      <c r="N174" s="607">
        <f>SUM(N172:N173)</f>
        <v>4.7930415639886839</v>
      </c>
    </row>
    <row r="175" spans="1:17" x14ac:dyDescent="0.2">
      <c r="A175" s="611"/>
      <c r="B175" s="616"/>
      <c r="C175" s="616"/>
      <c r="D175" s="616"/>
      <c r="E175" s="616"/>
      <c r="F175" s="616"/>
      <c r="G175" s="616"/>
      <c r="H175" s="616"/>
      <c r="I175" s="616"/>
      <c r="J175" s="616"/>
    </row>
    <row r="176" spans="1:17" ht="14.25" customHeight="1" x14ac:dyDescent="0.2">
      <c r="A176" s="830" t="s">
        <v>600</v>
      </c>
      <c r="B176" s="830"/>
      <c r="C176" s="830" t="s">
        <v>583</v>
      </c>
      <c r="D176" s="830"/>
      <c r="E176" s="830" t="s">
        <v>584</v>
      </c>
      <c r="F176" s="830"/>
      <c r="G176" s="830" t="s">
        <v>585</v>
      </c>
      <c r="H176" s="830"/>
      <c r="I176" s="831" t="s">
        <v>628</v>
      </c>
      <c r="J176" s="831"/>
      <c r="K176" s="830" t="s">
        <v>586</v>
      </c>
      <c r="L176" s="830"/>
      <c r="M176" s="830" t="s">
        <v>587</v>
      </c>
      <c r="N176" s="830"/>
    </row>
    <row r="177" spans="1:16" ht="25.5" x14ac:dyDescent="0.2">
      <c r="A177" s="598" t="s">
        <v>588</v>
      </c>
      <c r="B177" s="599" t="s">
        <v>597</v>
      </c>
      <c r="C177" s="599" t="s">
        <v>590</v>
      </c>
      <c r="D177" s="599" t="s">
        <v>591</v>
      </c>
      <c r="E177" s="599" t="s">
        <v>590</v>
      </c>
      <c r="F177" s="599" t="s">
        <v>591</v>
      </c>
      <c r="G177" s="599" t="s">
        <v>590</v>
      </c>
      <c r="H177" s="599" t="s">
        <v>591</v>
      </c>
      <c r="I177" s="599" t="s">
        <v>590</v>
      </c>
      <c r="J177" s="599" t="s">
        <v>591</v>
      </c>
      <c r="K177" s="599" t="s">
        <v>590</v>
      </c>
      <c r="L177" s="599" t="s">
        <v>591</v>
      </c>
      <c r="M177" s="599" t="s">
        <v>590</v>
      </c>
      <c r="N177" s="599" t="s">
        <v>591</v>
      </c>
    </row>
    <row r="178" spans="1:16" x14ac:dyDescent="0.2">
      <c r="A178" s="600" t="s">
        <v>592</v>
      </c>
      <c r="B178" s="614">
        <f>1/'Prod. GEXNHB'!H23</f>
        <v>4.0000000000000001E-3</v>
      </c>
      <c r="C178" s="610">
        <f>C139</f>
        <v>4991.1072580655073</v>
      </c>
      <c r="D178" s="602">
        <f>B178*C178</f>
        <v>19.964429032262029</v>
      </c>
      <c r="E178" s="610">
        <f>C140</f>
        <v>5019.3854861565296</v>
      </c>
      <c r="F178" s="602">
        <f>B178*E178</f>
        <v>20.07754194462612</v>
      </c>
      <c r="G178" s="610">
        <f>C141</f>
        <v>5047.9859732571367</v>
      </c>
      <c r="H178" s="602">
        <f>B178*G178</f>
        <v>20.191943893028547</v>
      </c>
      <c r="I178" s="610">
        <f>C142</f>
        <v>5076.9142596368338</v>
      </c>
      <c r="J178" s="602">
        <f>B178*I178</f>
        <v>20.307657038547337</v>
      </c>
      <c r="K178" s="610">
        <f>C143</f>
        <v>5106.1760132946838</v>
      </c>
      <c r="L178" s="602">
        <f>B178*K178</f>
        <v>20.424704053178736</v>
      </c>
      <c r="M178" s="610">
        <f>C144</f>
        <v>5165.7232554322309</v>
      </c>
      <c r="N178" s="602">
        <f>B178*M178</f>
        <v>20.662893021728923</v>
      </c>
    </row>
    <row r="179" spans="1:16" x14ac:dyDescent="0.2">
      <c r="A179" s="603" t="s">
        <v>593</v>
      </c>
      <c r="B179" s="601">
        <f>B178/'Prod. GEXNHB'!Q23</f>
        <v>1.5384615384615385E-4</v>
      </c>
      <c r="C179" s="602">
        <f>J139</f>
        <v>4337.5271567454784</v>
      </c>
      <c r="D179" s="602">
        <f>C179*B179</f>
        <v>0.66731187026853511</v>
      </c>
      <c r="E179" s="602">
        <f>J139</f>
        <v>4337.5271567454784</v>
      </c>
      <c r="F179" s="602">
        <f>B179*E179</f>
        <v>0.66731187026853511</v>
      </c>
      <c r="G179" s="602">
        <f>J139</f>
        <v>4337.5271567454784</v>
      </c>
      <c r="H179" s="602">
        <f>B179*G179</f>
        <v>0.66731187026853511</v>
      </c>
      <c r="I179" s="602">
        <f>J139</f>
        <v>4337.5271567454784</v>
      </c>
      <c r="J179" s="602">
        <f>B179*I179</f>
        <v>0.66731187026853511</v>
      </c>
      <c r="K179" s="602">
        <f>J139</f>
        <v>4337.5271567454784</v>
      </c>
      <c r="L179" s="602">
        <f>B179*K179</f>
        <v>0.66731187026853511</v>
      </c>
      <c r="M179" s="602">
        <f>J139</f>
        <v>4337.5271567454784</v>
      </c>
      <c r="N179" s="602">
        <f>B179*M179</f>
        <v>0.66731187026853511</v>
      </c>
    </row>
    <row r="180" spans="1:16" x14ac:dyDescent="0.2">
      <c r="A180" s="605" t="s">
        <v>598</v>
      </c>
      <c r="B180" s="606"/>
      <c r="C180" s="607"/>
      <c r="D180" s="607">
        <f>SUM(D178:D179)</f>
        <v>20.631740902530563</v>
      </c>
      <c r="E180" s="607"/>
      <c r="F180" s="607">
        <f>SUM(F178:F179)</f>
        <v>20.744853814894654</v>
      </c>
      <c r="G180" s="607"/>
      <c r="H180" s="607">
        <f>SUM(H178:H179)</f>
        <v>20.859255763297082</v>
      </c>
      <c r="I180" s="607"/>
      <c r="J180" s="607">
        <f>SUM(J178:J179)</f>
        <v>20.974968908815871</v>
      </c>
      <c r="K180" s="607"/>
      <c r="L180" s="607">
        <f>SUM(L178:L179)</f>
        <v>21.092015923447271</v>
      </c>
      <c r="M180" s="607"/>
      <c r="N180" s="607">
        <f>SUM(N178:N179)</f>
        <v>21.330204891997457</v>
      </c>
    </row>
    <row r="181" spans="1:16" x14ac:dyDescent="0.2">
      <c r="A181" s="611"/>
      <c r="B181" s="617"/>
      <c r="C181" s="617"/>
      <c r="D181" s="617"/>
      <c r="E181" s="617"/>
      <c r="F181" s="617"/>
      <c r="G181" s="617"/>
      <c r="H181" s="617"/>
      <c r="I181" s="617"/>
      <c r="J181" s="617"/>
    </row>
    <row r="182" spans="1:16" ht="14.25" customHeight="1" x14ac:dyDescent="0.2">
      <c r="A182" s="828" t="s">
        <v>601</v>
      </c>
      <c r="B182" s="828"/>
      <c r="C182" s="828" t="s">
        <v>583</v>
      </c>
      <c r="D182" s="828"/>
      <c r="E182" s="828" t="s">
        <v>584</v>
      </c>
      <c r="F182" s="828"/>
      <c r="G182" s="828" t="s">
        <v>585</v>
      </c>
      <c r="H182" s="828"/>
      <c r="I182" s="828" t="s">
        <v>628</v>
      </c>
      <c r="J182" s="828"/>
      <c r="K182" s="828" t="s">
        <v>586</v>
      </c>
      <c r="L182" s="828"/>
      <c r="M182" s="828" t="s">
        <v>587</v>
      </c>
      <c r="N182" s="828"/>
    </row>
    <row r="183" spans="1:16" ht="25.5" x14ac:dyDescent="0.2">
      <c r="A183" s="598" t="s">
        <v>588</v>
      </c>
      <c r="B183" s="599" t="s">
        <v>597</v>
      </c>
      <c r="C183" s="599" t="s">
        <v>590</v>
      </c>
      <c r="D183" s="599" t="s">
        <v>591</v>
      </c>
      <c r="E183" s="599" t="s">
        <v>590</v>
      </c>
      <c r="F183" s="599" t="s">
        <v>591</v>
      </c>
      <c r="G183" s="599" t="s">
        <v>590</v>
      </c>
      <c r="H183" s="599" t="s">
        <v>591</v>
      </c>
      <c r="I183" s="599" t="s">
        <v>590</v>
      </c>
      <c r="J183" s="599" t="s">
        <v>591</v>
      </c>
      <c r="K183" s="599" t="s">
        <v>590</v>
      </c>
      <c r="L183" s="599" t="s">
        <v>591</v>
      </c>
      <c r="M183" s="599" t="s">
        <v>590</v>
      </c>
      <c r="N183" s="599" t="s">
        <v>591</v>
      </c>
    </row>
    <row r="184" spans="1:16" x14ac:dyDescent="0.2">
      <c r="A184" s="600" t="s">
        <v>602</v>
      </c>
      <c r="B184" s="614">
        <f>1/'Prod. GEXNHB'!I23</f>
        <v>3.7037037037037035E-4</v>
      </c>
      <c r="C184" s="602">
        <f>D139</f>
        <v>4469.8345452749063</v>
      </c>
      <c r="D184" s="602">
        <f>B184*C184</f>
        <v>1.6554942760277429</v>
      </c>
      <c r="E184" s="602">
        <f>D140</f>
        <v>4495.159386891195</v>
      </c>
      <c r="F184" s="602">
        <f>B184*E184</f>
        <v>1.6648738469967388</v>
      </c>
      <c r="G184" s="602">
        <f>D141</f>
        <v>4520.7728306911449</v>
      </c>
      <c r="H184" s="602">
        <f>B184*G184</f>
        <v>1.6743603076633868</v>
      </c>
      <c r="I184" s="602">
        <f>D142</f>
        <v>4546.6798383168816</v>
      </c>
      <c r="J184" s="602">
        <f>B184*I184</f>
        <v>1.683955495672919</v>
      </c>
      <c r="K184" s="602">
        <f>D143</f>
        <v>4572.8854857999759</v>
      </c>
      <c r="L184" s="602">
        <f>B184*K184</f>
        <v>1.6936612910370281</v>
      </c>
      <c r="M184" s="602">
        <f>D144</f>
        <v>4626.2135964215504</v>
      </c>
      <c r="N184" s="602">
        <f>B184*M184</f>
        <v>1.7134124431190927</v>
      </c>
    </row>
    <row r="185" spans="1:16" x14ac:dyDescent="0.2">
      <c r="A185" s="603" t="s">
        <v>593</v>
      </c>
      <c r="B185" s="601">
        <f>B184/'Prod. GEXNHB'!Q23</f>
        <v>1.4245014245014244E-5</v>
      </c>
      <c r="C185" s="602">
        <f>J139</f>
        <v>4337.5271567454784</v>
      </c>
      <c r="D185" s="602">
        <f>B185*C185</f>
        <v>6.1788136135975474E-2</v>
      </c>
      <c r="E185" s="602">
        <f>J139</f>
        <v>4337.5271567454784</v>
      </c>
      <c r="F185" s="602">
        <f>B185*E185</f>
        <v>6.1788136135975474E-2</v>
      </c>
      <c r="G185" s="602">
        <f>J139</f>
        <v>4337.5271567454784</v>
      </c>
      <c r="H185" s="602">
        <f>B185*G185</f>
        <v>6.1788136135975474E-2</v>
      </c>
      <c r="I185" s="602">
        <f>J139</f>
        <v>4337.5271567454784</v>
      </c>
      <c r="J185" s="602">
        <f>B185*I185</f>
        <v>6.1788136135975474E-2</v>
      </c>
      <c r="K185" s="602">
        <f>J139</f>
        <v>4337.5271567454784</v>
      </c>
      <c r="L185" s="602">
        <f>B185*K185</f>
        <v>6.1788136135975474E-2</v>
      </c>
      <c r="M185" s="602">
        <f>J139</f>
        <v>4337.5271567454784</v>
      </c>
      <c r="N185" s="602">
        <f>B185*M185</f>
        <v>6.1788136135975474E-2</v>
      </c>
      <c r="O185" s="827"/>
      <c r="P185" s="827"/>
    </row>
    <row r="186" spans="1:16" x14ac:dyDescent="0.2">
      <c r="A186" s="618" t="s">
        <v>603</v>
      </c>
      <c r="B186" s="619"/>
      <c r="C186" s="620"/>
      <c r="D186" s="621">
        <f>SUM(D184:D185)</f>
        <v>1.7172824121637185</v>
      </c>
      <c r="E186" s="620"/>
      <c r="F186" s="621">
        <f>SUM(F184:F185)</f>
        <v>1.7266619831327144</v>
      </c>
      <c r="G186" s="620"/>
      <c r="H186" s="621">
        <f>SUM(H184:H185)</f>
        <v>1.7361484437993624</v>
      </c>
      <c r="I186" s="620"/>
      <c r="J186" s="621">
        <f>SUM(J184:J185)</f>
        <v>1.7457436318088946</v>
      </c>
      <c r="K186" s="620"/>
      <c r="L186" s="621">
        <f>SUM(L184:L185)</f>
        <v>1.7554494271730037</v>
      </c>
      <c r="M186" s="620"/>
      <c r="N186" s="621">
        <f>SUM(N184:N185)</f>
        <v>1.7752005792550682</v>
      </c>
      <c r="O186" s="608"/>
      <c r="P186" s="609"/>
    </row>
    <row r="187" spans="1:16" x14ac:dyDescent="0.2">
      <c r="A187" s="600" t="s">
        <v>604</v>
      </c>
      <c r="B187" s="614">
        <f>1/'Prod. GEXNHB'!J23</f>
        <v>1.0000000000000001E-5</v>
      </c>
      <c r="C187" s="602">
        <f>D139</f>
        <v>4469.8345452749063</v>
      </c>
      <c r="D187" s="602">
        <f>B187*C187</f>
        <v>4.4698345452749068E-2</v>
      </c>
      <c r="E187" s="602">
        <f>D140</f>
        <v>4495.159386891195</v>
      </c>
      <c r="F187" s="602">
        <f>B187*E187</f>
        <v>4.4951593868911954E-2</v>
      </c>
      <c r="G187" s="602">
        <f>D141</f>
        <v>4520.7728306911449</v>
      </c>
      <c r="H187" s="602">
        <f>B187*G187</f>
        <v>4.520772830691145E-2</v>
      </c>
      <c r="I187" s="602">
        <f>D142</f>
        <v>4546.6798383168816</v>
      </c>
      <c r="J187" s="602">
        <f>B187*I187</f>
        <v>4.5466798383168819E-2</v>
      </c>
      <c r="K187" s="602">
        <f>D143</f>
        <v>4572.8854857999759</v>
      </c>
      <c r="L187" s="602">
        <f>B187*K187</f>
        <v>4.5728854857999761E-2</v>
      </c>
      <c r="M187" s="602">
        <f>D144</f>
        <v>4626.2135964215504</v>
      </c>
      <c r="N187" s="602">
        <f>B187*M187</f>
        <v>4.6262135964215509E-2</v>
      </c>
    </row>
    <row r="188" spans="1:16" x14ac:dyDescent="0.2">
      <c r="A188" s="603" t="s">
        <v>593</v>
      </c>
      <c r="B188" s="601">
        <f>B187/'Prod. GEXNHB'!Q23</f>
        <v>3.8461538461538463E-7</v>
      </c>
      <c r="C188" s="602">
        <f>J139</f>
        <v>4337.5271567454784</v>
      </c>
      <c r="D188" s="602">
        <f>B188*C188</f>
        <v>1.6682796756713378E-3</v>
      </c>
      <c r="E188" s="602">
        <f>J139</f>
        <v>4337.5271567454784</v>
      </c>
      <c r="F188" s="602">
        <f>B188*E188</f>
        <v>1.6682796756713378E-3</v>
      </c>
      <c r="G188" s="602">
        <f>J139</f>
        <v>4337.5271567454784</v>
      </c>
      <c r="H188" s="602">
        <f>B188*G188</f>
        <v>1.6682796756713378E-3</v>
      </c>
      <c r="I188" s="602">
        <f>J139</f>
        <v>4337.5271567454784</v>
      </c>
      <c r="J188" s="602">
        <f>B188*I188</f>
        <v>1.6682796756713378E-3</v>
      </c>
      <c r="K188" s="602">
        <f>J139</f>
        <v>4337.5271567454784</v>
      </c>
      <c r="L188" s="602">
        <f>B188*K188</f>
        <v>1.6682796756713378E-3</v>
      </c>
      <c r="M188" s="602">
        <f>J139</f>
        <v>4337.5271567454784</v>
      </c>
      <c r="N188" s="602">
        <f>B188*M188</f>
        <v>1.6682796756713378E-3</v>
      </c>
    </row>
    <row r="189" spans="1:16" x14ac:dyDescent="0.2">
      <c r="A189" s="618" t="s">
        <v>605</v>
      </c>
      <c r="B189" s="622"/>
      <c r="C189" s="620"/>
      <c r="D189" s="621">
        <f>SUM(D187:D188)</f>
        <v>4.6366625128420408E-2</v>
      </c>
      <c r="E189" s="620"/>
      <c r="F189" s="621">
        <f>SUM(F187:F188)</f>
        <v>4.6619873544583294E-2</v>
      </c>
      <c r="G189" s="620"/>
      <c r="H189" s="621">
        <f>SUM(H187:H188)</f>
        <v>4.687600798258279E-2</v>
      </c>
      <c r="I189" s="620"/>
      <c r="J189" s="621">
        <f>SUM(J187:J188)</f>
        <v>4.7135078058840159E-2</v>
      </c>
      <c r="K189" s="620"/>
      <c r="L189" s="621">
        <f>SUM(L187:L188)</f>
        <v>4.7397134533671101E-2</v>
      </c>
      <c r="M189" s="620"/>
      <c r="N189" s="621">
        <f>SUM(N187:N188)</f>
        <v>4.7930415639886849E-2</v>
      </c>
    </row>
    <row r="190" spans="1:16" x14ac:dyDescent="0.2">
      <c r="A190" s="600" t="s">
        <v>606</v>
      </c>
      <c r="B190" s="614">
        <f>1/'Prod. GEXNHB'!K23</f>
        <v>1.1111111111111112E-4</v>
      </c>
      <c r="C190" s="602">
        <f>D139</f>
        <v>4469.8345452749063</v>
      </c>
      <c r="D190" s="602">
        <f>B190*C190</f>
        <v>0.49664828280832296</v>
      </c>
      <c r="E190" s="602">
        <f>D140</f>
        <v>4495.159386891195</v>
      </c>
      <c r="F190" s="602">
        <f>B190*E190</f>
        <v>0.49946215409902167</v>
      </c>
      <c r="G190" s="602">
        <f>D141</f>
        <v>4520.7728306911449</v>
      </c>
      <c r="H190" s="602">
        <f>B190*G190</f>
        <v>0.50230809229901607</v>
      </c>
      <c r="I190" s="602">
        <f>D142</f>
        <v>4546.6798383168816</v>
      </c>
      <c r="J190" s="602">
        <f>B190*I190</f>
        <v>0.5051866487018758</v>
      </c>
      <c r="K190" s="602">
        <f>D143</f>
        <v>4572.8854857999759</v>
      </c>
      <c r="L190" s="602">
        <f>B190*K190</f>
        <v>0.50809838731110846</v>
      </c>
      <c r="M190" s="602">
        <f>D144</f>
        <v>4626.2135964215504</v>
      </c>
      <c r="N190" s="602">
        <f>B190*M190</f>
        <v>0.5140237329357279</v>
      </c>
    </row>
    <row r="191" spans="1:16" x14ac:dyDescent="0.2">
      <c r="A191" s="603" t="s">
        <v>593</v>
      </c>
      <c r="B191" s="601">
        <f>B190/'Prod. GEXNHB'!Q23</f>
        <v>4.2735042735042738E-6</v>
      </c>
      <c r="C191" s="602">
        <f>J139</f>
        <v>4337.5271567454784</v>
      </c>
      <c r="D191" s="602">
        <f>B191*C191</f>
        <v>1.8536440840792645E-2</v>
      </c>
      <c r="E191" s="602">
        <f>J139</f>
        <v>4337.5271567454784</v>
      </c>
      <c r="F191" s="602">
        <f>B191*E191</f>
        <v>1.8536440840792645E-2</v>
      </c>
      <c r="G191" s="602">
        <f>J139</f>
        <v>4337.5271567454784</v>
      </c>
      <c r="H191" s="602">
        <f>B191*G191</f>
        <v>1.8536440840792645E-2</v>
      </c>
      <c r="I191" s="602">
        <f>J139</f>
        <v>4337.5271567454784</v>
      </c>
      <c r="J191" s="602">
        <f>B191*I191</f>
        <v>1.8536440840792645E-2</v>
      </c>
      <c r="K191" s="602">
        <f>J139</f>
        <v>4337.5271567454784</v>
      </c>
      <c r="L191" s="602">
        <f>B191*K191</f>
        <v>1.8536440840792645E-2</v>
      </c>
      <c r="M191" s="602">
        <f>J139</f>
        <v>4337.5271567454784</v>
      </c>
      <c r="N191" s="602">
        <f>B191*M191</f>
        <v>1.8536440840792645E-2</v>
      </c>
    </row>
    <row r="192" spans="1:16" x14ac:dyDescent="0.2">
      <c r="A192" s="618" t="s">
        <v>607</v>
      </c>
      <c r="B192" s="622"/>
      <c r="C192" s="620"/>
      <c r="D192" s="621">
        <f>SUM(D190:D191)</f>
        <v>0.51518472364911561</v>
      </c>
      <c r="E192" s="620"/>
      <c r="F192" s="621">
        <f>SUM(F190:F191)</f>
        <v>0.51799859493981426</v>
      </c>
      <c r="G192" s="620"/>
      <c r="H192" s="621">
        <f>SUM(H190:H191)</f>
        <v>0.52084453313980872</v>
      </c>
      <c r="I192" s="620"/>
      <c r="J192" s="621">
        <f>SUM(J190:J191)</f>
        <v>0.52372308954266844</v>
      </c>
      <c r="K192" s="620"/>
      <c r="L192" s="621">
        <f>SUM(L190:L191)</f>
        <v>0.5266348281519011</v>
      </c>
      <c r="M192" s="620"/>
      <c r="N192" s="621">
        <f>SUM(N190:N191)</f>
        <v>0.53256017377652054</v>
      </c>
    </row>
    <row r="193" spans="1:16" x14ac:dyDescent="0.2">
      <c r="A193" s="611"/>
      <c r="B193" s="616"/>
      <c r="C193" s="616"/>
      <c r="D193" s="616"/>
      <c r="E193" s="616"/>
      <c r="F193" s="616"/>
      <c r="G193" s="616"/>
      <c r="H193" s="616"/>
      <c r="I193" s="616"/>
      <c r="J193" s="616"/>
    </row>
    <row r="194" spans="1:16" ht="14.25" customHeight="1" x14ac:dyDescent="0.2">
      <c r="A194" s="829" t="s">
        <v>608</v>
      </c>
      <c r="B194" s="829"/>
      <c r="C194" s="829" t="s">
        <v>583</v>
      </c>
      <c r="D194" s="829"/>
      <c r="E194" s="829" t="s">
        <v>584</v>
      </c>
      <c r="F194" s="829"/>
      <c r="G194" s="829" t="s">
        <v>585</v>
      </c>
      <c r="H194" s="829"/>
      <c r="I194" s="829" t="s">
        <v>628</v>
      </c>
      <c r="J194" s="829"/>
      <c r="K194" s="829" t="s">
        <v>586</v>
      </c>
      <c r="L194" s="829"/>
      <c r="M194" s="829" t="s">
        <v>587</v>
      </c>
      <c r="N194" s="829"/>
    </row>
    <row r="195" spans="1:16" ht="25.5" x14ac:dyDescent="0.2">
      <c r="A195" s="598" t="s">
        <v>588</v>
      </c>
      <c r="B195" s="599" t="s">
        <v>597</v>
      </c>
      <c r="C195" s="599" t="s">
        <v>590</v>
      </c>
      <c r="D195" s="599" t="s">
        <v>591</v>
      </c>
      <c r="E195" s="599" t="s">
        <v>590</v>
      </c>
      <c r="F195" s="599" t="s">
        <v>591</v>
      </c>
      <c r="G195" s="599" t="s">
        <v>590</v>
      </c>
      <c r="H195" s="599" t="s">
        <v>591</v>
      </c>
      <c r="I195" s="599" t="s">
        <v>590</v>
      </c>
      <c r="J195" s="599" t="s">
        <v>591</v>
      </c>
      <c r="K195" s="599" t="s">
        <v>590</v>
      </c>
      <c r="L195" s="599" t="s">
        <v>591</v>
      </c>
      <c r="M195" s="599" t="s">
        <v>590</v>
      </c>
      <c r="N195" s="599" t="s">
        <v>591</v>
      </c>
    </row>
    <row r="196" spans="1:16" x14ac:dyDescent="0.2">
      <c r="A196" s="623" t="s">
        <v>609</v>
      </c>
      <c r="B196" s="614">
        <f>(1/'Prod. GEXNHB'!L23)*(1/(30/7*44*6))*8</f>
        <v>4.4191919191919199E-5</v>
      </c>
      <c r="C196" s="624">
        <f>I139</f>
        <v>4752.4084846532533</v>
      </c>
      <c r="D196" s="602">
        <f>B196*C196</f>
        <v>0.21001805172078775</v>
      </c>
      <c r="E196" s="624">
        <f>I140</f>
        <v>4779.3343117617696</v>
      </c>
      <c r="F196" s="602">
        <f>B196*E196</f>
        <v>0.21120795569654288</v>
      </c>
      <c r="G196" s="624">
        <f>I141</f>
        <v>4806.5669859028631</v>
      </c>
      <c r="H196" s="602">
        <f>B196*G196</f>
        <v>0.21241141983156595</v>
      </c>
      <c r="I196" s="624">
        <f>I142</f>
        <v>4834.1117823836812</v>
      </c>
      <c r="J196" s="602">
        <f>B196*I196</f>
        <v>0.21362867725180412</v>
      </c>
      <c r="K196" s="624">
        <f>I143</f>
        <v>4861.9740981322911</v>
      </c>
      <c r="L196" s="602">
        <f>B196*K196</f>
        <v>0.21485996645786642</v>
      </c>
      <c r="M196" s="624">
        <f>I144</f>
        <v>4918.6735045245041</v>
      </c>
      <c r="N196" s="602">
        <f>B196*M196</f>
        <v>0.21736562204338089</v>
      </c>
    </row>
    <row r="197" spans="1:16" x14ac:dyDescent="0.2">
      <c r="A197" s="603" t="s">
        <v>593</v>
      </c>
      <c r="B197" s="614">
        <f>B196/4</f>
        <v>1.10479797979798E-5</v>
      </c>
      <c r="C197" s="602">
        <f>J139</f>
        <v>4337.5271567454784</v>
      </c>
      <c r="D197" s="602">
        <f>B197*C197</f>
        <v>4.7920912400912806E-2</v>
      </c>
      <c r="E197" s="602">
        <f>J139</f>
        <v>4337.5271567454784</v>
      </c>
      <c r="F197" s="602">
        <f>B197*E197</f>
        <v>4.7920912400912806E-2</v>
      </c>
      <c r="G197" s="602">
        <f>J139</f>
        <v>4337.5271567454784</v>
      </c>
      <c r="H197" s="602">
        <f>B197*G197</f>
        <v>4.7920912400912806E-2</v>
      </c>
      <c r="I197" s="602">
        <f>J139</f>
        <v>4337.5271567454784</v>
      </c>
      <c r="J197" s="602">
        <f>B197*I197</f>
        <v>4.7920912400912806E-2</v>
      </c>
      <c r="K197" s="602">
        <f>J139</f>
        <v>4337.5271567454784</v>
      </c>
      <c r="L197" s="602">
        <f>B197*K197</f>
        <v>4.7920912400912806E-2</v>
      </c>
      <c r="M197" s="602">
        <f>J139</f>
        <v>4337.5271567454784</v>
      </c>
      <c r="N197" s="602">
        <f>B197*M197</f>
        <v>4.7920912400912806E-2</v>
      </c>
      <c r="O197" s="827"/>
      <c r="P197" s="827"/>
    </row>
    <row r="198" spans="1:16" x14ac:dyDescent="0.2">
      <c r="A198" s="625" t="s">
        <v>610</v>
      </c>
      <c r="B198" s="626"/>
      <c r="C198" s="627"/>
      <c r="D198" s="628">
        <f>SUM(D196:D197)</f>
        <v>0.25793896412170053</v>
      </c>
      <c r="E198" s="627"/>
      <c r="F198" s="628">
        <f>SUM(F196:F197)</f>
        <v>0.25912886809745567</v>
      </c>
      <c r="G198" s="627"/>
      <c r="H198" s="628">
        <f>SUM(H196:H197)</f>
        <v>0.26033233223247876</v>
      </c>
      <c r="I198" s="627"/>
      <c r="J198" s="628">
        <f>SUM(J196:J197)</f>
        <v>0.26154958965271691</v>
      </c>
      <c r="K198" s="627"/>
      <c r="L198" s="628">
        <f>SUM(L196:L197)</f>
        <v>0.26278087885877921</v>
      </c>
      <c r="M198" s="627"/>
      <c r="N198" s="628">
        <f>SUM(N196:N197)</f>
        <v>0.26528653444429368</v>
      </c>
      <c r="O198" s="608"/>
      <c r="P198" s="609"/>
    </row>
    <row r="199" spans="1:16" x14ac:dyDescent="0.2">
      <c r="A199" s="623" t="s">
        <v>611</v>
      </c>
      <c r="B199" s="614">
        <f>1/'Prod. GEXNHB'!M23*16*(1/188.76)</f>
        <v>2.2306242401936183E-4</v>
      </c>
      <c r="C199" s="602">
        <f>D139</f>
        <v>4469.8345452749063</v>
      </c>
      <c r="D199" s="602">
        <f>B199*C199</f>
        <v>0.99705212863450254</v>
      </c>
      <c r="E199" s="602">
        <f>D140</f>
        <v>4495.159386891195</v>
      </c>
      <c r="F199" s="602">
        <f>B199*E199</f>
        <v>1.0027011491933384</v>
      </c>
      <c r="G199" s="602">
        <f>D141</f>
        <v>4520.7728306911449</v>
      </c>
      <c r="H199" s="602">
        <f>B199*G199</f>
        <v>1.0084145460548388</v>
      </c>
      <c r="I199" s="602">
        <f>D142</f>
        <v>4546.6798383168816</v>
      </c>
      <c r="J199" s="602">
        <f>B199*I199</f>
        <v>1.0141934259749237</v>
      </c>
      <c r="K199" s="602">
        <f>D143</f>
        <v>4572.8854857999759</v>
      </c>
      <c r="L199" s="602">
        <f>B199*K199</f>
        <v>1.0200389212254997</v>
      </c>
      <c r="M199" s="602">
        <f>D144</f>
        <v>4626.2135964215504</v>
      </c>
      <c r="N199" s="602">
        <f>B199*M199</f>
        <v>1.0319344188491206</v>
      </c>
    </row>
    <row r="200" spans="1:16" x14ac:dyDescent="0.2">
      <c r="A200" s="603" t="s">
        <v>593</v>
      </c>
      <c r="B200" s="614">
        <f>1/('Prod. GEXNHB'!Q23*'Prod. GEXNHB'!M23)*16*(1/188.76)</f>
        <v>8.5793240007446859E-6</v>
      </c>
      <c r="C200" s="602">
        <f>J139</f>
        <v>4337.5271567454784</v>
      </c>
      <c r="D200" s="602">
        <f>B200*C200</f>
        <v>3.7213050839748338E-2</v>
      </c>
      <c r="E200" s="602">
        <f>J139</f>
        <v>4337.5271567454784</v>
      </c>
      <c r="F200" s="602">
        <f>B200*E200</f>
        <v>3.7213050839748338E-2</v>
      </c>
      <c r="G200" s="602">
        <f>J139</f>
        <v>4337.5271567454784</v>
      </c>
      <c r="H200" s="602">
        <f>B200*G200</f>
        <v>3.7213050839748338E-2</v>
      </c>
      <c r="I200" s="602">
        <f>J139</f>
        <v>4337.5271567454784</v>
      </c>
      <c r="J200" s="602">
        <f>B200*I200</f>
        <v>3.7213050839748338E-2</v>
      </c>
      <c r="K200" s="602">
        <f>J139</f>
        <v>4337.5271567454784</v>
      </c>
      <c r="L200" s="602">
        <f>B200*K200</f>
        <v>3.7213050839748338E-2</v>
      </c>
      <c r="M200" s="602">
        <f>J139</f>
        <v>4337.5271567454784</v>
      </c>
      <c r="N200" s="602">
        <f>B200*M200</f>
        <v>3.7213050839748338E-2</v>
      </c>
      <c r="O200" s="827"/>
      <c r="P200" s="827"/>
    </row>
    <row r="201" spans="1:16" x14ac:dyDescent="0.2">
      <c r="A201" s="625" t="s">
        <v>612</v>
      </c>
      <c r="B201" s="626"/>
      <c r="C201" s="627"/>
      <c r="D201" s="628">
        <f>SUM(D199:D200)</f>
        <v>1.0342651794742508</v>
      </c>
      <c r="E201" s="627"/>
      <c r="F201" s="628">
        <f>SUM(F199:F200)</f>
        <v>1.0399142000330868</v>
      </c>
      <c r="G201" s="627"/>
      <c r="H201" s="628">
        <f>SUM(H199:H200)</f>
        <v>1.0456275968945872</v>
      </c>
      <c r="I201" s="627"/>
      <c r="J201" s="628">
        <f>SUM(J199:J200)</f>
        <v>1.051406476814672</v>
      </c>
      <c r="K201" s="627"/>
      <c r="L201" s="628">
        <f>SUM(L199:L200)</f>
        <v>1.057251972065248</v>
      </c>
      <c r="M201" s="627"/>
      <c r="N201" s="628">
        <f>SUM(N199:N200)</f>
        <v>1.069147469688869</v>
      </c>
      <c r="O201" s="608"/>
      <c r="P201" s="609"/>
    </row>
    <row r="202" spans="1:16" x14ac:dyDescent="0.2">
      <c r="A202" s="600" t="s">
        <v>613</v>
      </c>
      <c r="B202" s="614">
        <f>1/'Prod. GEXNHB'!N23*16*(1/188.76)</f>
        <v>2.2306242401936183E-4</v>
      </c>
      <c r="C202" s="602">
        <f>D139</f>
        <v>4469.8345452749063</v>
      </c>
      <c r="D202" s="602">
        <f>B202*C202</f>
        <v>0.99705212863450254</v>
      </c>
      <c r="E202" s="602">
        <f>D140</f>
        <v>4495.159386891195</v>
      </c>
      <c r="F202" s="602">
        <f>B202*E202</f>
        <v>1.0027011491933384</v>
      </c>
      <c r="G202" s="602">
        <f>D141</f>
        <v>4520.7728306911449</v>
      </c>
      <c r="H202" s="602">
        <f>B202*G202</f>
        <v>1.0084145460548388</v>
      </c>
      <c r="I202" s="602">
        <f>D142</f>
        <v>4546.6798383168816</v>
      </c>
      <c r="J202" s="602">
        <f>B202*I202</f>
        <v>1.0141934259749237</v>
      </c>
      <c r="K202" s="602">
        <f>D143</f>
        <v>4572.8854857999759</v>
      </c>
      <c r="L202" s="602">
        <f>B202*K202</f>
        <v>1.0200389212254997</v>
      </c>
      <c r="M202" s="602">
        <f>D144</f>
        <v>4626.2135964215504</v>
      </c>
      <c r="N202" s="602">
        <f>B202*M202</f>
        <v>1.0319344188491206</v>
      </c>
    </row>
    <row r="203" spans="1:16" x14ac:dyDescent="0.2">
      <c r="A203" s="603" t="s">
        <v>593</v>
      </c>
      <c r="B203" s="614">
        <f>1/('Prod. GEXNHB'!Q23*'Prod. GEXNHB'!N23)*16*(1/188.76)</f>
        <v>8.5793240007446859E-6</v>
      </c>
      <c r="C203" s="602">
        <f>J139</f>
        <v>4337.5271567454784</v>
      </c>
      <c r="D203" s="602">
        <f>B203*C203</f>
        <v>3.7213050839748338E-2</v>
      </c>
      <c r="E203" s="602">
        <f>J139</f>
        <v>4337.5271567454784</v>
      </c>
      <c r="F203" s="602">
        <f>B203*E203</f>
        <v>3.7213050839748338E-2</v>
      </c>
      <c r="G203" s="602">
        <f>J139</f>
        <v>4337.5271567454784</v>
      </c>
      <c r="H203" s="602">
        <f>B203*G203</f>
        <v>3.7213050839748338E-2</v>
      </c>
      <c r="I203" s="602">
        <f>J139</f>
        <v>4337.5271567454784</v>
      </c>
      <c r="J203" s="602">
        <f>B203*I203</f>
        <v>3.7213050839748338E-2</v>
      </c>
      <c r="K203" s="602">
        <f>J139</f>
        <v>4337.5271567454784</v>
      </c>
      <c r="L203" s="602">
        <f>B203*K203</f>
        <v>3.7213050839748338E-2</v>
      </c>
      <c r="M203" s="602">
        <f>J139</f>
        <v>4337.5271567454784</v>
      </c>
      <c r="N203" s="602">
        <f>B203*M203</f>
        <v>3.7213050839748338E-2</v>
      </c>
      <c r="O203" s="827"/>
      <c r="P203" s="827"/>
    </row>
    <row r="204" spans="1:16" x14ac:dyDescent="0.2">
      <c r="A204" s="625" t="s">
        <v>614</v>
      </c>
      <c r="B204" s="626"/>
      <c r="C204" s="627"/>
      <c r="D204" s="628">
        <f>SUM(D202:D203)</f>
        <v>1.0342651794742508</v>
      </c>
      <c r="E204" s="627"/>
      <c r="F204" s="628">
        <f>SUM(F202:F203)</f>
        <v>1.0399142000330868</v>
      </c>
      <c r="G204" s="627"/>
      <c r="H204" s="628">
        <f>SUM(H202:H203)</f>
        <v>1.0456275968945872</v>
      </c>
      <c r="I204" s="627"/>
      <c r="J204" s="628">
        <f>SUM(J202:J203)</f>
        <v>1.051406476814672</v>
      </c>
      <c r="K204" s="627"/>
      <c r="L204" s="628">
        <f>SUM(L202:L203)</f>
        <v>1.057251972065248</v>
      </c>
      <c r="M204" s="627"/>
      <c r="N204" s="628">
        <f>SUM(N202:N203)</f>
        <v>1.069147469688869</v>
      </c>
      <c r="O204" s="608"/>
      <c r="P204" s="609"/>
    </row>
    <row r="205" spans="1:16" x14ac:dyDescent="0.2">
      <c r="A205" s="597"/>
    </row>
  </sheetData>
  <mergeCells count="99">
    <mergeCell ref="A1:J1"/>
    <mergeCell ref="A2:J2"/>
    <mergeCell ref="A3:J3"/>
    <mergeCell ref="C4:D4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A9:J9"/>
    <mergeCell ref="A11:J11"/>
    <mergeCell ref="A20:B20"/>
    <mergeCell ref="A21:J21"/>
    <mergeCell ref="A50:J50"/>
    <mergeCell ref="A51:J51"/>
    <mergeCell ref="A61:J61"/>
    <mergeCell ref="A62:J62"/>
    <mergeCell ref="A92:B92"/>
    <mergeCell ref="A115:A120"/>
    <mergeCell ref="A123:J123"/>
    <mergeCell ref="A124:J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52:B152"/>
    <mergeCell ref="C152:D152"/>
    <mergeCell ref="E152:F152"/>
    <mergeCell ref="G152:H152"/>
    <mergeCell ref="I152:J152"/>
    <mergeCell ref="K152:L152"/>
    <mergeCell ref="M152:N152"/>
    <mergeCell ref="O155:P155"/>
    <mergeCell ref="A158:B158"/>
    <mergeCell ref="C158:D158"/>
    <mergeCell ref="E158:F158"/>
    <mergeCell ref="G158:H158"/>
    <mergeCell ref="I158:J158"/>
    <mergeCell ref="K158:L158"/>
    <mergeCell ref="M158:N158"/>
    <mergeCell ref="O161:P161"/>
    <mergeCell ref="A164:B164"/>
    <mergeCell ref="C164:D164"/>
    <mergeCell ref="E164:F164"/>
    <mergeCell ref="G164:H164"/>
    <mergeCell ref="I164:J164"/>
    <mergeCell ref="K164:L164"/>
    <mergeCell ref="M164:N164"/>
    <mergeCell ref="K170:L170"/>
    <mergeCell ref="M170:N170"/>
    <mergeCell ref="A176:B176"/>
    <mergeCell ref="C176:D176"/>
    <mergeCell ref="E176:F176"/>
    <mergeCell ref="G176:H176"/>
    <mergeCell ref="I176:J176"/>
    <mergeCell ref="K176:L176"/>
    <mergeCell ref="M176:N176"/>
    <mergeCell ref="A170:B170"/>
    <mergeCell ref="C170:D170"/>
    <mergeCell ref="E170:F170"/>
    <mergeCell ref="G170:H170"/>
    <mergeCell ref="I170:J170"/>
    <mergeCell ref="A182:B182"/>
    <mergeCell ref="C182:D182"/>
    <mergeCell ref="E182:F182"/>
    <mergeCell ref="G182:H182"/>
    <mergeCell ref="I182:J182"/>
    <mergeCell ref="A194:B194"/>
    <mergeCell ref="C194:D194"/>
    <mergeCell ref="E194:F194"/>
    <mergeCell ref="G194:H194"/>
    <mergeCell ref="I194:J194"/>
    <mergeCell ref="O197:P197"/>
    <mergeCell ref="O200:P200"/>
    <mergeCell ref="O203:P203"/>
    <mergeCell ref="K182:L182"/>
    <mergeCell ref="M182:N182"/>
    <mergeCell ref="O185:P185"/>
    <mergeCell ref="K194:L194"/>
    <mergeCell ref="M194:N19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</sheetPr>
  <dimension ref="A1:AMF146"/>
  <sheetViews>
    <sheetView zoomScale="75" zoomScaleNormal="75" workbookViewId="0">
      <pane ySplit="10" topLeftCell="A11" activePane="bottomLeft" state="frozen"/>
      <selection pane="bottomLeft" activeCell="C17" sqref="C17"/>
    </sheetView>
  </sheetViews>
  <sheetFormatPr defaultRowHeight="14.25" x14ac:dyDescent="0.2"/>
  <cols>
    <col min="1" max="1" width="55.5" style="429" customWidth="1"/>
    <col min="2" max="5" width="14" style="429" customWidth="1"/>
    <col min="6" max="1020" width="9" style="429" customWidth="1"/>
    <col min="1021" max="1025" width="8.625" customWidth="1"/>
  </cols>
  <sheetData>
    <row r="1" spans="1:5" ht="15.75" x14ac:dyDescent="0.2">
      <c r="A1" s="849" t="s">
        <v>464</v>
      </c>
      <c r="B1" s="849"/>
      <c r="C1" s="849"/>
      <c r="D1" s="849"/>
      <c r="E1" s="849"/>
    </row>
    <row r="2" spans="1:5" ht="15.75" x14ac:dyDescent="0.2">
      <c r="A2" s="850" t="s">
        <v>465</v>
      </c>
      <c r="B2" s="850"/>
      <c r="C2" s="850"/>
      <c r="D2" s="850"/>
      <c r="E2" s="850"/>
    </row>
    <row r="3" spans="1:5" ht="15.75" customHeight="1" x14ac:dyDescent="0.2">
      <c r="A3" s="850" t="s">
        <v>466</v>
      </c>
      <c r="B3" s="850"/>
      <c r="C3" s="850"/>
      <c r="D3" s="850"/>
      <c r="E3" s="850"/>
    </row>
    <row r="4" spans="1:5" ht="15.75" x14ac:dyDescent="0.2">
      <c r="A4" s="430"/>
      <c r="B4" s="431"/>
      <c r="C4" s="432" t="s">
        <v>467</v>
      </c>
      <c r="D4" s="435" t="s">
        <v>468</v>
      </c>
      <c r="E4" s="435" t="s">
        <v>469</v>
      </c>
    </row>
    <row r="5" spans="1:5" x14ac:dyDescent="0.2">
      <c r="A5" s="436"/>
      <c r="B5" s="437" t="s">
        <v>472</v>
      </c>
      <c r="C5" s="438">
        <f>MC!$D11</f>
        <v>1194.6272727272726</v>
      </c>
      <c r="D5" s="438">
        <f>MC!$E11</f>
        <v>895.97045454545446</v>
      </c>
      <c r="E5" s="440">
        <f>MC!$F11</f>
        <v>597.31363636363631</v>
      </c>
    </row>
    <row r="6" spans="1:5" x14ac:dyDescent="0.2">
      <c r="A6" s="436"/>
      <c r="B6" s="437" t="s">
        <v>473</v>
      </c>
      <c r="C6" s="441">
        <f>MC!$E8</f>
        <v>44562</v>
      </c>
      <c r="D6" s="441">
        <f>MC!$E8</f>
        <v>44562</v>
      </c>
      <c r="E6" s="443">
        <f>MC!$E8</f>
        <v>44562</v>
      </c>
    </row>
    <row r="7" spans="1:5" x14ac:dyDescent="0.2">
      <c r="A7" s="436"/>
      <c r="B7" s="437" t="s">
        <v>474</v>
      </c>
      <c r="C7" s="441" t="str">
        <f>MC!$C8</f>
        <v>RS005021/2021</v>
      </c>
      <c r="D7" s="441" t="str">
        <f>MC!$C8</f>
        <v>RS005021/2021</v>
      </c>
      <c r="E7" s="443" t="str">
        <f>MC!$C8</f>
        <v>RS005021/2021</v>
      </c>
    </row>
    <row r="8" spans="1:5" x14ac:dyDescent="0.2">
      <c r="A8" s="436"/>
      <c r="B8" s="437" t="s">
        <v>475</v>
      </c>
      <c r="C8" s="444" t="str">
        <f>MC!$F8</f>
        <v>5143-20</v>
      </c>
      <c r="D8" s="444" t="str">
        <f>MC!$F8</f>
        <v>5143-20</v>
      </c>
      <c r="E8" s="446" t="str">
        <f>MC!$F8</f>
        <v>5143-20</v>
      </c>
    </row>
    <row r="9" spans="1:5" x14ac:dyDescent="0.2">
      <c r="A9" s="846"/>
      <c r="B9" s="846"/>
      <c r="C9" s="846"/>
      <c r="D9" s="846"/>
      <c r="E9" s="846"/>
    </row>
    <row r="10" spans="1:5" ht="66.75" customHeight="1" x14ac:dyDescent="0.2">
      <c r="A10" s="447" t="s">
        <v>476</v>
      </c>
      <c r="B10" s="448" t="s">
        <v>477</v>
      </c>
      <c r="C10" s="448" t="s">
        <v>615</v>
      </c>
      <c r="D10" s="629" t="s">
        <v>616</v>
      </c>
      <c r="E10" s="630" t="s">
        <v>617</v>
      </c>
    </row>
    <row r="11" spans="1:5" ht="14.25" customHeight="1" x14ac:dyDescent="0.2">
      <c r="A11" s="842" t="s">
        <v>485</v>
      </c>
      <c r="B11" s="842"/>
      <c r="C11" s="842"/>
      <c r="D11" s="842"/>
      <c r="E11" s="842"/>
    </row>
    <row r="12" spans="1:5" ht="14.25" customHeight="1" x14ac:dyDescent="0.2">
      <c r="A12" s="452" t="s">
        <v>486</v>
      </c>
      <c r="B12" s="453" t="s">
        <v>487</v>
      </c>
      <c r="C12" s="453" t="s">
        <v>488</v>
      </c>
      <c r="D12" s="708" t="s">
        <v>488</v>
      </c>
      <c r="E12" s="709" t="s">
        <v>488</v>
      </c>
    </row>
    <row r="13" spans="1:5" ht="14.25" customHeight="1" x14ac:dyDescent="0.2">
      <c r="A13" s="455" t="s">
        <v>489</v>
      </c>
      <c r="B13" s="456"/>
      <c r="C13" s="457">
        <f>C5</f>
        <v>1194.6272727272726</v>
      </c>
      <c r="D13" s="457">
        <f>D5</f>
        <v>895.97045454545446</v>
      </c>
      <c r="E13" s="459">
        <f>E5</f>
        <v>597.31363636363631</v>
      </c>
    </row>
    <row r="14" spans="1:5" ht="14.25" customHeight="1" x14ac:dyDescent="0.2">
      <c r="A14" s="455" t="s">
        <v>490</v>
      </c>
      <c r="B14" s="479">
        <v>0.2</v>
      </c>
      <c r="C14" s="457">
        <f>C13*$B$14</f>
        <v>238.92545454545453</v>
      </c>
      <c r="D14" s="635">
        <f>D13*$B$14</f>
        <v>179.1940909090909</v>
      </c>
      <c r="E14" s="459">
        <f>E13*$B$14</f>
        <v>119.46272727272726</v>
      </c>
    </row>
    <row r="15" spans="1:5" ht="14.25" customHeight="1" x14ac:dyDescent="0.2">
      <c r="A15" s="455" t="s">
        <v>492</v>
      </c>
      <c r="B15" s="463"/>
      <c r="C15" s="457"/>
      <c r="D15" s="635"/>
      <c r="E15" s="459"/>
    </row>
    <row r="16" spans="1:5" ht="14.25" customHeight="1" x14ac:dyDescent="0.2">
      <c r="A16" s="455" t="s">
        <v>493</v>
      </c>
      <c r="B16" s="463"/>
      <c r="C16" s="457"/>
      <c r="D16" s="635"/>
      <c r="E16" s="459"/>
    </row>
    <row r="17" spans="1:5" ht="14.25" customHeight="1" x14ac:dyDescent="0.2">
      <c r="A17" s="455" t="s">
        <v>494</v>
      </c>
      <c r="B17" s="463"/>
      <c r="C17" s="457"/>
      <c r="D17" s="635"/>
      <c r="E17" s="459"/>
    </row>
    <row r="18" spans="1:5" ht="14.25" customHeight="1" x14ac:dyDescent="0.2">
      <c r="A18" s="455" t="s">
        <v>495</v>
      </c>
      <c r="B18" s="465"/>
      <c r="C18" s="457"/>
      <c r="D18" s="635"/>
      <c r="E18" s="459"/>
    </row>
    <row r="19" spans="1:5" ht="14.25" customHeight="1" x14ac:dyDescent="0.2">
      <c r="A19" s="466" t="s">
        <v>496</v>
      </c>
      <c r="B19" s="467"/>
      <c r="C19" s="481">
        <f>SUM(C13:C18)</f>
        <v>1433.5527272727272</v>
      </c>
      <c r="D19" s="636">
        <f>SUM(D13:D18)</f>
        <v>1075.1645454545453</v>
      </c>
      <c r="E19" s="637">
        <f>SUM(E13:E18)</f>
        <v>716.77636363636361</v>
      </c>
    </row>
    <row r="20" spans="1:5" ht="14.25" customHeight="1" x14ac:dyDescent="0.2">
      <c r="A20" s="843"/>
      <c r="B20" s="843"/>
      <c r="C20" s="843"/>
      <c r="D20" s="843"/>
      <c r="E20" s="843"/>
    </row>
    <row r="21" spans="1:5" ht="14.25" customHeight="1" x14ac:dyDescent="0.2">
      <c r="A21" s="860" t="s">
        <v>497</v>
      </c>
      <c r="B21" s="860"/>
      <c r="C21" s="860"/>
      <c r="D21" s="860"/>
      <c r="E21" s="860"/>
    </row>
    <row r="22" spans="1:5" ht="14.25" customHeight="1" x14ac:dyDescent="0.2">
      <c r="A22" s="475" t="s">
        <v>498</v>
      </c>
      <c r="B22" s="476" t="s">
        <v>487</v>
      </c>
      <c r="C22" s="476" t="s">
        <v>488</v>
      </c>
      <c r="D22" s="476" t="s">
        <v>488</v>
      </c>
      <c r="E22" s="477" t="s">
        <v>488</v>
      </c>
    </row>
    <row r="23" spans="1:5" ht="14.25" customHeight="1" x14ac:dyDescent="0.2">
      <c r="A23" s="478" t="s">
        <v>499</v>
      </c>
      <c r="B23" s="479">
        <f>1/12</f>
        <v>8.3333333333333329E-2</v>
      </c>
      <c r="C23" s="457">
        <f>ROUND($B23*C$19,2)</f>
        <v>119.46</v>
      </c>
      <c r="D23" s="457">
        <f>ROUND($B23*D$19,2)</f>
        <v>89.6</v>
      </c>
      <c r="E23" s="459">
        <f>ROUND($B23*E$19,2)</f>
        <v>59.73</v>
      </c>
    </row>
    <row r="24" spans="1:5" ht="14.25" customHeight="1" x14ac:dyDescent="0.2">
      <c r="A24" s="478" t="s">
        <v>500</v>
      </c>
      <c r="B24" s="479">
        <f>1/3*1/12</f>
        <v>2.7777777777777776E-2</v>
      </c>
      <c r="C24" s="457">
        <f>C$19*$B$24</f>
        <v>39.82090909090909</v>
      </c>
      <c r="D24" s="457">
        <f>D$19*$B$24</f>
        <v>29.865681818181812</v>
      </c>
      <c r="E24" s="459">
        <f>E$19*$B$24</f>
        <v>19.910454545454545</v>
      </c>
    </row>
    <row r="25" spans="1:5" ht="14.25" customHeight="1" x14ac:dyDescent="0.2">
      <c r="A25" s="466" t="s">
        <v>496</v>
      </c>
      <c r="B25" s="480">
        <f>SUM(B23:B24)</f>
        <v>0.1111111111111111</v>
      </c>
      <c r="C25" s="481">
        <f>SUM(C23:C24)</f>
        <v>159.28090909090909</v>
      </c>
      <c r="D25" s="481">
        <f>SUM(D23:D24)</f>
        <v>119.46568181818181</v>
      </c>
      <c r="E25" s="482">
        <f>SUM(E23:E24)</f>
        <v>79.640454545454546</v>
      </c>
    </row>
    <row r="26" spans="1:5" ht="14.25" customHeight="1" x14ac:dyDescent="0.2">
      <c r="A26" s="475" t="s">
        <v>501</v>
      </c>
      <c r="B26" s="476" t="s">
        <v>487</v>
      </c>
      <c r="C26" s="476" t="s">
        <v>488</v>
      </c>
      <c r="D26" s="476" t="s">
        <v>488</v>
      </c>
      <c r="E26" s="477" t="s">
        <v>488</v>
      </c>
    </row>
    <row r="27" spans="1:5" ht="14.25" customHeight="1" x14ac:dyDescent="0.2">
      <c r="A27" s="475" t="s">
        <v>502</v>
      </c>
      <c r="B27" s="483"/>
      <c r="C27" s="483"/>
      <c r="D27" s="483"/>
      <c r="E27" s="485"/>
    </row>
    <row r="28" spans="1:5" ht="14.25" customHeight="1" x14ac:dyDescent="0.2">
      <c r="A28" s="478" t="s">
        <v>503</v>
      </c>
      <c r="B28" s="479">
        <v>0.2</v>
      </c>
      <c r="C28" s="642">
        <f t="shared" ref="C28:E35" si="0">ROUND((C$19+C$25)*$B28,2)</f>
        <v>318.57</v>
      </c>
      <c r="D28" s="486">
        <f t="shared" si="0"/>
        <v>238.93</v>
      </c>
      <c r="E28" s="487">
        <f t="shared" si="0"/>
        <v>159.28</v>
      </c>
    </row>
    <row r="29" spans="1:5" ht="14.25" customHeight="1" x14ac:dyDescent="0.2">
      <c r="A29" s="478" t="s">
        <v>504</v>
      </c>
      <c r="B29" s="479">
        <v>2.5000000000000001E-2</v>
      </c>
      <c r="C29" s="642">
        <f t="shared" si="0"/>
        <v>39.82</v>
      </c>
      <c r="D29" s="486">
        <f t="shared" si="0"/>
        <v>29.87</v>
      </c>
      <c r="E29" s="487">
        <f t="shared" si="0"/>
        <v>19.91</v>
      </c>
    </row>
    <row r="30" spans="1:5" ht="14.25" customHeight="1" x14ac:dyDescent="0.2">
      <c r="A30" s="478" t="s">
        <v>505</v>
      </c>
      <c r="B30" s="479">
        <v>0.03</v>
      </c>
      <c r="C30" s="642">
        <f t="shared" si="0"/>
        <v>47.79</v>
      </c>
      <c r="D30" s="486">
        <f t="shared" si="0"/>
        <v>35.840000000000003</v>
      </c>
      <c r="E30" s="487">
        <f t="shared" si="0"/>
        <v>23.89</v>
      </c>
    </row>
    <row r="31" spans="1:5" ht="14.25" customHeight="1" x14ac:dyDescent="0.2">
      <c r="A31" s="478" t="s">
        <v>506</v>
      </c>
      <c r="B31" s="479">
        <v>1.4999999999999999E-2</v>
      </c>
      <c r="C31" s="642">
        <f t="shared" si="0"/>
        <v>23.89</v>
      </c>
      <c r="D31" s="486">
        <f t="shared" si="0"/>
        <v>17.920000000000002</v>
      </c>
      <c r="E31" s="487">
        <f t="shared" si="0"/>
        <v>11.95</v>
      </c>
    </row>
    <row r="32" spans="1:5" ht="14.25" customHeight="1" x14ac:dyDescent="0.2">
      <c r="A32" s="478" t="s">
        <v>507</v>
      </c>
      <c r="B32" s="479">
        <v>0.01</v>
      </c>
      <c r="C32" s="642">
        <f t="shared" si="0"/>
        <v>15.93</v>
      </c>
      <c r="D32" s="486">
        <f t="shared" si="0"/>
        <v>11.95</v>
      </c>
      <c r="E32" s="487">
        <f t="shared" si="0"/>
        <v>7.96</v>
      </c>
    </row>
    <row r="33" spans="1:5" ht="14.25" customHeight="1" x14ac:dyDescent="0.2">
      <c r="A33" s="478" t="s">
        <v>508</v>
      </c>
      <c r="B33" s="479">
        <v>6.0000000000000001E-3</v>
      </c>
      <c r="C33" s="642">
        <f t="shared" si="0"/>
        <v>9.56</v>
      </c>
      <c r="D33" s="486">
        <f t="shared" si="0"/>
        <v>7.17</v>
      </c>
      <c r="E33" s="487">
        <f t="shared" si="0"/>
        <v>4.78</v>
      </c>
    </row>
    <row r="34" spans="1:5" ht="14.25" customHeight="1" x14ac:dyDescent="0.2">
      <c r="A34" s="478" t="s">
        <v>509</v>
      </c>
      <c r="B34" s="479">
        <v>2E-3</v>
      </c>
      <c r="C34" s="642">
        <f t="shared" si="0"/>
        <v>3.19</v>
      </c>
      <c r="D34" s="486">
        <f t="shared" si="0"/>
        <v>2.39</v>
      </c>
      <c r="E34" s="487">
        <f t="shared" si="0"/>
        <v>1.59</v>
      </c>
    </row>
    <row r="35" spans="1:5" ht="14.25" customHeight="1" x14ac:dyDescent="0.2">
      <c r="A35" s="478" t="s">
        <v>510</v>
      </c>
      <c r="B35" s="479">
        <v>0.08</v>
      </c>
      <c r="C35" s="642">
        <f t="shared" si="0"/>
        <v>127.43</v>
      </c>
      <c r="D35" s="486">
        <f t="shared" si="0"/>
        <v>95.57</v>
      </c>
      <c r="E35" s="487">
        <f t="shared" si="0"/>
        <v>63.71</v>
      </c>
    </row>
    <row r="36" spans="1:5" ht="14.25" customHeight="1" x14ac:dyDescent="0.2">
      <c r="A36" s="466" t="s">
        <v>496</v>
      </c>
      <c r="B36" s="480">
        <f>SUM(B28:B35)</f>
        <v>0.36800000000000005</v>
      </c>
      <c r="C36" s="481">
        <f>SUM(C27:C35)</f>
        <v>586.18000000000006</v>
      </c>
      <c r="D36" s="481">
        <f>SUM(D27:D35)</f>
        <v>439.64</v>
      </c>
      <c r="E36" s="482">
        <f>SUM(E27:E35)</f>
        <v>293.07</v>
      </c>
    </row>
    <row r="37" spans="1:5" ht="14.25" customHeight="1" x14ac:dyDescent="0.2">
      <c r="A37" s="475" t="s">
        <v>511</v>
      </c>
      <c r="B37" s="476" t="s">
        <v>512</v>
      </c>
      <c r="C37" s="476" t="s">
        <v>488</v>
      </c>
      <c r="D37" s="476" t="s">
        <v>488</v>
      </c>
      <c r="E37" s="477" t="s">
        <v>488</v>
      </c>
    </row>
    <row r="38" spans="1:5" ht="14.25" customHeight="1" x14ac:dyDescent="0.2">
      <c r="A38" s="478" t="s">
        <v>513</v>
      </c>
      <c r="B38" s="488">
        <f>MC!K90</f>
        <v>4</v>
      </c>
      <c r="C38" s="457">
        <f>ROUND(((2*22*$B$38)-0.06*C$13),2)</f>
        <v>104.32</v>
      </c>
      <c r="D38" s="457">
        <f>ROUND(((2*22*$B$38)-0.06*D$13),2)</f>
        <v>122.24</v>
      </c>
      <c r="E38" s="459">
        <f>ROUND(((2*22*$B$38)-0.06*E$13),2)</f>
        <v>140.16</v>
      </c>
    </row>
    <row r="39" spans="1:5" ht="14.25" customHeight="1" x14ac:dyDescent="0.2">
      <c r="A39" s="478" t="s">
        <v>514</v>
      </c>
      <c r="B39" s="489"/>
      <c r="C39" s="486">
        <f>MC!E19</f>
        <v>359.61</v>
      </c>
      <c r="D39" s="486">
        <f>MC!E20</f>
        <v>179.8</v>
      </c>
      <c r="E39" s="487">
        <f>MC!E20</f>
        <v>179.8</v>
      </c>
    </row>
    <row r="40" spans="1:5" ht="14.25" customHeight="1" x14ac:dyDescent="0.2">
      <c r="A40" s="478" t="s">
        <v>515</v>
      </c>
      <c r="B40" s="479">
        <f>MC!C24</f>
        <v>0</v>
      </c>
      <c r="C40" s="486"/>
      <c r="D40" s="486"/>
      <c r="E40" s="487"/>
    </row>
    <row r="41" spans="1:5" ht="14.25" customHeight="1" x14ac:dyDescent="0.2">
      <c r="A41" s="478" t="s">
        <v>618</v>
      </c>
      <c r="B41" s="492">
        <f>MC!E26</f>
        <v>0</v>
      </c>
      <c r="C41" s="486">
        <f>B41</f>
        <v>0</v>
      </c>
      <c r="D41" s="486">
        <f>B41</f>
        <v>0</v>
      </c>
      <c r="E41" s="487"/>
    </row>
    <row r="42" spans="1:5" ht="14.25" customHeight="1" x14ac:dyDescent="0.2">
      <c r="A42" s="478" t="s">
        <v>619</v>
      </c>
      <c r="B42" s="492">
        <f>MC!E27</f>
        <v>17.32</v>
      </c>
      <c r="C42" s="486">
        <f>$B42</f>
        <v>17.32</v>
      </c>
      <c r="D42" s="486">
        <f>$B42</f>
        <v>17.32</v>
      </c>
      <c r="E42" s="487">
        <f>$B42</f>
        <v>17.32</v>
      </c>
    </row>
    <row r="43" spans="1:5" ht="14.25" customHeight="1" x14ac:dyDescent="0.2">
      <c r="A43" s="478" t="s">
        <v>518</v>
      </c>
      <c r="B43" s="479"/>
      <c r="C43" s="486"/>
      <c r="D43" s="486"/>
      <c r="E43" s="487"/>
    </row>
    <row r="44" spans="1:5" ht="14.25" customHeight="1" x14ac:dyDescent="0.2">
      <c r="A44" s="466" t="s">
        <v>496</v>
      </c>
      <c r="B44" s="467"/>
      <c r="C44" s="481">
        <f>SUM(C38:C43)</f>
        <v>481.25</v>
      </c>
      <c r="D44" s="710">
        <f>SUM(D38:D43)</f>
        <v>319.36</v>
      </c>
      <c r="E44" s="637">
        <f>SUM(E38:E43)</f>
        <v>337.28000000000003</v>
      </c>
    </row>
    <row r="45" spans="1:5" ht="14.25" customHeight="1" x14ac:dyDescent="0.2">
      <c r="A45" s="452" t="s">
        <v>519</v>
      </c>
      <c r="B45" s="453" t="s">
        <v>487</v>
      </c>
      <c r="C45" s="453" t="s">
        <v>488</v>
      </c>
      <c r="D45" s="453" t="s">
        <v>488</v>
      </c>
      <c r="E45" s="454" t="s">
        <v>488</v>
      </c>
    </row>
    <row r="46" spans="1:5" ht="14.25" customHeight="1" x14ac:dyDescent="0.2">
      <c r="A46" s="478" t="s">
        <v>498</v>
      </c>
      <c r="B46" s="495">
        <f>B25</f>
        <v>0.1111111111111111</v>
      </c>
      <c r="C46" s="496">
        <f>C25</f>
        <v>159.28090909090909</v>
      </c>
      <c r="D46" s="711">
        <f>D25</f>
        <v>119.46568181818181</v>
      </c>
      <c r="E46" s="712">
        <f>E25</f>
        <v>79.640454545454546</v>
      </c>
    </row>
    <row r="47" spans="1:5" ht="14.25" customHeight="1" x14ac:dyDescent="0.2">
      <c r="A47" s="478" t="s">
        <v>520</v>
      </c>
      <c r="B47" s="495">
        <f>B36</f>
        <v>0.36800000000000005</v>
      </c>
      <c r="C47" s="496">
        <f>C36</f>
        <v>586.18000000000006</v>
      </c>
      <c r="D47" s="644">
        <f>D36</f>
        <v>439.64</v>
      </c>
      <c r="E47" s="497">
        <f>E36</f>
        <v>293.07</v>
      </c>
    </row>
    <row r="48" spans="1:5" ht="14.25" customHeight="1" x14ac:dyDescent="0.2">
      <c r="A48" s="478" t="s">
        <v>511</v>
      </c>
      <c r="B48" s="495"/>
      <c r="C48" s="496">
        <f>C44</f>
        <v>481.25</v>
      </c>
      <c r="D48" s="644">
        <f>D44</f>
        <v>319.36</v>
      </c>
      <c r="E48" s="497">
        <f>E44</f>
        <v>337.28000000000003</v>
      </c>
    </row>
    <row r="49" spans="1:5" ht="14.25" customHeight="1" x14ac:dyDescent="0.2">
      <c r="A49" s="466" t="s">
        <v>496</v>
      </c>
      <c r="B49" s="467"/>
      <c r="C49" s="481">
        <f>SUM(C46:C48)</f>
        <v>1226.7109090909091</v>
      </c>
      <c r="D49" s="636">
        <f>SUM(D46:D48)</f>
        <v>878.46568181818179</v>
      </c>
      <c r="E49" s="637">
        <f>SUM(E46:E48)</f>
        <v>709.99045454545455</v>
      </c>
    </row>
    <row r="50" spans="1:5" ht="14.25" customHeight="1" x14ac:dyDescent="0.2">
      <c r="A50" s="843"/>
      <c r="B50" s="843"/>
      <c r="C50" s="843"/>
      <c r="D50" s="843"/>
      <c r="E50" s="843"/>
    </row>
    <row r="51" spans="1:5" s="498" customFormat="1" ht="14.25" customHeight="1" x14ac:dyDescent="0.2">
      <c r="A51" s="860" t="s">
        <v>521</v>
      </c>
      <c r="B51" s="860"/>
      <c r="C51" s="860"/>
      <c r="D51" s="860"/>
      <c r="E51" s="860"/>
    </row>
    <row r="52" spans="1:5" ht="14.25" customHeight="1" x14ac:dyDescent="0.2">
      <c r="A52" s="452" t="s">
        <v>522</v>
      </c>
      <c r="B52" s="453" t="s">
        <v>487</v>
      </c>
      <c r="C52" s="453" t="s">
        <v>488</v>
      </c>
      <c r="D52" s="453" t="s">
        <v>488</v>
      </c>
      <c r="E52" s="454" t="s">
        <v>488</v>
      </c>
    </row>
    <row r="53" spans="1:5" ht="14.25" customHeight="1" x14ac:dyDescent="0.2">
      <c r="A53" s="475" t="s">
        <v>523</v>
      </c>
      <c r="B53" s="499"/>
      <c r="C53" s="499"/>
      <c r="D53" s="499"/>
      <c r="E53" s="501"/>
    </row>
    <row r="54" spans="1:5" ht="14.25" customHeight="1" x14ac:dyDescent="0.2">
      <c r="A54" s="478" t="s">
        <v>524</v>
      </c>
      <c r="B54" s="495">
        <f>1/12*0.05</f>
        <v>4.1666666666666666E-3</v>
      </c>
      <c r="C54" s="502">
        <f>C19*$B54</f>
        <v>5.973136363636363</v>
      </c>
      <c r="D54" s="502">
        <f>D19*$B54</f>
        <v>4.479852272727272</v>
      </c>
      <c r="E54" s="503">
        <f>E19*$B54</f>
        <v>2.9865681818181815</v>
      </c>
    </row>
    <row r="55" spans="1:5" ht="14.25" customHeight="1" x14ac:dyDescent="0.2">
      <c r="A55" s="478" t="s">
        <v>525</v>
      </c>
      <c r="B55" s="495">
        <f>B35*B54</f>
        <v>3.3333333333333332E-4</v>
      </c>
      <c r="C55" s="502">
        <f>$B$55*C19</f>
        <v>0.47785090909090905</v>
      </c>
      <c r="D55" s="502">
        <f>$B$55*D19</f>
        <v>0.35838818181818177</v>
      </c>
      <c r="E55" s="503">
        <f>$B$55*E19</f>
        <v>0.23892545454545452</v>
      </c>
    </row>
    <row r="56" spans="1:5" ht="14.25" customHeight="1" x14ac:dyDescent="0.2">
      <c r="A56" s="478" t="s">
        <v>526</v>
      </c>
      <c r="B56" s="495">
        <v>0</v>
      </c>
      <c r="C56" s="502">
        <f>C35*$B56</f>
        <v>0</v>
      </c>
      <c r="D56" s="502">
        <f>D35*$B56</f>
        <v>0</v>
      </c>
      <c r="E56" s="503">
        <f>E35*$B56</f>
        <v>0</v>
      </c>
    </row>
    <row r="57" spans="1:5" ht="14.25" customHeight="1" x14ac:dyDescent="0.2">
      <c r="A57" s="478" t="s">
        <v>527</v>
      </c>
      <c r="B57" s="495">
        <f>1/12*1/30*7</f>
        <v>1.9444444444444441E-2</v>
      </c>
      <c r="C57" s="496">
        <f>C19*$B57</f>
        <v>27.874636363636359</v>
      </c>
      <c r="D57" s="496">
        <f>D19*$B57</f>
        <v>20.905977272727267</v>
      </c>
      <c r="E57" s="497">
        <f>E19*$B57</f>
        <v>13.937318181818179</v>
      </c>
    </row>
    <row r="58" spans="1:5" ht="14.25" customHeight="1" x14ac:dyDescent="0.2">
      <c r="A58" s="478" t="s">
        <v>528</v>
      </c>
      <c r="B58" s="495">
        <f>B36*B57</f>
        <v>7.1555555555555556E-3</v>
      </c>
      <c r="C58" s="496">
        <f>$B58*C19</f>
        <v>10.257866181818182</v>
      </c>
      <c r="D58" s="496">
        <f>$B58*D19</f>
        <v>7.693399636363635</v>
      </c>
      <c r="E58" s="497">
        <f>$B58*E19</f>
        <v>5.1289330909090909</v>
      </c>
    </row>
    <row r="59" spans="1:5" ht="14.25" customHeight="1" x14ac:dyDescent="0.2">
      <c r="A59" s="478" t="s">
        <v>529</v>
      </c>
      <c r="B59" s="495">
        <f>B35*40/100*90/100*(1+1/12+1/12+1/3*1/12)</f>
        <v>3.4399999999999993E-2</v>
      </c>
      <c r="C59" s="496">
        <f>C19*$B59</f>
        <v>49.314213818181805</v>
      </c>
      <c r="D59" s="496">
        <f>D19*$B59</f>
        <v>36.985660363636349</v>
      </c>
      <c r="E59" s="497">
        <f>E19*$B59</f>
        <v>24.657106909090903</v>
      </c>
    </row>
    <row r="60" spans="1:5" ht="14.25" customHeight="1" x14ac:dyDescent="0.2">
      <c r="A60" s="466" t="s">
        <v>496</v>
      </c>
      <c r="B60" s="480">
        <f>SUM(B54:B59)</f>
        <v>6.5499999999999989E-2</v>
      </c>
      <c r="C60" s="468">
        <f>SUM(C54:C59)</f>
        <v>93.897703636363616</v>
      </c>
      <c r="D60" s="713">
        <f>SUM(D54:D59)</f>
        <v>70.423277727272705</v>
      </c>
      <c r="E60" s="650">
        <f>SUM(E54:E59)</f>
        <v>46.948851818181808</v>
      </c>
    </row>
    <row r="61" spans="1:5" ht="14.25" customHeight="1" x14ac:dyDescent="0.2">
      <c r="A61" s="843"/>
      <c r="B61" s="843"/>
      <c r="C61" s="843"/>
      <c r="D61" s="843"/>
      <c r="E61" s="843"/>
    </row>
    <row r="62" spans="1:5" ht="14.25" customHeight="1" x14ac:dyDescent="0.2">
      <c r="A62" s="842" t="s">
        <v>530</v>
      </c>
      <c r="B62" s="842"/>
      <c r="C62" s="842"/>
      <c r="D62" s="842"/>
      <c r="E62" s="842"/>
    </row>
    <row r="63" spans="1:5" ht="14.25" customHeight="1" x14ac:dyDescent="0.2">
      <c r="A63" s="475" t="s">
        <v>43</v>
      </c>
      <c r="B63" s="476" t="s">
        <v>487</v>
      </c>
      <c r="C63" s="476" t="s">
        <v>488</v>
      </c>
      <c r="D63" s="476" t="s">
        <v>488</v>
      </c>
      <c r="E63" s="477" t="s">
        <v>488</v>
      </c>
    </row>
    <row r="64" spans="1:5" ht="14.25" customHeight="1" x14ac:dyDescent="0.2">
      <c r="A64" s="478" t="s">
        <v>44</v>
      </c>
      <c r="B64" s="479">
        <f>1/12</f>
        <v>8.3333333333333329E-2</v>
      </c>
      <c r="C64" s="651">
        <f t="shared" ref="C64:E67" si="1">$B64*(C$19+C$49+C$60)</f>
        <v>229.51344499999999</v>
      </c>
      <c r="D64" s="651">
        <f t="shared" si="1"/>
        <v>168.67112541666665</v>
      </c>
      <c r="E64" s="652">
        <f t="shared" si="1"/>
        <v>122.80963916666664</v>
      </c>
    </row>
    <row r="65" spans="1:5" ht="14.25" customHeight="1" x14ac:dyDescent="0.2">
      <c r="A65" s="478" t="s">
        <v>531</v>
      </c>
      <c r="B65" s="479">
        <f>MC!E54/30/12</f>
        <v>1.3538888888888885E-2</v>
      </c>
      <c r="C65" s="486">
        <f t="shared" si="1"/>
        <v>37.288284364333322</v>
      </c>
      <c r="D65" s="486">
        <f t="shared" si="1"/>
        <v>27.403435509361103</v>
      </c>
      <c r="E65" s="487">
        <f t="shared" si="1"/>
        <v>19.952472709944438</v>
      </c>
    </row>
    <row r="66" spans="1:5" ht="14.25" customHeight="1" x14ac:dyDescent="0.2">
      <c r="A66" s="478" t="s">
        <v>532</v>
      </c>
      <c r="B66" s="504">
        <f>(5/30)/12*MC!F56*MC!C57</f>
        <v>1.0764583333333333E-4</v>
      </c>
      <c r="C66" s="486">
        <f t="shared" si="1"/>
        <v>0.29647399257875001</v>
      </c>
      <c r="D66" s="486">
        <f t="shared" si="1"/>
        <v>0.21788092625697913</v>
      </c>
      <c r="E66" s="487">
        <f t="shared" si="1"/>
        <v>0.15863935139354166</v>
      </c>
    </row>
    <row r="67" spans="1:5" ht="14.25" customHeight="1" x14ac:dyDescent="0.2">
      <c r="A67" s="478" t="s">
        <v>533</v>
      </c>
      <c r="B67" s="504">
        <f>MC!C59/30/12</f>
        <v>2.6830555555555553E-3</v>
      </c>
      <c r="C67" s="486">
        <f t="shared" si="1"/>
        <v>7.3895678841833332</v>
      </c>
      <c r="D67" s="486">
        <f t="shared" si="1"/>
        <v>5.4306480013319431</v>
      </c>
      <c r="E67" s="487">
        <f t="shared" si="1"/>
        <v>3.9540610157027767</v>
      </c>
    </row>
    <row r="68" spans="1:5" ht="14.25" customHeight="1" x14ac:dyDescent="0.2">
      <c r="A68" s="478" t="s">
        <v>495</v>
      </c>
      <c r="B68" s="479"/>
      <c r="C68" s="486"/>
      <c r="D68" s="486"/>
      <c r="E68" s="487"/>
    </row>
    <row r="69" spans="1:5" ht="14.25" customHeight="1" x14ac:dyDescent="0.2">
      <c r="A69" s="505" t="s">
        <v>534</v>
      </c>
      <c r="B69" s="506">
        <f>SUM(B64:B68)</f>
        <v>9.9662923611111107E-2</v>
      </c>
      <c r="C69" s="507">
        <f>SUM(C64:C68)</f>
        <v>274.4877712410954</v>
      </c>
      <c r="D69" s="507">
        <f>SUM(D64:D68)</f>
        <v>201.72308985361667</v>
      </c>
      <c r="E69" s="508">
        <f>SUM(E64:E68)</f>
        <v>146.87481224370737</v>
      </c>
    </row>
    <row r="70" spans="1:5" ht="14.25" customHeight="1" x14ac:dyDescent="0.2">
      <c r="A70" s="475" t="s">
        <v>535</v>
      </c>
      <c r="B70" s="476" t="s">
        <v>487</v>
      </c>
      <c r="C70" s="476" t="s">
        <v>488</v>
      </c>
      <c r="D70" s="476" t="s">
        <v>488</v>
      </c>
      <c r="E70" s="477" t="s">
        <v>488</v>
      </c>
    </row>
    <row r="71" spans="1:5" ht="14.25" customHeight="1" x14ac:dyDescent="0.2">
      <c r="A71" s="478" t="s">
        <v>536</v>
      </c>
      <c r="B71" s="479"/>
      <c r="C71" s="486"/>
      <c r="D71" s="486"/>
      <c r="E71" s="487"/>
    </row>
    <row r="72" spans="1:5" ht="14.25" customHeight="1" x14ac:dyDescent="0.2">
      <c r="A72" s="505" t="s">
        <v>534</v>
      </c>
      <c r="B72" s="506"/>
      <c r="C72" s="507">
        <f>C71</f>
        <v>0</v>
      </c>
      <c r="D72" s="507"/>
      <c r="E72" s="508"/>
    </row>
    <row r="73" spans="1:5" ht="14.25" customHeight="1" x14ac:dyDescent="0.2">
      <c r="A73" s="475" t="s">
        <v>65</v>
      </c>
      <c r="B73" s="476" t="s">
        <v>487</v>
      </c>
      <c r="C73" s="476" t="s">
        <v>488</v>
      </c>
      <c r="D73" s="476" t="s">
        <v>488</v>
      </c>
      <c r="E73" s="477" t="s">
        <v>488</v>
      </c>
    </row>
    <row r="74" spans="1:5" ht="14.25" customHeight="1" x14ac:dyDescent="0.2">
      <c r="A74" s="478" t="s">
        <v>66</v>
      </c>
      <c r="B74" s="479">
        <f>120/30*MC!C62*MC!C63</f>
        <v>6.18624E-3</v>
      </c>
      <c r="C74" s="486">
        <f>(((C19*2)+ (C19*1/3))+(C36)+(C44-C38-C39))*$B$74</f>
        <v>24.426098694981821</v>
      </c>
      <c r="D74" s="486">
        <f>(((D19*2)+ (D19*1/3))+(D36)+(D44-D38-D39))*$B$74</f>
        <v>18.346391371636361</v>
      </c>
      <c r="E74" s="487">
        <f>(((E19*2)+ (E19*1/3))+(E36)+(E44-E38-E39))*$B$74</f>
        <v>12.266498461090908</v>
      </c>
    </row>
    <row r="75" spans="1:5" ht="14.25" customHeight="1" x14ac:dyDescent="0.2">
      <c r="A75" s="505" t="s">
        <v>496</v>
      </c>
      <c r="B75" s="506"/>
      <c r="C75" s="507"/>
      <c r="D75" s="507"/>
      <c r="E75" s="508"/>
    </row>
    <row r="76" spans="1:5" ht="14.25" customHeight="1" x14ac:dyDescent="0.2">
      <c r="A76" s="452" t="s">
        <v>537</v>
      </c>
      <c r="B76" s="453" t="s">
        <v>487</v>
      </c>
      <c r="C76" s="453" t="s">
        <v>488</v>
      </c>
      <c r="D76" s="453" t="s">
        <v>488</v>
      </c>
      <c r="E76" s="454" t="s">
        <v>488</v>
      </c>
    </row>
    <row r="77" spans="1:5" ht="14.25" customHeight="1" x14ac:dyDescent="0.2">
      <c r="A77" s="478" t="s">
        <v>43</v>
      </c>
      <c r="B77" s="495">
        <f>B69</f>
        <v>9.9662923611111107E-2</v>
      </c>
      <c r="C77" s="496">
        <f>C69</f>
        <v>274.4877712410954</v>
      </c>
      <c r="D77" s="496">
        <f>D69</f>
        <v>201.72308985361667</v>
      </c>
      <c r="E77" s="497">
        <f>E69</f>
        <v>146.87481224370737</v>
      </c>
    </row>
    <row r="78" spans="1:5" ht="14.25" customHeight="1" x14ac:dyDescent="0.2">
      <c r="A78" s="478" t="s">
        <v>535</v>
      </c>
      <c r="B78" s="495">
        <f>B72</f>
        <v>0</v>
      </c>
      <c r="C78" s="496">
        <f>C72</f>
        <v>0</v>
      </c>
      <c r="D78" s="496">
        <f>D72</f>
        <v>0</v>
      </c>
      <c r="E78" s="497">
        <f>E72</f>
        <v>0</v>
      </c>
    </row>
    <row r="79" spans="1:5" ht="14.25" customHeight="1" x14ac:dyDescent="0.2">
      <c r="A79" s="478" t="s">
        <v>65</v>
      </c>
      <c r="B79" s="495">
        <f>B74</f>
        <v>6.18624E-3</v>
      </c>
      <c r="C79" s="496">
        <f>C74</f>
        <v>24.426098694981821</v>
      </c>
      <c r="D79" s="496">
        <f>D74</f>
        <v>18.346391371636361</v>
      </c>
      <c r="E79" s="497">
        <f>E74</f>
        <v>12.266498461090908</v>
      </c>
    </row>
    <row r="80" spans="1:5" ht="14.25" customHeight="1" x14ac:dyDescent="0.2">
      <c r="A80" s="466" t="s">
        <v>496</v>
      </c>
      <c r="B80" s="467"/>
      <c r="C80" s="481">
        <f>SUM(C77:C79)</f>
        <v>298.91386993607722</v>
      </c>
      <c r="D80" s="710">
        <f>SUM(D77:D79)</f>
        <v>220.06948122525304</v>
      </c>
      <c r="E80" s="637">
        <f>SUM(E77:E79)</f>
        <v>159.14131070479829</v>
      </c>
    </row>
    <row r="81" spans="1:5" ht="14.25" customHeight="1" x14ac:dyDescent="0.2">
      <c r="A81" s="843"/>
      <c r="B81" s="843"/>
      <c r="C81" s="843"/>
      <c r="D81" s="843"/>
      <c r="E81" s="843"/>
    </row>
    <row r="82" spans="1:5" ht="14.25" customHeight="1" x14ac:dyDescent="0.2">
      <c r="A82" s="860" t="s">
        <v>538</v>
      </c>
      <c r="B82" s="860"/>
      <c r="C82" s="860"/>
      <c r="D82" s="860"/>
      <c r="E82" s="860"/>
    </row>
    <row r="83" spans="1:5" ht="14.25" customHeight="1" x14ac:dyDescent="0.2">
      <c r="A83" s="452" t="s">
        <v>539</v>
      </c>
      <c r="B83" s="453" t="s">
        <v>512</v>
      </c>
      <c r="C83" s="453" t="s">
        <v>488</v>
      </c>
      <c r="D83" s="453" t="s">
        <v>488</v>
      </c>
      <c r="E83" s="454" t="s">
        <v>488</v>
      </c>
    </row>
    <row r="84" spans="1:5" ht="14.25" customHeight="1" x14ac:dyDescent="0.2">
      <c r="A84" s="478" t="s">
        <v>541</v>
      </c>
      <c r="B84" s="656">
        <f>Insumos!K126</f>
        <v>0</v>
      </c>
      <c r="C84" s="714">
        <f>Insumos!$J119</f>
        <v>34.030416666666667</v>
      </c>
      <c r="D84" s="714">
        <f>Insumos!$J119</f>
        <v>34.030416666666667</v>
      </c>
      <c r="E84" s="634">
        <f>Insumos!$J119</f>
        <v>34.030416666666667</v>
      </c>
    </row>
    <row r="85" spans="1:5" ht="14.25" customHeight="1" x14ac:dyDescent="0.2">
      <c r="A85" s="515" t="s">
        <v>542</v>
      </c>
      <c r="B85" s="656">
        <f>Insumos!K71</f>
        <v>0</v>
      </c>
      <c r="C85" s="457">
        <f>Insumos!$G70</f>
        <v>247.1166666666667</v>
      </c>
      <c r="D85" s="457">
        <f>Insumos!$G70</f>
        <v>247.1166666666667</v>
      </c>
      <c r="E85" s="459">
        <f>Insumos!$G70</f>
        <v>247.1166666666667</v>
      </c>
    </row>
    <row r="86" spans="1:5" ht="14.25" customHeight="1" x14ac:dyDescent="0.2">
      <c r="A86" s="515" t="s">
        <v>543</v>
      </c>
      <c r="B86" s="657">
        <v>0</v>
      </c>
      <c r="C86" s="461" t="s">
        <v>112</v>
      </c>
      <c r="D86" s="461" t="s">
        <v>112</v>
      </c>
      <c r="E86" s="462" t="s">
        <v>112</v>
      </c>
    </row>
    <row r="87" spans="1:5" ht="14.25" customHeight="1" x14ac:dyDescent="0.2">
      <c r="A87" s="515" t="s">
        <v>544</v>
      </c>
      <c r="B87" s="658">
        <f>Insumos!K144</f>
        <v>0</v>
      </c>
      <c r="C87" s="457">
        <f>Insumos!$I123</f>
        <v>142.21333333333334</v>
      </c>
      <c r="D87" s="457">
        <f>Insumos!$H123</f>
        <v>122.52333333333333</v>
      </c>
      <c r="E87" s="459">
        <f>Insumos!$H123</f>
        <v>122.52333333333333</v>
      </c>
    </row>
    <row r="88" spans="1:5" ht="14.25" customHeight="1" x14ac:dyDescent="0.2">
      <c r="A88" s="505" t="s">
        <v>496</v>
      </c>
      <c r="B88" s="522"/>
      <c r="C88" s="507">
        <f>SUM(C84:C87)</f>
        <v>423.36041666666677</v>
      </c>
      <c r="D88" s="653">
        <f>SUM(D84:D87)</f>
        <v>403.67041666666671</v>
      </c>
      <c r="E88" s="654">
        <f>SUM(E84:E87)</f>
        <v>403.67041666666671</v>
      </c>
    </row>
    <row r="89" spans="1:5" ht="14.25" customHeight="1" x14ac:dyDescent="0.2">
      <c r="A89" s="843"/>
      <c r="B89" s="843"/>
      <c r="C89" s="843"/>
      <c r="D89" s="843"/>
      <c r="E89" s="843"/>
    </row>
    <row r="90" spans="1:5" ht="14.25" customHeight="1" x14ac:dyDescent="0.2">
      <c r="A90" s="860" t="s">
        <v>548</v>
      </c>
      <c r="B90" s="860"/>
      <c r="C90" s="860"/>
      <c r="D90" s="860"/>
      <c r="E90" s="860"/>
    </row>
    <row r="91" spans="1:5" ht="14.25" customHeight="1" x14ac:dyDescent="0.2">
      <c r="A91" s="452" t="s">
        <v>549</v>
      </c>
      <c r="B91" s="453" t="s">
        <v>487</v>
      </c>
      <c r="C91" s="453" t="s">
        <v>488</v>
      </c>
      <c r="D91" s="453" t="s">
        <v>488</v>
      </c>
      <c r="E91" s="454" t="s">
        <v>488</v>
      </c>
    </row>
    <row r="92" spans="1:5" ht="14.25" customHeight="1" x14ac:dyDescent="0.2">
      <c r="A92" s="455" t="s">
        <v>71</v>
      </c>
      <c r="B92" s="479">
        <v>0.03</v>
      </c>
      <c r="C92" s="486">
        <f>($C$19+$C$49+$C$60+$C$80+$C$88)*$B$92</f>
        <v>104.29306879808233</v>
      </c>
      <c r="D92" s="486">
        <f>(D$19+D$49+D$60+D$80+D$88)*$B$92</f>
        <v>79.433802086757595</v>
      </c>
      <c r="E92" s="487">
        <f>(E$19+E$49+E$60+E$80+E$88)*$B$92</f>
        <v>61.095821921143937</v>
      </c>
    </row>
    <row r="93" spans="1:5" ht="14.25" customHeight="1" x14ac:dyDescent="0.2">
      <c r="A93" s="455" t="s">
        <v>72</v>
      </c>
      <c r="B93" s="479">
        <v>6.7900000000000002E-2</v>
      </c>
      <c r="C93" s="486">
        <f>($C$19+$C$49+$C$60+$C$80+$C$88+C92)*B93</f>
        <v>243.13147841771615</v>
      </c>
      <c r="D93" s="486">
        <f>(D$19+D$49+D$60+D$80+D$88+D$92)*$B$93</f>
        <v>185.17872721805222</v>
      </c>
      <c r="E93" s="487">
        <f>(E$19+E$49+E$60+E$80+E$88+E$92)*$B$93</f>
        <v>142.42861658996813</v>
      </c>
    </row>
    <row r="94" spans="1:5" ht="14.25" customHeight="1" x14ac:dyDescent="0.2">
      <c r="A94" s="526" t="s">
        <v>550</v>
      </c>
      <c r="B94" s="527">
        <f>B95+B96</f>
        <v>0.1125</v>
      </c>
      <c r="C94" s="528">
        <f>((C19+C49+C60+C80+C88+C92+C93)/(1-($B$94)))*$B$94</f>
        <v>484.71466992066047</v>
      </c>
      <c r="D94" s="528">
        <f>((D19+D49+D60+D80+D88+D92+D93)/(1-($B$94)))*$B$94</f>
        <v>369.17821675733194</v>
      </c>
      <c r="E94" s="529">
        <f>((E19+E49+E60+E80+E88+E92+E93)/(1-($B$94)))*$B$94</f>
        <v>283.95023271750978</v>
      </c>
    </row>
    <row r="95" spans="1:5" ht="14.25" customHeight="1" x14ac:dyDescent="0.2">
      <c r="A95" s="455" t="s">
        <v>551</v>
      </c>
      <c r="B95" s="479">
        <f>0.0165+0.076</f>
        <v>9.2499999999999999E-2</v>
      </c>
      <c r="C95" s="535">
        <f>((C$19+C$49+C$60+C$80+C$88+C$92+C$93)/(1-($B$94)))*$B$95</f>
        <v>398.54317304587636</v>
      </c>
      <c r="D95" s="535">
        <f>((D$19+D$49+D$60+D$80+D$88+D$92+D$93)/(1-($B$94)))*$B$95</f>
        <v>303.5465337782507</v>
      </c>
      <c r="E95" s="536">
        <f>((E$19+E$49+E$60+E$80+E$88+E$92+E$93)/(1-($B$94)))*$B$95</f>
        <v>233.47019134550803</v>
      </c>
    </row>
    <row r="96" spans="1:5" ht="14.25" customHeight="1" x14ac:dyDescent="0.2">
      <c r="A96" s="455" t="s">
        <v>552</v>
      </c>
      <c r="B96" s="479">
        <v>0.02</v>
      </c>
      <c r="C96" s="535">
        <f>((C$19+C$49+C$60+C$80+C$88+C$92+C$93)/(1-($B$94)))*$B$96</f>
        <v>86.171496874784083</v>
      </c>
      <c r="D96" s="535">
        <f>((D$19+D$49+D$60+D$80+D$88+D$92+D$93)/(1-($B$94)))*$B$96</f>
        <v>65.631682979081233</v>
      </c>
      <c r="E96" s="536">
        <f>((E$19+E$49+E$60+E$80+E$88+E$92+E$93)/(1-($B$94)))*$B$96</f>
        <v>50.480041372001736</v>
      </c>
    </row>
    <row r="97" spans="1:6" ht="14.25" customHeight="1" x14ac:dyDescent="0.2">
      <c r="A97" s="526" t="s">
        <v>553</v>
      </c>
      <c r="B97" s="527">
        <f>B98+B99</f>
        <v>0.11749999999999999</v>
      </c>
      <c r="C97" s="528">
        <f>((C19+C49+C60+C80+C88+C92+C93)/(1-($B$97)))*$B$97</f>
        <v>509.12585883702974</v>
      </c>
      <c r="D97" s="528">
        <f>((D19+D49+D60+D80+D88+D92+D93)/(1-($B$97)))*$B$97</f>
        <v>387.77076151061266</v>
      </c>
      <c r="E97" s="529">
        <f>((E19+E49+E60+E80+E88+E92+E93)/(1-($B$97)))*$B$97</f>
        <v>298.25052772374244</v>
      </c>
    </row>
    <row r="98" spans="1:6" ht="14.25" customHeight="1" x14ac:dyDescent="0.2">
      <c r="A98" s="455" t="s">
        <v>551</v>
      </c>
      <c r="B98" s="479">
        <f>0.0165+0.076</f>
        <v>9.2499999999999999E-2</v>
      </c>
      <c r="C98" s="530">
        <f>((C19+C49+C60+C80+C88+C92+C93)/(1-($B$97)))*$B$98</f>
        <v>400.80120802064044</v>
      </c>
      <c r="D98" s="530">
        <f>((D19+D49+D60+D80+D88+D92+D93)/(1-($B$97)))*$B$98</f>
        <v>305.26634416792916</v>
      </c>
      <c r="E98" s="531">
        <f>((E19+E49+E60+E80+E88+E92+E93)/(1-($B$97)))*$B$98</f>
        <v>234.79296863358451</v>
      </c>
    </row>
    <row r="99" spans="1:6" ht="14.25" customHeight="1" x14ac:dyDescent="0.2">
      <c r="A99" s="455" t="s">
        <v>552</v>
      </c>
      <c r="B99" s="479">
        <v>2.5000000000000001E-2</v>
      </c>
      <c r="C99" s="530">
        <f>((C$19+C$49+C$60+C$80+C$88+C$92+C$93)/(1-($B$97)))*$B$99</f>
        <v>108.32465081638932</v>
      </c>
      <c r="D99" s="530">
        <f>((D$19+D$49+D$60+D$80+D$88+D$92+D$93)/(1-($B$97)))*$B$99</f>
        <v>82.504417342683553</v>
      </c>
      <c r="E99" s="531">
        <f>((E$19+E$49+E$60+E$80+E$88+E$92+E$93)/(1-($B$97)))*$B$99</f>
        <v>63.457559090157979</v>
      </c>
    </row>
    <row r="100" spans="1:6" ht="14.25" customHeight="1" x14ac:dyDescent="0.2">
      <c r="A100" s="526" t="s">
        <v>554</v>
      </c>
      <c r="B100" s="527">
        <f>B101+B102</f>
        <v>0.1225</v>
      </c>
      <c r="C100" s="528">
        <f>((C19+C49+C60+C80+C88+C92+C93)/(1-($B$100)))*$B$100</f>
        <v>533.81523794048042</v>
      </c>
      <c r="D100" s="528">
        <f>((D19+D49+D60+D80+D88+D92+D93)/(1-($B$100)))*$B$100</f>
        <v>406.5751871157828</v>
      </c>
      <c r="E100" s="529">
        <f>((E19+E49+E60+E80+E88+E92+E93)/(1-($B$100)))*$B$100</f>
        <v>312.71378905483266</v>
      </c>
    </row>
    <row r="101" spans="1:6" ht="14.25" customHeight="1" x14ac:dyDescent="0.2">
      <c r="A101" s="455" t="s">
        <v>551</v>
      </c>
      <c r="B101" s="479">
        <f>0.0165+0.076</f>
        <v>9.2499999999999999E-2</v>
      </c>
      <c r="C101" s="530">
        <f>((C19+C49+C60+C80+C88+C92+C93)/(1-($B$100)))*$B$101</f>
        <v>403.08497558770966</v>
      </c>
      <c r="D101" s="530">
        <f>((D19+D49+D60+D80+D88+D92+D93)/(1-($B$100)))*$B$101</f>
        <v>307.00575353640744</v>
      </c>
      <c r="E101" s="531">
        <f>((E19+E49+E60+E80+E88+E92+E93)/(1-($B$100)))*$B$101</f>
        <v>236.13082030671038</v>
      </c>
    </row>
    <row r="102" spans="1:6" ht="14.25" customHeight="1" x14ac:dyDescent="0.2">
      <c r="A102" s="455" t="s">
        <v>552</v>
      </c>
      <c r="B102" s="479">
        <v>0.03</v>
      </c>
      <c r="C102" s="530">
        <f>((C19+C49+C60+C80+C88+C92+C93)/(1-($B$100)))*$B$102</f>
        <v>130.73026235277069</v>
      </c>
      <c r="D102" s="530">
        <f>((D19+D49+D60+D80+D88+D92+D93)/(1-($B$100)))*$B$102</f>
        <v>99.569433579375385</v>
      </c>
      <c r="E102" s="531">
        <f>((E19+E49+E60+E80+E88+E92+E93)/(1-($B$100)))*$B$102</f>
        <v>76.582968748122283</v>
      </c>
      <c r="F102" s="534"/>
    </row>
    <row r="103" spans="1:6" ht="14.25" customHeight="1" x14ac:dyDescent="0.2">
      <c r="A103" s="526" t="s">
        <v>624</v>
      </c>
      <c r="B103" s="527">
        <f>B104+B105</f>
        <v>0.1275</v>
      </c>
      <c r="C103" s="528">
        <f>((C19+C49+C60+C80+C88+C92+C93)/(1-($B$103)))*$B$103</f>
        <v>558.78758987033143</v>
      </c>
      <c r="D103" s="528">
        <f>((D19+D49+D60+D80+D88+D92+D93)/(1-($B$103)))*$B$103</f>
        <v>425.59513622359083</v>
      </c>
      <c r="E103" s="529">
        <f>((E19+E49+E60+E80+E88+E92+E93)/(1-($B$103)))*$B$103</f>
        <v>327.34281842410144</v>
      </c>
      <c r="F103" s="534"/>
    </row>
    <row r="104" spans="1:6" ht="14.25" customHeight="1" x14ac:dyDescent="0.2">
      <c r="A104" s="455" t="s">
        <v>551</v>
      </c>
      <c r="B104" s="479">
        <f>0.0165+0.076</f>
        <v>9.2499999999999999E-2</v>
      </c>
      <c r="C104" s="530">
        <f>((C19+C49+C60+C80+C88+C92+C93)/(1-($B$103)))*$B$104</f>
        <v>405.39491814122084</v>
      </c>
      <c r="D104" s="530">
        <f>((D19+D49+D60+D80+D88+D92+D93)/(1-($B$103)))*$B$104</f>
        <v>308.76509882887962</v>
      </c>
      <c r="E104" s="531">
        <f>((E19+E49+E60+E80+E88+E92+E93)/(1-($B$103)))*$B$104</f>
        <v>237.48400552336767</v>
      </c>
      <c r="F104" s="534"/>
    </row>
    <row r="105" spans="1:6" ht="14.25" customHeight="1" x14ac:dyDescent="0.2">
      <c r="A105" s="455" t="s">
        <v>552</v>
      </c>
      <c r="B105" s="479">
        <v>3.5000000000000003E-2</v>
      </c>
      <c r="C105" s="530">
        <f>((C19+C49+C60+C80+C88+C92+C93)/(1-($B$103)))*$B$105</f>
        <v>153.39267172911062</v>
      </c>
      <c r="D105" s="530">
        <f>((D19+D49+D60+D80+D88+D92+D93)/(1-($B$103)))*$B$105</f>
        <v>116.83003739471123</v>
      </c>
      <c r="E105" s="531">
        <f>((E19+E49+E60+E80+E88+E92+E93)/(1-($B$103)))*$B$105</f>
        <v>89.858812900733724</v>
      </c>
      <c r="F105" s="534"/>
    </row>
    <row r="106" spans="1:6" ht="14.25" customHeight="1" x14ac:dyDescent="0.2">
      <c r="A106" s="526" t="s">
        <v>555</v>
      </c>
      <c r="B106" s="527">
        <f>B107+B108</f>
        <v>0.13250000000000001</v>
      </c>
      <c r="C106" s="528">
        <f>((C19+C49+C60+C80+C88+C92+C93)/(1-($B$106)))*$B$106</f>
        <v>584.0478075284808</v>
      </c>
      <c r="D106" s="528">
        <f>((D19+D49+D60+D80+D88+D92+D93)/(1-($B$106)))*$B$106</f>
        <v>444.83433546520666</v>
      </c>
      <c r="E106" s="529">
        <f>((E19+E49+E60+E80+E88+E92+E93)/(1-($B$106)))*$B$106</f>
        <v>342.14048213768467</v>
      </c>
    </row>
    <row r="107" spans="1:6" ht="14.25" customHeight="1" x14ac:dyDescent="0.2">
      <c r="A107" s="455" t="s">
        <v>551</v>
      </c>
      <c r="B107" s="479">
        <f>0.0165+0.076</f>
        <v>9.2499999999999999E-2</v>
      </c>
      <c r="C107" s="530">
        <f>((C19+C49+C60+C80+C88+C92+C93)/(1-($B$106)))*$B$107</f>
        <v>407.73148827459977</v>
      </c>
      <c r="D107" s="530">
        <f>((D19+D49+D60+D80+D88+D92+D93)/(1-($B$106)))*$B$107</f>
        <v>310.54472475872916</v>
      </c>
      <c r="E107" s="531">
        <f>((E19+E49+E60+E80+E88+E92+E93)/(1-($B$106)))*$B$107</f>
        <v>238.8527894168742</v>
      </c>
    </row>
    <row r="108" spans="1:6" ht="14.25" customHeight="1" x14ac:dyDescent="0.2">
      <c r="A108" s="455" t="s">
        <v>552</v>
      </c>
      <c r="B108" s="479">
        <v>0.04</v>
      </c>
      <c r="C108" s="530">
        <f>((C19+C49+C60+C80+C88+C92+C93)/(1-($B$106)))*$B$108</f>
        <v>176.31631925388098</v>
      </c>
      <c r="D108" s="530">
        <f>((D19+D49+D60+D80+D88+D92+D93)/(1-($B$106)))*$B$108</f>
        <v>134.28961070647748</v>
      </c>
      <c r="E108" s="531">
        <f>((E19+E49+E60+E80+E88+E92+E93)/(1-($B$106)))*$B$108</f>
        <v>103.28769272081047</v>
      </c>
    </row>
    <row r="109" spans="1:6" ht="14.25" customHeight="1" x14ac:dyDescent="0.2">
      <c r="A109" s="526" t="s">
        <v>556</v>
      </c>
      <c r="B109" s="527">
        <f>B110+B111</f>
        <v>0.14250000000000002</v>
      </c>
      <c r="C109" s="528">
        <f>((C19+C49+C60+C80+C88+C92+C93)/(1-($B$109)))*$B$109</f>
        <v>635.4519822380671</v>
      </c>
      <c r="D109" s="528">
        <f>((D19+D49+D60+D80+D88+D92+D93)/(1-($B$109)))*$B$109</f>
        <v>483.98582546709514</v>
      </c>
      <c r="E109" s="529">
        <f>((E19+E49+E60+E80+E88+E92+E93)/(1-($B$109)))*$B$109</f>
        <v>372.25351208544288</v>
      </c>
    </row>
    <row r="110" spans="1:6" ht="14.25" customHeight="1" x14ac:dyDescent="0.2">
      <c r="A110" s="455" t="s">
        <v>551</v>
      </c>
      <c r="B110" s="479">
        <f>0.0165+0.076</f>
        <v>9.2499999999999999E-2</v>
      </c>
      <c r="C110" s="535">
        <f>((C19+C49+C60+C80+C88+C92+C93)/(1-($B$109)))*$B$110</f>
        <v>412.48637443523648</v>
      </c>
      <c r="D110" s="535">
        <f>((D19+D49+D60+D80+D88+D92+D93)/(1-($B$109)))*$B$110</f>
        <v>314.16623758390381</v>
      </c>
      <c r="E110" s="536">
        <f>((E19+E49+E60+E80+E88+E92+E93)/(1-($B$109)))*$B$110</f>
        <v>241.63824468704183</v>
      </c>
    </row>
    <row r="111" spans="1:6" ht="14.25" customHeight="1" x14ac:dyDescent="0.2">
      <c r="A111" s="455" t="s">
        <v>552</v>
      </c>
      <c r="B111" s="537">
        <v>0.05</v>
      </c>
      <c r="C111" s="538">
        <f>((C19+C49+C60+C80+C88+C92+C93)/(1-($B$109)))*$B$111</f>
        <v>222.96560780283053</v>
      </c>
      <c r="D111" s="715">
        <f>((D19+D49+D60+D80+D88+D92+D93)/(1-($B$109)))*$B$111</f>
        <v>169.81958788319128</v>
      </c>
      <c r="E111" s="663">
        <f>((E19+E49+E60+E80+E88+E92+E93)/(1-($B$109)))*$B$111</f>
        <v>130.61526739840099</v>
      </c>
    </row>
    <row r="112" spans="1:6" ht="14.25" customHeight="1" x14ac:dyDescent="0.2">
      <c r="A112" s="838" t="s">
        <v>557</v>
      </c>
      <c r="B112" s="716">
        <v>0.02</v>
      </c>
      <c r="C112" s="541">
        <f>C92+C93+C94</f>
        <v>832.13921713645891</v>
      </c>
      <c r="D112" s="541">
        <f>D92+D93+D94</f>
        <v>633.79074606214181</v>
      </c>
      <c r="E112" s="542">
        <f>E92+E93+E94</f>
        <v>487.47467122862184</v>
      </c>
    </row>
    <row r="113" spans="1:6" ht="14.25" customHeight="1" x14ac:dyDescent="0.2">
      <c r="A113" s="838"/>
      <c r="B113" s="717">
        <v>2.5000000000000001E-2</v>
      </c>
      <c r="C113" s="544">
        <f>C92+C93+C97</f>
        <v>856.55040605282829</v>
      </c>
      <c r="D113" s="544">
        <f>D92+D93+D97</f>
        <v>652.38329081542247</v>
      </c>
      <c r="E113" s="545">
        <f>E92+E93+E97</f>
        <v>501.7749662348545</v>
      </c>
    </row>
    <row r="114" spans="1:6" ht="14.25" customHeight="1" x14ac:dyDescent="0.2">
      <c r="A114" s="838"/>
      <c r="B114" s="717">
        <v>0.03</v>
      </c>
      <c r="C114" s="544">
        <f>C92+C93+C100</f>
        <v>881.23978515627891</v>
      </c>
      <c r="D114" s="544">
        <f>D92+D93+D100</f>
        <v>671.18771642059255</v>
      </c>
      <c r="E114" s="545">
        <f>E92+E93+E100</f>
        <v>516.23822756594473</v>
      </c>
      <c r="F114" s="534"/>
    </row>
    <row r="115" spans="1:6" ht="14.25" customHeight="1" x14ac:dyDescent="0.2">
      <c r="A115" s="838"/>
      <c r="B115" s="717">
        <v>3.5000000000000003E-2</v>
      </c>
      <c r="C115" s="544">
        <f>C92+C93+C103</f>
        <v>906.21213708612993</v>
      </c>
      <c r="D115" s="544">
        <f>D92+D93+D103</f>
        <v>690.20766552840064</v>
      </c>
      <c r="E115" s="545">
        <f>E92+E93+E103</f>
        <v>530.8672569352135</v>
      </c>
      <c r="F115" s="534"/>
    </row>
    <row r="116" spans="1:6" ht="14.25" customHeight="1" x14ac:dyDescent="0.2">
      <c r="A116" s="838"/>
      <c r="B116" s="717">
        <v>0.04</v>
      </c>
      <c r="C116" s="544">
        <f>C92+C93+C106</f>
        <v>931.4723547442793</v>
      </c>
      <c r="D116" s="544">
        <f>D92+D93+D106</f>
        <v>709.44686477001642</v>
      </c>
      <c r="E116" s="545">
        <f>E92+E93+E106</f>
        <v>545.66492064879674</v>
      </c>
    </row>
    <row r="117" spans="1:6" ht="14.25" customHeight="1" x14ac:dyDescent="0.2">
      <c r="A117" s="838"/>
      <c r="B117" s="718">
        <v>0.05</v>
      </c>
      <c r="C117" s="547">
        <f>C92+C93+C109</f>
        <v>982.8765294538656</v>
      </c>
      <c r="D117" s="547">
        <f>D92+D93+D109</f>
        <v>748.59835477190495</v>
      </c>
      <c r="E117" s="548">
        <f>E92+E93+E109</f>
        <v>575.777950596555</v>
      </c>
    </row>
    <row r="118" spans="1:6" ht="7.5" customHeight="1" x14ac:dyDescent="0.2">
      <c r="A118" s="839"/>
      <c r="B118" s="839"/>
      <c r="C118" s="839"/>
      <c r="D118" s="839"/>
      <c r="E118" s="839"/>
    </row>
    <row r="119" spans="1:6" ht="7.5" customHeight="1" x14ac:dyDescent="0.2">
      <c r="A119" s="846"/>
      <c r="B119" s="846"/>
      <c r="C119" s="846"/>
      <c r="D119" s="846"/>
      <c r="E119" s="846"/>
    </row>
    <row r="120" spans="1:6" ht="54.75" customHeight="1" x14ac:dyDescent="0.2">
      <c r="A120" s="841" t="s">
        <v>559</v>
      </c>
      <c r="B120" s="841"/>
      <c r="C120" s="558" t="str">
        <f>C10</f>
        <v>Servente 40h
COVID</v>
      </c>
      <c r="D120" s="558" t="str">
        <f>D10</f>
        <v>Servente 30h
COVID</v>
      </c>
      <c r="E120" s="560" t="str">
        <f>E10</f>
        <v>Servente 20h
COVID</v>
      </c>
    </row>
    <row r="121" spans="1:6" ht="15.75" customHeight="1" x14ac:dyDescent="0.2">
      <c r="A121" s="835" t="s">
        <v>560</v>
      </c>
      <c r="B121" s="835"/>
      <c r="C121" s="561" t="s">
        <v>488</v>
      </c>
      <c r="D121" s="719" t="s">
        <v>488</v>
      </c>
      <c r="E121" s="669" t="s">
        <v>488</v>
      </c>
    </row>
    <row r="122" spans="1:6" ht="14.25" customHeight="1" x14ac:dyDescent="0.2">
      <c r="A122" s="836" t="s">
        <v>561</v>
      </c>
      <c r="B122" s="836"/>
      <c r="C122" s="563">
        <f>C19</f>
        <v>1433.5527272727272</v>
      </c>
      <c r="D122" s="563">
        <f>D19</f>
        <v>1075.1645454545453</v>
      </c>
      <c r="E122" s="564">
        <f>E19</f>
        <v>716.77636363636361</v>
      </c>
    </row>
    <row r="123" spans="1:6" ht="14.25" customHeight="1" x14ac:dyDescent="0.2">
      <c r="A123" s="832" t="s">
        <v>562</v>
      </c>
      <c r="B123" s="832"/>
      <c r="C123" s="565">
        <f>C49</f>
        <v>1226.7109090909091</v>
      </c>
      <c r="D123" s="565">
        <f>D49</f>
        <v>878.46568181818179</v>
      </c>
      <c r="E123" s="566">
        <f>E49</f>
        <v>709.99045454545455</v>
      </c>
    </row>
    <row r="124" spans="1:6" ht="14.25" customHeight="1" x14ac:dyDescent="0.2">
      <c r="A124" s="832" t="s">
        <v>563</v>
      </c>
      <c r="B124" s="832"/>
      <c r="C124" s="565">
        <f>C60</f>
        <v>93.897703636363616</v>
      </c>
      <c r="D124" s="565">
        <f>D60</f>
        <v>70.423277727272705</v>
      </c>
      <c r="E124" s="566">
        <f>E60</f>
        <v>46.948851818181808</v>
      </c>
    </row>
    <row r="125" spans="1:6" ht="14.25" customHeight="1" x14ac:dyDescent="0.2">
      <c r="A125" s="832" t="s">
        <v>564</v>
      </c>
      <c r="B125" s="832"/>
      <c r="C125" s="565">
        <f>C80</f>
        <v>298.91386993607722</v>
      </c>
      <c r="D125" s="565">
        <f>D80</f>
        <v>220.06948122525304</v>
      </c>
      <c r="E125" s="566">
        <f>E80</f>
        <v>159.14131070479829</v>
      </c>
    </row>
    <row r="126" spans="1:6" ht="15.75" customHeight="1" x14ac:dyDescent="0.2">
      <c r="A126" s="832" t="s">
        <v>565</v>
      </c>
      <c r="B126" s="832"/>
      <c r="C126" s="565">
        <f>C88</f>
        <v>423.36041666666677</v>
      </c>
      <c r="D126" s="565">
        <f>D88</f>
        <v>403.67041666666671</v>
      </c>
      <c r="E126" s="566">
        <f>E88</f>
        <v>403.67041666666671</v>
      </c>
    </row>
    <row r="127" spans="1:6" ht="15.75" customHeight="1" x14ac:dyDescent="0.2">
      <c r="A127" s="834" t="s">
        <v>566</v>
      </c>
      <c r="B127" s="834"/>
      <c r="C127" s="567">
        <f>SUM(C122:C126)</f>
        <v>3476.4356266027444</v>
      </c>
      <c r="D127" s="567">
        <f>SUM(D122:D126)</f>
        <v>2647.7934028919199</v>
      </c>
      <c r="E127" s="569">
        <f>SUM(E122:E126)</f>
        <v>2036.5273973714648</v>
      </c>
    </row>
    <row r="128" spans="1:6" ht="15.75" customHeight="1" x14ac:dyDescent="0.2">
      <c r="A128" s="832" t="s">
        <v>567</v>
      </c>
      <c r="B128" s="832"/>
      <c r="C128" s="567">
        <f t="shared" ref="C128:E133" si="2">C112</f>
        <v>832.13921713645891</v>
      </c>
      <c r="D128" s="567">
        <f t="shared" si="2"/>
        <v>633.79074606214181</v>
      </c>
      <c r="E128" s="569">
        <f t="shared" si="2"/>
        <v>487.47467122862184</v>
      </c>
    </row>
    <row r="129" spans="1:5" ht="15.75" customHeight="1" x14ac:dyDescent="0.2">
      <c r="A129" s="832" t="s">
        <v>568</v>
      </c>
      <c r="B129" s="832"/>
      <c r="C129" s="720">
        <f t="shared" si="2"/>
        <v>856.55040605282829</v>
      </c>
      <c r="D129" s="567">
        <f t="shared" si="2"/>
        <v>652.38329081542247</v>
      </c>
      <c r="E129" s="569">
        <f t="shared" si="2"/>
        <v>501.7749662348545</v>
      </c>
    </row>
    <row r="130" spans="1:5" ht="15.75" customHeight="1" x14ac:dyDescent="0.2">
      <c r="A130" s="832" t="s">
        <v>569</v>
      </c>
      <c r="B130" s="832"/>
      <c r="C130" s="720">
        <f t="shared" si="2"/>
        <v>881.23978515627891</v>
      </c>
      <c r="D130" s="567">
        <f t="shared" si="2"/>
        <v>671.18771642059255</v>
      </c>
      <c r="E130" s="569">
        <f t="shared" si="2"/>
        <v>516.23822756594473</v>
      </c>
    </row>
    <row r="131" spans="1:5" ht="15.75" customHeight="1" x14ac:dyDescent="0.2">
      <c r="A131" s="832" t="s">
        <v>625</v>
      </c>
      <c r="B131" s="832"/>
      <c r="C131" s="720">
        <f t="shared" si="2"/>
        <v>906.21213708612993</v>
      </c>
      <c r="D131" s="567">
        <f t="shared" si="2"/>
        <v>690.20766552840064</v>
      </c>
      <c r="E131" s="569">
        <f t="shared" si="2"/>
        <v>530.8672569352135</v>
      </c>
    </row>
    <row r="132" spans="1:5" ht="15.75" customHeight="1" x14ac:dyDescent="0.2">
      <c r="A132" s="832" t="s">
        <v>570</v>
      </c>
      <c r="B132" s="832"/>
      <c r="C132" s="720">
        <f t="shared" si="2"/>
        <v>931.4723547442793</v>
      </c>
      <c r="D132" s="567">
        <f t="shared" si="2"/>
        <v>709.44686477001642</v>
      </c>
      <c r="E132" s="569">
        <f t="shared" si="2"/>
        <v>545.66492064879674</v>
      </c>
    </row>
    <row r="133" spans="1:5" ht="15.75" customHeight="1" x14ac:dyDescent="0.2">
      <c r="A133" s="859" t="s">
        <v>571</v>
      </c>
      <c r="B133" s="859"/>
      <c r="C133" s="572">
        <f t="shared" si="2"/>
        <v>982.8765294538656</v>
      </c>
      <c r="D133" s="721">
        <f t="shared" si="2"/>
        <v>748.59835477190495</v>
      </c>
      <c r="E133" s="674">
        <f t="shared" si="2"/>
        <v>575.777950596555</v>
      </c>
    </row>
    <row r="134" spans="1:5" ht="15.75" customHeight="1" x14ac:dyDescent="0.2">
      <c r="A134" s="574" t="s">
        <v>572</v>
      </c>
      <c r="B134" s="575"/>
      <c r="C134" s="576">
        <f>C127+C128</f>
        <v>4308.5748437392031</v>
      </c>
      <c r="D134" s="576">
        <f>D127+D128</f>
        <v>3281.5841489540617</v>
      </c>
      <c r="E134" s="577">
        <f>E127+E128</f>
        <v>2524.0020686000867</v>
      </c>
    </row>
    <row r="135" spans="1:5" ht="15.75" customHeight="1" x14ac:dyDescent="0.2">
      <c r="A135" s="578" t="s">
        <v>573</v>
      </c>
      <c r="B135" s="579"/>
      <c r="C135" s="580">
        <f>C127+C129</f>
        <v>4332.9860326555727</v>
      </c>
      <c r="D135" s="580">
        <f>D127+D129</f>
        <v>3300.1766937073426</v>
      </c>
      <c r="E135" s="581">
        <f>E127+E129</f>
        <v>2538.3023636063194</v>
      </c>
    </row>
    <row r="136" spans="1:5" ht="15.75" customHeight="1" x14ac:dyDescent="0.2">
      <c r="A136" s="578" t="s">
        <v>574</v>
      </c>
      <c r="B136" s="579"/>
      <c r="C136" s="580">
        <f>C127+C130</f>
        <v>4357.6754117590235</v>
      </c>
      <c r="D136" s="580">
        <f>D127+D130</f>
        <v>3318.9811193125124</v>
      </c>
      <c r="E136" s="581">
        <f>E127+E130</f>
        <v>2552.7656249374095</v>
      </c>
    </row>
    <row r="137" spans="1:5" ht="15.75" customHeight="1" x14ac:dyDescent="0.2">
      <c r="A137" s="578" t="s">
        <v>626</v>
      </c>
      <c r="B137" s="579"/>
      <c r="C137" s="580">
        <f>C127+C131</f>
        <v>4382.647763688874</v>
      </c>
      <c r="D137" s="580">
        <f>D127+D131</f>
        <v>3338.0010684203207</v>
      </c>
      <c r="E137" s="581">
        <f>E127+E131</f>
        <v>2567.3946543066781</v>
      </c>
    </row>
    <row r="138" spans="1:5" ht="15.75" customHeight="1" x14ac:dyDescent="0.2">
      <c r="A138" s="578" t="s">
        <v>575</v>
      </c>
      <c r="B138" s="579"/>
      <c r="C138" s="580">
        <f>C127+C132</f>
        <v>4407.9079813470235</v>
      </c>
      <c r="D138" s="580">
        <f>D127+D132</f>
        <v>3357.2402676619363</v>
      </c>
      <c r="E138" s="581">
        <f>E127+E132</f>
        <v>2582.1923180202616</v>
      </c>
    </row>
    <row r="139" spans="1:5" ht="15.75" customHeight="1" x14ac:dyDescent="0.2">
      <c r="A139" s="578" t="s">
        <v>576</v>
      </c>
      <c r="B139" s="579"/>
      <c r="C139" s="580">
        <f>C127+C133</f>
        <v>4459.3121560566096</v>
      </c>
      <c r="D139" s="675">
        <f>D127+D133</f>
        <v>3396.391757663825</v>
      </c>
      <c r="E139" s="676">
        <f>E127+E133</f>
        <v>2612.3053479680198</v>
      </c>
    </row>
    <row r="140" spans="1:5" ht="15.75" customHeight="1" x14ac:dyDescent="0.2">
      <c r="A140" s="582" t="s">
        <v>577</v>
      </c>
      <c r="B140" s="583"/>
      <c r="C140" s="584">
        <f t="shared" ref="C140:C145" si="3">C134/200</f>
        <v>21.542874218696014</v>
      </c>
      <c r="D140" s="584"/>
      <c r="E140" s="677"/>
    </row>
    <row r="141" spans="1:5" ht="15.75" customHeight="1" x14ac:dyDescent="0.2">
      <c r="A141" s="587" t="s">
        <v>578</v>
      </c>
      <c r="B141" s="588"/>
      <c r="C141" s="589">
        <f t="shared" si="3"/>
        <v>21.664930163277862</v>
      </c>
      <c r="D141" s="589"/>
      <c r="E141" s="678"/>
    </row>
    <row r="142" spans="1:5" ht="15.75" customHeight="1" x14ac:dyDescent="0.2">
      <c r="A142" s="587" t="s">
        <v>579</v>
      </c>
      <c r="B142" s="588"/>
      <c r="C142" s="589">
        <f t="shared" si="3"/>
        <v>21.788377058795117</v>
      </c>
      <c r="D142" s="589"/>
      <c r="E142" s="678"/>
    </row>
    <row r="143" spans="1:5" ht="15.75" customHeight="1" x14ac:dyDescent="0.2">
      <c r="A143" s="587" t="s">
        <v>627</v>
      </c>
      <c r="B143" s="588"/>
      <c r="C143" s="589">
        <f t="shared" si="3"/>
        <v>21.91323881844437</v>
      </c>
      <c r="D143" s="589"/>
      <c r="E143" s="678"/>
    </row>
    <row r="144" spans="1:5" ht="15.75" customHeight="1" x14ac:dyDescent="0.2">
      <c r="A144" s="587" t="s">
        <v>580</v>
      </c>
      <c r="B144" s="588"/>
      <c r="C144" s="589">
        <f t="shared" si="3"/>
        <v>22.039539906735119</v>
      </c>
      <c r="D144" s="589"/>
      <c r="E144" s="678"/>
    </row>
    <row r="145" spans="1:5" ht="15.75" customHeight="1" x14ac:dyDescent="0.2">
      <c r="A145" s="592" t="s">
        <v>581</v>
      </c>
      <c r="B145" s="593"/>
      <c r="C145" s="594">
        <f t="shared" si="3"/>
        <v>22.296560780283048</v>
      </c>
      <c r="D145" s="594"/>
      <c r="E145" s="679"/>
    </row>
    <row r="146" spans="1:5" x14ac:dyDescent="0.2">
      <c r="A146" s="597"/>
    </row>
  </sheetData>
  <mergeCells count="32">
    <mergeCell ref="A1:E1"/>
    <mergeCell ref="A2:E2"/>
    <mergeCell ref="A3:E3"/>
    <mergeCell ref="A9:E9"/>
    <mergeCell ref="A11:E11"/>
    <mergeCell ref="A20:E20"/>
    <mergeCell ref="A21:E21"/>
    <mergeCell ref="A50:E50"/>
    <mergeCell ref="A51:E51"/>
    <mergeCell ref="A61:E61"/>
    <mergeCell ref="A62:E62"/>
    <mergeCell ref="A81:E81"/>
    <mergeCell ref="A82:E82"/>
    <mergeCell ref="A89:E89"/>
    <mergeCell ref="A90:E90"/>
    <mergeCell ref="A112:A117"/>
    <mergeCell ref="A118:E118"/>
    <mergeCell ref="A119:E119"/>
    <mergeCell ref="A120:B120"/>
    <mergeCell ref="A121:B121"/>
    <mergeCell ref="A122:B122"/>
    <mergeCell ref="A123:B123"/>
    <mergeCell ref="A124:B124"/>
    <mergeCell ref="A125:B125"/>
    <mergeCell ref="A126:B126"/>
    <mergeCell ref="A132:B132"/>
    <mergeCell ref="A133:B133"/>
    <mergeCell ref="A127:B127"/>
    <mergeCell ref="A128:B128"/>
    <mergeCell ref="A129:B129"/>
    <mergeCell ref="A130:B130"/>
    <mergeCell ref="A131:B13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MC</vt:lpstr>
      <vt:lpstr>Insumos</vt:lpstr>
      <vt:lpstr>Resumo Proposta</vt:lpstr>
      <vt:lpstr>Prod. GEXCAN</vt:lpstr>
      <vt:lpstr>GEXCAN Limp.Ord.</vt:lpstr>
      <vt:lpstr>GEXCAN Covid</vt:lpstr>
      <vt:lpstr>Prod. GEXNHB</vt:lpstr>
      <vt:lpstr>GEXNHB Limp.Ord. </vt:lpstr>
      <vt:lpstr>GEXNHB Covid </vt:lpstr>
      <vt:lpstr>Prod. GEXPOA</vt:lpstr>
      <vt:lpstr>GEXPOA Limp. Ord.</vt:lpstr>
      <vt:lpstr>GEX POA Covid</vt:lpstr>
      <vt:lpstr>'Prod. GEXNHB'!_FiltrarBancodeDados</vt:lpstr>
      <vt:lpstr>'GEXCAN Covid'!Print_Area</vt:lpstr>
      <vt:lpstr>'GEXCAN Limp.Ord.'!Print_Area</vt:lpstr>
      <vt:lpstr>'GEXNHB Covid '!Print_Area</vt:lpstr>
      <vt:lpstr>'GEXNHB Limp.Ord. '!Print_Area</vt:lpstr>
      <vt:lpstr>MC!Print_Area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94</cp:revision>
  <dcterms:created xsi:type="dcterms:W3CDTF">2020-03-17T09:48:25Z</dcterms:created>
  <dcterms:modified xsi:type="dcterms:W3CDTF">2022-06-30T16:04:29Z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0x0101002802779F605D534DA1B3FC3D1B1B4DA1</vt:lpwstr>
  </property>
</Properties>
</file>