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Lucas\Instituto Nacional do Seguro Social (INSS)\ENG-FTMAN\"/>
    </mc:Choice>
  </mc:AlternateContent>
  <xr:revisionPtr revIDLastSave="0" documentId="13_ncr:1_{8C93D55C-FB48-4B4F-BA47-E45B2550F29C}" xr6:coauthVersionLast="47" xr6:coauthVersionMax="47" xr10:uidLastSave="{00000000-0000-0000-0000-000000000000}"/>
  <bookViews>
    <workbookView xWindow="3285" yWindow="3285" windowWidth="21600" windowHeight="11385" tabRatio="729" xr2:uid="{00000000-000D-0000-FFFF-FFFF00000000}"/>
  </bookViews>
  <sheets>
    <sheet name="II Plan Consolid" sheetId="1" r:id="rId1"/>
    <sheet name="III Deslocamentos" sheetId="2" r:id="rId2"/>
    <sheet name="IV Caract. Imóveis e Equipes" sheetId="3" r:id="rId3"/>
    <sheet name="V Quadro-Resumo Mão de Obra" sheetId="4" r:id="rId4"/>
    <sheet name="V Eng. Civil ou Arq. e Eng. Ele" sheetId="5" r:id="rId5"/>
    <sheet name="V Encarregado CGT" sheetId="6" r:id="rId6"/>
    <sheet name="V GEXNIT" sheetId="7" r:id="rId7"/>
    <sheet name="V GEXDUQ" sheetId="8" r:id="rId8"/>
    <sheet name="V GEXCGT" sheetId="9" r:id="rId9"/>
    <sheet name="VI Equipamentos" sheetId="10" r:id="rId10"/>
    <sheet name="VII-B Materiais" sheetId="11" r:id="rId11"/>
    <sheet name="VIII Uniformes e EPI's" sheetId="12" r:id="rId12"/>
    <sheet name="IX ISS" sheetId="13" r:id="rId13"/>
    <sheet name="X BDI" sheetId="14" r:id="rId14"/>
    <sheet name="XI Cronograma de Desembolso" sheetId="15" r:id="rId15"/>
  </sheets>
  <definedNames>
    <definedName name="_xlnm.Print_Area" localSheetId="0">'II Plan Consolid'!$A$1:$L$85</definedName>
    <definedName name="_xlnm.Print_Area" localSheetId="1">'III Deslocamentos'!$A$1:$N$120</definedName>
    <definedName name="_xlnm.Print_Area" localSheetId="2">'IV Caract. Imóveis e Equipes'!$A$1:$K$72</definedName>
    <definedName name="_xlnm.Print_Area" localSheetId="5">'V Encarregado CGT'!$A$1:$D$120</definedName>
    <definedName name="_xlnm.Print_Area" localSheetId="4">'V Eng. Civil ou Arq. e Eng. Ele'!$A$1:$D$120</definedName>
    <definedName name="_xlnm.Print_Area" localSheetId="8">'V GEXCGT'!$A$1:$G$115</definedName>
    <definedName name="_xlnm.Print_Area" localSheetId="7">'V GEXDUQ'!$A$1:$G$115</definedName>
    <definedName name="_xlnm.Print_Area" localSheetId="6">'V GEXNIT'!$A$1:$G$115</definedName>
    <definedName name="_xlnm.Print_Area" localSheetId="3">'V Quadro-Resumo Mão de Obra'!$A$1:$G$18</definedName>
    <definedName name="_xlnm.Print_Area" localSheetId="9">'VI Equipamentos'!$A$1:$J$79</definedName>
    <definedName name="_xlnm.Print_Area" localSheetId="10">'VII-B Materiais'!$A$1:$G$194</definedName>
    <definedName name="_xlnm.Print_Area" localSheetId="11">'VIII Uniformes e EPI''s'!$A$1:$I$11</definedName>
    <definedName name="_xlnm.Print_Area" localSheetId="13">'X BDI'!$A$1:$C$94</definedName>
    <definedName name="_xlnm.Print_Area" localSheetId="14">'XI Cronograma de Desembolso'!$A$1:$H$20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4" i="1" l="1"/>
  <c r="J82" i="1"/>
  <c r="G76" i="1"/>
  <c r="I76" i="1" s="1"/>
  <c r="I77" i="1" s="1"/>
  <c r="F76" i="1"/>
  <c r="H76" i="1" s="1"/>
  <c r="J76" i="1" s="1"/>
  <c r="J77" i="1" s="1"/>
  <c r="E76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19" i="1"/>
  <c r="C77" i="1"/>
  <c r="I78" i="1" l="1"/>
  <c r="C23" i="5" l="1"/>
  <c r="D30" i="5" s="1"/>
  <c r="G21" i="12" l="1"/>
  <c r="G22" i="12" s="1"/>
  <c r="G24" i="12" s="1"/>
  <c r="H5" i="12" s="1"/>
  <c r="I5" i="12" s="1"/>
  <c r="F204" i="11"/>
  <c r="F205" i="11" s="1"/>
  <c r="F207" i="11" s="1"/>
  <c r="G89" i="10"/>
  <c r="G90" i="10" s="1"/>
  <c r="G92" i="10" s="1"/>
  <c r="H8" i="12" l="1"/>
  <c r="I8" i="12" s="1"/>
  <c r="H4" i="12"/>
  <c r="I4" i="12" s="1"/>
  <c r="H7" i="12"/>
  <c r="I7" i="12" s="1"/>
  <c r="H3" i="12"/>
  <c r="I3" i="12" s="1"/>
  <c r="H6" i="12"/>
  <c r="I6" i="12" s="1"/>
  <c r="H9" i="12"/>
  <c r="I9" i="12" s="1"/>
  <c r="C60" i="6"/>
  <c r="C55" i="7"/>
  <c r="C55" i="8"/>
  <c r="G55" i="9"/>
  <c r="F55" i="9"/>
  <c r="E55" i="9"/>
  <c r="D55" i="9"/>
  <c r="C55" i="9"/>
  <c r="G5" i="11" l="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4" i="11"/>
  <c r="H6" i="10" l="1"/>
  <c r="I6" i="10" s="1"/>
  <c r="H7" i="10"/>
  <c r="I7" i="10" s="1"/>
  <c r="H8" i="10"/>
  <c r="I8" i="10" s="1"/>
  <c r="H9" i="10"/>
  <c r="I9" i="10" s="1"/>
  <c r="H10" i="10"/>
  <c r="I10" i="10" s="1"/>
  <c r="H11" i="10"/>
  <c r="I11" i="10" s="1"/>
  <c r="H12" i="10"/>
  <c r="I12" i="10" s="1"/>
  <c r="H13" i="10"/>
  <c r="I13" i="10" s="1"/>
  <c r="H14" i="10"/>
  <c r="I14" i="10" s="1"/>
  <c r="H15" i="10"/>
  <c r="I15" i="10" s="1"/>
  <c r="H16" i="10"/>
  <c r="I16" i="10" s="1"/>
  <c r="H17" i="10"/>
  <c r="I17" i="10" s="1"/>
  <c r="H18" i="10"/>
  <c r="I18" i="10" s="1"/>
  <c r="H19" i="10"/>
  <c r="I19" i="10" s="1"/>
  <c r="H20" i="10"/>
  <c r="I20" i="10" s="1"/>
  <c r="H21" i="10"/>
  <c r="I21" i="10" s="1"/>
  <c r="H22" i="10"/>
  <c r="I22" i="10" s="1"/>
  <c r="H23" i="10"/>
  <c r="I23" i="10" s="1"/>
  <c r="H24" i="10"/>
  <c r="I24" i="10" s="1"/>
  <c r="H25" i="10"/>
  <c r="I25" i="10" s="1"/>
  <c r="H26" i="10"/>
  <c r="I26" i="10" s="1"/>
  <c r="H27" i="10"/>
  <c r="I27" i="10" s="1"/>
  <c r="H28" i="10"/>
  <c r="I28" i="10" s="1"/>
  <c r="H29" i="10"/>
  <c r="I29" i="10" s="1"/>
  <c r="H30" i="10"/>
  <c r="I30" i="10" s="1"/>
  <c r="H31" i="10"/>
  <c r="I31" i="10" s="1"/>
  <c r="H32" i="10"/>
  <c r="I32" i="10" s="1"/>
  <c r="H33" i="10"/>
  <c r="I33" i="10" s="1"/>
  <c r="H34" i="10"/>
  <c r="I34" i="10" s="1"/>
  <c r="H35" i="10"/>
  <c r="I35" i="10" s="1"/>
  <c r="H36" i="10"/>
  <c r="I36" i="10" s="1"/>
  <c r="H37" i="10"/>
  <c r="I37" i="10" s="1"/>
  <c r="H38" i="10"/>
  <c r="I38" i="10" s="1"/>
  <c r="H39" i="10"/>
  <c r="I39" i="10" s="1"/>
  <c r="H40" i="10"/>
  <c r="I40" i="10" s="1"/>
  <c r="H41" i="10"/>
  <c r="I41" i="10" s="1"/>
  <c r="H42" i="10"/>
  <c r="I42" i="10" s="1"/>
  <c r="H43" i="10"/>
  <c r="I43" i="10" s="1"/>
  <c r="H44" i="10"/>
  <c r="I44" i="10" s="1"/>
  <c r="H45" i="10"/>
  <c r="I45" i="10" s="1"/>
  <c r="H46" i="10"/>
  <c r="I46" i="10" s="1"/>
  <c r="H47" i="10"/>
  <c r="I47" i="10" s="1"/>
  <c r="H48" i="10"/>
  <c r="I48" i="10" s="1"/>
  <c r="H49" i="10"/>
  <c r="I49" i="10" s="1"/>
  <c r="H50" i="10"/>
  <c r="I50" i="10" s="1"/>
  <c r="H51" i="10"/>
  <c r="I51" i="10" s="1"/>
  <c r="H52" i="10"/>
  <c r="I52" i="10" s="1"/>
  <c r="H53" i="10"/>
  <c r="I53" i="10" s="1"/>
  <c r="H54" i="10"/>
  <c r="I54" i="10" s="1"/>
  <c r="H55" i="10"/>
  <c r="I55" i="10" s="1"/>
  <c r="H56" i="10"/>
  <c r="I56" i="10" s="1"/>
  <c r="H57" i="10"/>
  <c r="I57" i="10" s="1"/>
  <c r="H58" i="10"/>
  <c r="I58" i="10" s="1"/>
  <c r="H59" i="10"/>
  <c r="I59" i="10" s="1"/>
  <c r="H60" i="10"/>
  <c r="I60" i="10" s="1"/>
  <c r="H61" i="10"/>
  <c r="I61" i="10" s="1"/>
  <c r="H62" i="10"/>
  <c r="I62" i="10" s="1"/>
  <c r="H63" i="10"/>
  <c r="I63" i="10" s="1"/>
  <c r="H64" i="10"/>
  <c r="I64" i="10" s="1"/>
  <c r="H65" i="10"/>
  <c r="I65" i="10" s="1"/>
  <c r="H66" i="10"/>
  <c r="I66" i="10" s="1"/>
  <c r="H67" i="10"/>
  <c r="I67" i="10" s="1"/>
  <c r="H68" i="10"/>
  <c r="I68" i="10" s="1"/>
  <c r="H69" i="10"/>
  <c r="I69" i="10" s="1"/>
  <c r="H70" i="10"/>
  <c r="I70" i="10" s="1"/>
  <c r="H71" i="10"/>
  <c r="I71" i="10" s="1"/>
  <c r="H72" i="10"/>
  <c r="I72" i="10" s="1"/>
  <c r="H73" i="10"/>
  <c r="I73" i="10" s="1"/>
  <c r="H74" i="10"/>
  <c r="I74" i="10" s="1"/>
  <c r="H5" i="10"/>
  <c r="I5" i="10" s="1"/>
  <c r="J130" i="2"/>
  <c r="J131" i="2" s="1"/>
  <c r="J133" i="2" s="1"/>
  <c r="K118" i="2" l="1"/>
  <c r="K115" i="2"/>
  <c r="C70" i="9"/>
  <c r="C70" i="8"/>
  <c r="C70" i="7"/>
  <c r="C75" i="6"/>
  <c r="C15" i="14" l="1"/>
  <c r="C29" i="14"/>
  <c r="C42" i="14"/>
  <c r="C55" i="14"/>
  <c r="C68" i="14"/>
  <c r="C81" i="14"/>
  <c r="C94" i="14"/>
  <c r="E55" i="8" l="1"/>
  <c r="F55" i="8"/>
  <c r="G55" i="8"/>
  <c r="D55" i="8"/>
  <c r="E55" i="7"/>
  <c r="F55" i="7"/>
  <c r="G55" i="7"/>
  <c r="D55" i="7"/>
  <c r="D60" i="6"/>
  <c r="D62" i="6" l="1"/>
  <c r="C75" i="5" l="1"/>
  <c r="E67" i="1"/>
  <c r="E56" i="1"/>
  <c r="E23" i="1"/>
  <c r="E64" i="1"/>
  <c r="E63" i="1"/>
  <c r="F70" i="1"/>
  <c r="C56" i="13"/>
  <c r="D55" i="13" s="1"/>
  <c r="F156" i="11"/>
  <c r="G156" i="11" s="1"/>
  <c r="F155" i="11"/>
  <c r="G155" i="11" s="1"/>
  <c r="F154" i="11"/>
  <c r="G154" i="11" s="1"/>
  <c r="F153" i="11"/>
  <c r="G153" i="11" s="1"/>
  <c r="F152" i="11"/>
  <c r="G152" i="11" s="1"/>
  <c r="F151" i="11"/>
  <c r="G151" i="11" s="1"/>
  <c r="F150" i="11"/>
  <c r="G150" i="11" s="1"/>
  <c r="C91" i="9"/>
  <c r="C86" i="9"/>
  <c r="G57" i="9"/>
  <c r="F57" i="9"/>
  <c r="E57" i="9"/>
  <c r="D57" i="9"/>
  <c r="E54" i="9"/>
  <c r="C50" i="9"/>
  <c r="C38" i="9"/>
  <c r="C31" i="9"/>
  <c r="G54" i="9"/>
  <c r="G58" i="9" s="1"/>
  <c r="G64" i="9" s="1"/>
  <c r="F54" i="9"/>
  <c r="E31" i="9"/>
  <c r="E71" i="9" s="1"/>
  <c r="D54" i="9"/>
  <c r="D58" i="9" s="1"/>
  <c r="D64" i="9" s="1"/>
  <c r="C91" i="8"/>
  <c r="C86" i="8"/>
  <c r="G57" i="8"/>
  <c r="F57" i="8"/>
  <c r="E57" i="8"/>
  <c r="D57" i="8"/>
  <c r="C50" i="8"/>
  <c r="C38" i="8"/>
  <c r="C31" i="8"/>
  <c r="G25" i="8"/>
  <c r="G31" i="8" s="1"/>
  <c r="G83" i="8" s="1"/>
  <c r="F25" i="8"/>
  <c r="F54" i="8" s="1"/>
  <c r="F58" i="8" s="1"/>
  <c r="F64" i="8" s="1"/>
  <c r="E25" i="8"/>
  <c r="E54" i="8" s="1"/>
  <c r="D25" i="8"/>
  <c r="D26" i="8" s="1"/>
  <c r="C91" i="7"/>
  <c r="C86" i="7"/>
  <c r="G57" i="7"/>
  <c r="F57" i="7"/>
  <c r="E57" i="7"/>
  <c r="D57" i="7"/>
  <c r="G56" i="7"/>
  <c r="F56" i="7"/>
  <c r="E56" i="7"/>
  <c r="D56" i="7"/>
  <c r="C50" i="7"/>
  <c r="C38" i="7"/>
  <c r="C31" i="7"/>
  <c r="G31" i="7"/>
  <c r="F31" i="7"/>
  <c r="F81" i="7" s="1"/>
  <c r="E54" i="7"/>
  <c r="D54" i="7"/>
  <c r="C96" i="6"/>
  <c r="C91" i="6"/>
  <c r="D61" i="6"/>
  <c r="C55" i="6"/>
  <c r="C43" i="6"/>
  <c r="C36" i="6"/>
  <c r="D36" i="6"/>
  <c r="D110" i="5"/>
  <c r="D119" i="5" s="1"/>
  <c r="C96" i="5"/>
  <c r="C91" i="5"/>
  <c r="D63" i="5"/>
  <c r="D69" i="5" s="1"/>
  <c r="C55" i="5"/>
  <c r="C78" i="5" s="1"/>
  <c r="C80" i="5" s="1"/>
  <c r="C43" i="5"/>
  <c r="C36" i="5"/>
  <c r="D36" i="5"/>
  <c r="D76" i="5" s="1"/>
  <c r="G59" i="3"/>
  <c r="F60" i="3" s="1"/>
  <c r="I57" i="3"/>
  <c r="D57" i="3"/>
  <c r="C57" i="3"/>
  <c r="J56" i="3"/>
  <c r="G56" i="3"/>
  <c r="H56" i="3" s="1"/>
  <c r="J55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G44" i="3"/>
  <c r="H44" i="3" s="1"/>
  <c r="G43" i="3"/>
  <c r="H43" i="3" s="1"/>
  <c r="G42" i="3"/>
  <c r="H42" i="3" s="1"/>
  <c r="J41" i="3"/>
  <c r="G41" i="3"/>
  <c r="H41" i="3" s="1"/>
  <c r="J40" i="3"/>
  <c r="H40" i="3"/>
  <c r="G40" i="3"/>
  <c r="J39" i="3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H25" i="3"/>
  <c r="G25" i="3"/>
  <c r="J24" i="3"/>
  <c r="G24" i="3"/>
  <c r="H24" i="3" s="1"/>
  <c r="G23" i="3"/>
  <c r="H23" i="3" s="1"/>
  <c r="G22" i="3"/>
  <c r="H22" i="3" s="1"/>
  <c r="J21" i="3"/>
  <c r="G21" i="3"/>
  <c r="H21" i="3" s="1"/>
  <c r="J20" i="3"/>
  <c r="G20" i="3"/>
  <c r="H20" i="3" s="1"/>
  <c r="G19" i="3"/>
  <c r="H19" i="3" s="1"/>
  <c r="G18" i="3"/>
  <c r="H18" i="3" s="1"/>
  <c r="H17" i="3"/>
  <c r="G17" i="3"/>
  <c r="G16" i="3"/>
  <c r="H16" i="3" s="1"/>
  <c r="H15" i="3"/>
  <c r="G15" i="3"/>
  <c r="G14" i="3"/>
  <c r="H14" i="3" s="1"/>
  <c r="H13" i="3"/>
  <c r="G13" i="3"/>
  <c r="G12" i="3"/>
  <c r="H12" i="3" s="1"/>
  <c r="G11" i="3"/>
  <c r="H11" i="3" s="1"/>
  <c r="G10" i="3"/>
  <c r="H10" i="3" s="1"/>
  <c r="H9" i="3"/>
  <c r="G9" i="3"/>
  <c r="G8" i="3"/>
  <c r="H8" i="3" s="1"/>
  <c r="H7" i="3"/>
  <c r="G7" i="3"/>
  <c r="J6" i="3"/>
  <c r="G6" i="3"/>
  <c r="H6" i="3" s="1"/>
  <c r="J5" i="3"/>
  <c r="G5" i="3"/>
  <c r="H5" i="3" s="1"/>
  <c r="J4" i="3"/>
  <c r="H4" i="3"/>
  <c r="G4" i="3"/>
  <c r="N110" i="2"/>
  <c r="N109" i="2"/>
  <c r="N107" i="2"/>
  <c r="N106" i="2"/>
  <c r="N105" i="2"/>
  <c r="N104" i="2"/>
  <c r="N103" i="2"/>
  <c r="N102" i="2"/>
  <c r="N101" i="2"/>
  <c r="N100" i="2"/>
  <c r="N99" i="2"/>
  <c r="N98" i="2"/>
  <c r="M94" i="2"/>
  <c r="J93" i="2"/>
  <c r="H93" i="2"/>
  <c r="G93" i="2"/>
  <c r="F93" i="2"/>
  <c r="D93" i="2"/>
  <c r="A93" i="2"/>
  <c r="N92" i="2"/>
  <c r="J92" i="2"/>
  <c r="H92" i="2"/>
  <c r="G92" i="2"/>
  <c r="I92" i="2" s="1"/>
  <c r="F92" i="2"/>
  <c r="D92" i="2"/>
  <c r="A92" i="2"/>
  <c r="N91" i="2"/>
  <c r="N94" i="2" s="1"/>
  <c r="J91" i="2"/>
  <c r="J94" i="2" s="1"/>
  <c r="H91" i="2"/>
  <c r="G91" i="2"/>
  <c r="F91" i="2"/>
  <c r="D91" i="2"/>
  <c r="A91" i="2"/>
  <c r="N87" i="2"/>
  <c r="M87" i="2"/>
  <c r="J87" i="2"/>
  <c r="H87" i="2"/>
  <c r="G87" i="2"/>
  <c r="I85" i="2"/>
  <c r="I84" i="2"/>
  <c r="I83" i="2"/>
  <c r="L81" i="2"/>
  <c r="I81" i="2"/>
  <c r="L80" i="2"/>
  <c r="I80" i="2"/>
  <c r="I79" i="2"/>
  <c r="I78" i="2"/>
  <c r="L77" i="2"/>
  <c r="I77" i="2"/>
  <c r="I75" i="2"/>
  <c r="I74" i="2"/>
  <c r="I73" i="2"/>
  <c r="L70" i="2"/>
  <c r="I70" i="2"/>
  <c r="L69" i="2"/>
  <c r="I69" i="2"/>
  <c r="I68" i="2"/>
  <c r="L67" i="2"/>
  <c r="I67" i="2"/>
  <c r="I65" i="2"/>
  <c r="L64" i="2"/>
  <c r="I64" i="2"/>
  <c r="L63" i="2"/>
  <c r="I63" i="2"/>
  <c r="L62" i="2"/>
  <c r="I62" i="2"/>
  <c r="I61" i="2"/>
  <c r="I60" i="2"/>
  <c r="L59" i="2"/>
  <c r="I59" i="2"/>
  <c r="L58" i="2"/>
  <c r="L93" i="2" s="1"/>
  <c r="I58" i="2"/>
  <c r="L57" i="2"/>
  <c r="I57" i="2"/>
  <c r="L56" i="2"/>
  <c r="I56" i="2"/>
  <c r="L55" i="2"/>
  <c r="I55" i="2"/>
  <c r="L54" i="2"/>
  <c r="I54" i="2"/>
  <c r="L53" i="2"/>
  <c r="I53" i="2"/>
  <c r="L52" i="2"/>
  <c r="I52" i="2"/>
  <c r="L51" i="2"/>
  <c r="I51" i="2"/>
  <c r="L50" i="2"/>
  <c r="I50" i="2"/>
  <c r="L49" i="2"/>
  <c r="I49" i="2"/>
  <c r="L48" i="2"/>
  <c r="I48" i="2"/>
  <c r="L47" i="2"/>
  <c r="I47" i="2"/>
  <c r="L46" i="2"/>
  <c r="I46" i="2"/>
  <c r="I43" i="2"/>
  <c r="L42" i="2"/>
  <c r="I42" i="2"/>
  <c r="L41" i="2"/>
  <c r="I41" i="2"/>
  <c r="L40" i="2"/>
  <c r="I40" i="2"/>
  <c r="I39" i="2"/>
  <c r="I38" i="2"/>
  <c r="I37" i="2"/>
  <c r="L36" i="2"/>
  <c r="I36" i="2"/>
  <c r="L35" i="2"/>
  <c r="I35" i="2"/>
  <c r="L34" i="2"/>
  <c r="I34" i="2"/>
  <c r="L33" i="2"/>
  <c r="I33" i="2"/>
  <c r="L32" i="2"/>
  <c r="I32" i="2"/>
  <c r="L31" i="2"/>
  <c r="I31" i="2"/>
  <c r="L30" i="2"/>
  <c r="L92" i="2" s="1"/>
  <c r="I30" i="2"/>
  <c r="L29" i="2"/>
  <c r="I29" i="2"/>
  <c r="L28" i="2"/>
  <c r="I28" i="2"/>
  <c r="L27" i="2"/>
  <c r="I27" i="2"/>
  <c r="L26" i="2"/>
  <c r="I26" i="2"/>
  <c r="L25" i="2"/>
  <c r="I25" i="2"/>
  <c r="I23" i="2"/>
  <c r="L22" i="2"/>
  <c r="L91" i="2" s="1"/>
  <c r="I22" i="2"/>
  <c r="L21" i="2"/>
  <c r="I21" i="2"/>
  <c r="L20" i="2"/>
  <c r="I20" i="2"/>
  <c r="I19" i="2"/>
  <c r="L17" i="2"/>
  <c r="I17" i="2"/>
  <c r="L16" i="2"/>
  <c r="I16" i="2"/>
  <c r="L15" i="2"/>
  <c r="I15" i="2"/>
  <c r="L14" i="2"/>
  <c r="I14" i="2"/>
  <c r="L12" i="2"/>
  <c r="I12" i="2"/>
  <c r="L11" i="2"/>
  <c r="I11" i="2"/>
  <c r="L10" i="2"/>
  <c r="I10" i="2"/>
  <c r="I9" i="2"/>
  <c r="L8" i="2"/>
  <c r="I8" i="2"/>
  <c r="L7" i="2"/>
  <c r="I7" i="2"/>
  <c r="L6" i="2"/>
  <c r="I6" i="2"/>
  <c r="L5" i="2"/>
  <c r="I5" i="2"/>
  <c r="L4" i="2"/>
  <c r="I4" i="2"/>
  <c r="C71" i="1"/>
  <c r="E70" i="1"/>
  <c r="E66" i="1"/>
  <c r="E61" i="1"/>
  <c r="E52" i="1"/>
  <c r="E46" i="1"/>
  <c r="E44" i="1"/>
  <c r="E38" i="1"/>
  <c r="E34" i="1"/>
  <c r="E30" i="1"/>
  <c r="I91" i="2" l="1"/>
  <c r="H94" i="2"/>
  <c r="C73" i="8"/>
  <c r="G73" i="8" s="1"/>
  <c r="L115" i="2"/>
  <c r="M115" i="2" s="1"/>
  <c r="L118" i="2"/>
  <c r="M118" i="2" s="1"/>
  <c r="C78" i="6"/>
  <c r="D78" i="6" s="1"/>
  <c r="C73" i="7"/>
  <c r="C75" i="7" s="1"/>
  <c r="E58" i="8"/>
  <c r="E64" i="8" s="1"/>
  <c r="C73" i="9"/>
  <c r="C75" i="9" s="1"/>
  <c r="F31" i="8"/>
  <c r="F83" i="8" s="1"/>
  <c r="D41" i="5"/>
  <c r="E24" i="1"/>
  <c r="E40" i="1"/>
  <c r="E58" i="1"/>
  <c r="E21" i="1"/>
  <c r="E36" i="1"/>
  <c r="E59" i="1"/>
  <c r="E69" i="1"/>
  <c r="E35" i="1"/>
  <c r="E32" i="1"/>
  <c r="E60" i="1"/>
  <c r="E20" i="1"/>
  <c r="E42" i="1"/>
  <c r="E22" i="1"/>
  <c r="E19" i="1"/>
  <c r="E28" i="1"/>
  <c r="E62" i="1"/>
  <c r="F28" i="1"/>
  <c r="F38" i="1"/>
  <c r="F23" i="1"/>
  <c r="F21" i="1"/>
  <c r="F31" i="1"/>
  <c r="F48" i="1"/>
  <c r="F56" i="1"/>
  <c r="F19" i="1"/>
  <c r="F43" i="1"/>
  <c r="F51" i="1"/>
  <c r="F63" i="1"/>
  <c r="G73" i="7"/>
  <c r="E26" i="1"/>
  <c r="E48" i="1"/>
  <c r="E54" i="1"/>
  <c r="E65" i="1"/>
  <c r="E41" i="1"/>
  <c r="E50" i="1"/>
  <c r="F26" i="1"/>
  <c r="F29" i="1"/>
  <c r="F34" i="1"/>
  <c r="F36" i="1"/>
  <c r="F39" i="1"/>
  <c r="F41" i="1"/>
  <c r="F46" i="1"/>
  <c r="F49" i="1"/>
  <c r="F54" i="1"/>
  <c r="F57" i="1"/>
  <c r="F59" i="1"/>
  <c r="F61" i="1"/>
  <c r="F64" i="1"/>
  <c r="F66" i="1"/>
  <c r="F69" i="1"/>
  <c r="F20" i="1"/>
  <c r="F22" i="1"/>
  <c r="F24" i="1"/>
  <c r="F27" i="1"/>
  <c r="F32" i="1"/>
  <c r="F37" i="1"/>
  <c r="F44" i="1"/>
  <c r="F47" i="1"/>
  <c r="F52" i="1"/>
  <c r="F55" i="1"/>
  <c r="F67" i="1"/>
  <c r="F25" i="1"/>
  <c r="F30" i="1"/>
  <c r="F33" i="1"/>
  <c r="F35" i="1"/>
  <c r="F40" i="1"/>
  <c r="F42" i="1"/>
  <c r="F45" i="1"/>
  <c r="F50" i="1"/>
  <c r="F53" i="1"/>
  <c r="F58" i="1"/>
  <c r="F60" i="1"/>
  <c r="F62" i="1"/>
  <c r="F65" i="1"/>
  <c r="F68" i="1"/>
  <c r="E58" i="9"/>
  <c r="E64" i="9" s="1"/>
  <c r="F58" i="9"/>
  <c r="F64" i="9" s="1"/>
  <c r="D58" i="7"/>
  <c r="D64" i="7" s="1"/>
  <c r="G70" i="7"/>
  <c r="G74" i="7"/>
  <c r="D95" i="6"/>
  <c r="D96" i="6" s="1"/>
  <c r="D101" i="6" s="1"/>
  <c r="D77" i="6"/>
  <c r="D48" i="13"/>
  <c r="N97" i="2"/>
  <c r="J114" i="2" s="1"/>
  <c r="K114" i="2" s="1"/>
  <c r="D42" i="5"/>
  <c r="D86" i="5"/>
  <c r="D59" i="6"/>
  <c r="D63" i="6" s="1"/>
  <c r="D69" i="6" s="1"/>
  <c r="F72" i="7"/>
  <c r="F83" i="7"/>
  <c r="G81" i="8"/>
  <c r="D3" i="13"/>
  <c r="D11" i="13"/>
  <c r="D19" i="13"/>
  <c r="D27" i="13"/>
  <c r="D35" i="13"/>
  <c r="D43" i="13"/>
  <c r="D51" i="13"/>
  <c r="D8" i="13"/>
  <c r="D16" i="13"/>
  <c r="D24" i="13"/>
  <c r="D32" i="13"/>
  <c r="D40" i="13"/>
  <c r="D75" i="5"/>
  <c r="D87" i="5"/>
  <c r="D115" i="5"/>
  <c r="G72" i="7"/>
  <c r="F31" i="9"/>
  <c r="F37" i="9" s="1"/>
  <c r="E69" i="9"/>
  <c r="D4" i="13"/>
  <c r="D12" i="13"/>
  <c r="D20" i="13"/>
  <c r="D28" i="13"/>
  <c r="D36" i="13"/>
  <c r="D44" i="13"/>
  <c r="D52" i="13"/>
  <c r="N108" i="2"/>
  <c r="J119" i="2" s="1"/>
  <c r="J57" i="3"/>
  <c r="E58" i="7"/>
  <c r="E64" i="7" s="1"/>
  <c r="E31" i="7"/>
  <c r="E71" i="7" s="1"/>
  <c r="F70" i="7"/>
  <c r="F74" i="7"/>
  <c r="E31" i="8"/>
  <c r="E36" i="8" s="1"/>
  <c r="G31" i="9"/>
  <c r="G72" i="9" s="1"/>
  <c r="D7" i="13"/>
  <c r="D15" i="13"/>
  <c r="D23" i="13"/>
  <c r="D31" i="13"/>
  <c r="D39" i="13"/>
  <c r="D47" i="13"/>
  <c r="L94" i="2"/>
  <c r="L87" i="2"/>
  <c r="D87" i="6"/>
  <c r="D76" i="6"/>
  <c r="D42" i="6"/>
  <c r="D86" i="6"/>
  <c r="D79" i="6"/>
  <c r="D75" i="6"/>
  <c r="D41" i="6"/>
  <c r="D88" i="6"/>
  <c r="D74" i="6"/>
  <c r="D89" i="6"/>
  <c r="D31" i="8"/>
  <c r="D54" i="8"/>
  <c r="D58" i="8" s="1"/>
  <c r="D64" i="8" s="1"/>
  <c r="D85" i="6"/>
  <c r="D115" i="6"/>
  <c r="G110" i="8"/>
  <c r="G90" i="8"/>
  <c r="G91" i="8" s="1"/>
  <c r="G96" i="8" s="1"/>
  <c r="G37" i="8"/>
  <c r="G36" i="8"/>
  <c r="G38" i="8" s="1"/>
  <c r="G62" i="8" s="1"/>
  <c r="F110" i="7"/>
  <c r="F90" i="7"/>
  <c r="F91" i="7" s="1"/>
  <c r="F96" i="7" s="1"/>
  <c r="F37" i="7"/>
  <c r="F36" i="7"/>
  <c r="F38" i="7" s="1"/>
  <c r="F62" i="7" s="1"/>
  <c r="E90" i="9"/>
  <c r="E91" i="9" s="1"/>
  <c r="E96" i="9" s="1"/>
  <c r="E37" i="9"/>
  <c r="E36" i="9"/>
  <c r="E84" i="9"/>
  <c r="E83" i="9"/>
  <c r="E82" i="9"/>
  <c r="E81" i="9"/>
  <c r="E80" i="9"/>
  <c r="I87" i="2"/>
  <c r="F37" i="8"/>
  <c r="G71" i="8"/>
  <c r="E68" i="1"/>
  <c r="G54" i="7"/>
  <c r="G58" i="7" s="1"/>
  <c r="G64" i="7" s="1"/>
  <c r="G69" i="7"/>
  <c r="G71" i="7"/>
  <c r="G80" i="8"/>
  <c r="G82" i="8"/>
  <c r="G84" i="8"/>
  <c r="E70" i="9"/>
  <c r="E72" i="9"/>
  <c r="E74" i="9"/>
  <c r="E110" i="9"/>
  <c r="J4" i="10"/>
  <c r="I10" i="12"/>
  <c r="I11" i="12" s="1"/>
  <c r="G90" i="7"/>
  <c r="G91" i="7" s="1"/>
  <c r="G96" i="7" s="1"/>
  <c r="G37" i="7"/>
  <c r="G36" i="7"/>
  <c r="G84" i="7"/>
  <c r="G83" i="7"/>
  <c r="G82" i="7"/>
  <c r="G81" i="7"/>
  <c r="G80" i="7"/>
  <c r="F74" i="8"/>
  <c r="F73" i="8"/>
  <c r="F72" i="8"/>
  <c r="F71" i="8"/>
  <c r="F70" i="8"/>
  <c r="F69" i="8"/>
  <c r="F110" i="8"/>
  <c r="D89" i="5"/>
  <c r="D85" i="5"/>
  <c r="D78" i="5"/>
  <c r="D74" i="5"/>
  <c r="D95" i="5"/>
  <c r="D96" i="5" s="1"/>
  <c r="D101" i="5" s="1"/>
  <c r="D88" i="5"/>
  <c r="D77" i="5"/>
  <c r="D53" i="13"/>
  <c r="D49" i="13"/>
  <c r="D45" i="13"/>
  <c r="D41" i="13"/>
  <c r="D37" i="13"/>
  <c r="D33" i="13"/>
  <c r="D29" i="13"/>
  <c r="D25" i="13"/>
  <c r="D21" i="13"/>
  <c r="D17" i="13"/>
  <c r="D13" i="13"/>
  <c r="D9" i="13"/>
  <c r="D5" i="13"/>
  <c r="D54" i="13"/>
  <c r="D50" i="13"/>
  <c r="D46" i="13"/>
  <c r="D42" i="13"/>
  <c r="D38" i="13"/>
  <c r="D34" i="13"/>
  <c r="D30" i="13"/>
  <c r="D26" i="13"/>
  <c r="D22" i="13"/>
  <c r="D18" i="13"/>
  <c r="D14" i="13"/>
  <c r="D10" i="13"/>
  <c r="D6" i="13"/>
  <c r="G54" i="8"/>
  <c r="G58" i="8" s="1"/>
  <c r="G64" i="8" s="1"/>
  <c r="G69" i="8"/>
  <c r="F81" i="8"/>
  <c r="F90" i="8"/>
  <c r="F91" i="8" s="1"/>
  <c r="F96" i="8" s="1"/>
  <c r="E25" i="1"/>
  <c r="E27" i="1"/>
  <c r="E29" i="1"/>
  <c r="E31" i="1"/>
  <c r="E33" i="1"/>
  <c r="E37" i="1"/>
  <c r="E39" i="1"/>
  <c r="E43" i="1"/>
  <c r="E45" i="1"/>
  <c r="E47" i="1"/>
  <c r="E49" i="1"/>
  <c r="E51" i="1"/>
  <c r="E53" i="1"/>
  <c r="E55" i="1"/>
  <c r="E57" i="1"/>
  <c r="I93" i="2"/>
  <c r="I94" i="2" s="1"/>
  <c r="G94" i="2"/>
  <c r="D79" i="5"/>
  <c r="F54" i="7"/>
  <c r="F58" i="7" s="1"/>
  <c r="F64" i="7" s="1"/>
  <c r="F69" i="7"/>
  <c r="F71" i="7"/>
  <c r="F73" i="7"/>
  <c r="F80" i="7"/>
  <c r="F82" i="7"/>
  <c r="F84" i="7"/>
  <c r="G110" i="7"/>
  <c r="F36" i="8"/>
  <c r="G70" i="8"/>
  <c r="G72" i="8"/>
  <c r="G74" i="8"/>
  <c r="F80" i="8"/>
  <c r="F82" i="8"/>
  <c r="F84" i="8"/>
  <c r="D26" i="9"/>
  <c r="D31" i="9" s="1"/>
  <c r="D26" i="7"/>
  <c r="D31" i="7" s="1"/>
  <c r="C75" i="8" l="1"/>
  <c r="F83" i="9"/>
  <c r="D43" i="5"/>
  <c r="D54" i="5" s="1"/>
  <c r="C80" i="6"/>
  <c r="E90" i="8"/>
  <c r="E91" i="8" s="1"/>
  <c r="E96" i="8" s="1"/>
  <c r="E37" i="8"/>
  <c r="E38" i="8" s="1"/>
  <c r="E69" i="8"/>
  <c r="K119" i="2"/>
  <c r="L119" i="2" s="1"/>
  <c r="M119" i="2" s="1"/>
  <c r="L114" i="2"/>
  <c r="E73" i="9"/>
  <c r="E82" i="8"/>
  <c r="F38" i="8"/>
  <c r="F62" i="8" s="1"/>
  <c r="E73" i="8"/>
  <c r="E72" i="8"/>
  <c r="E110" i="8"/>
  <c r="E81" i="8"/>
  <c r="G71" i="9"/>
  <c r="F70" i="9"/>
  <c r="E70" i="8"/>
  <c r="E74" i="8"/>
  <c r="E83" i="8"/>
  <c r="E71" i="8"/>
  <c r="E80" i="8"/>
  <c r="E84" i="8"/>
  <c r="E74" i="7"/>
  <c r="G36" i="9"/>
  <c r="G74" i="9"/>
  <c r="G82" i="9"/>
  <c r="G70" i="9"/>
  <c r="F71" i="9"/>
  <c r="F84" i="9"/>
  <c r="F36" i="9"/>
  <c r="F38" i="9" s="1"/>
  <c r="F62" i="9" s="1"/>
  <c r="F74" i="9"/>
  <c r="F80" i="9"/>
  <c r="G86" i="8"/>
  <c r="G95" i="8" s="1"/>
  <c r="G97" i="8" s="1"/>
  <c r="G113" i="8" s="1"/>
  <c r="F75" i="8"/>
  <c r="F112" i="8" s="1"/>
  <c r="E81" i="7"/>
  <c r="E37" i="7"/>
  <c r="E70" i="7"/>
  <c r="F45" i="8"/>
  <c r="D52" i="5"/>
  <c r="J116" i="2"/>
  <c r="D53" i="5"/>
  <c r="D50" i="5"/>
  <c r="E75" i="9"/>
  <c r="E112" i="9" s="1"/>
  <c r="J117" i="2"/>
  <c r="E82" i="7"/>
  <c r="E84" i="7"/>
  <c r="E80" i="7"/>
  <c r="E36" i="7"/>
  <c r="F110" i="9"/>
  <c r="F72" i="9"/>
  <c r="F81" i="9"/>
  <c r="F47" i="8"/>
  <c r="E90" i="7"/>
  <c r="E91" i="7" s="1"/>
  <c r="E96" i="7" s="1"/>
  <c r="E110" i="7"/>
  <c r="E72" i="7"/>
  <c r="G80" i="9"/>
  <c r="G81" i="9"/>
  <c r="G110" i="9"/>
  <c r="F75" i="7"/>
  <c r="F112" i="7" s="1"/>
  <c r="G37" i="9"/>
  <c r="G90" i="9"/>
  <c r="G91" i="9" s="1"/>
  <c r="G96" i="9" s="1"/>
  <c r="F90" i="9"/>
  <c r="F91" i="9" s="1"/>
  <c r="F96" i="9" s="1"/>
  <c r="D80" i="5"/>
  <c r="D117" i="5" s="1"/>
  <c r="F69" i="9"/>
  <c r="F73" i="9"/>
  <c r="F82" i="9"/>
  <c r="E83" i="7"/>
  <c r="E69" i="7"/>
  <c r="E73" i="7"/>
  <c r="G84" i="9"/>
  <c r="G83" i="9"/>
  <c r="G69" i="9"/>
  <c r="G73" i="9"/>
  <c r="E62" i="8"/>
  <c r="E42" i="8"/>
  <c r="E44" i="8"/>
  <c r="E46" i="8"/>
  <c r="E48" i="8"/>
  <c r="E47" i="8"/>
  <c r="E43" i="8"/>
  <c r="E49" i="8"/>
  <c r="E45" i="8"/>
  <c r="D90" i="8"/>
  <c r="D91" i="8" s="1"/>
  <c r="D96" i="8" s="1"/>
  <c r="D37" i="8"/>
  <c r="D36" i="8"/>
  <c r="D84" i="8"/>
  <c r="D83" i="8"/>
  <c r="D82" i="8"/>
  <c r="D81" i="8"/>
  <c r="D80" i="8"/>
  <c r="D110" i="8"/>
  <c r="D73" i="8"/>
  <c r="D71" i="8"/>
  <c r="D69" i="8"/>
  <c r="D70" i="8"/>
  <c r="D72" i="8"/>
  <c r="D74" i="8"/>
  <c r="D110" i="9"/>
  <c r="D90" i="9"/>
  <c r="D91" i="9" s="1"/>
  <c r="D96" i="9" s="1"/>
  <c r="D37" i="9"/>
  <c r="D36" i="9"/>
  <c r="D74" i="9"/>
  <c r="D72" i="9"/>
  <c r="D70" i="9"/>
  <c r="D71" i="9"/>
  <c r="D84" i="9"/>
  <c r="D82" i="9"/>
  <c r="D80" i="9"/>
  <c r="D73" i="9"/>
  <c r="D69" i="9"/>
  <c r="D81" i="9"/>
  <c r="D83" i="9"/>
  <c r="G78" i="10"/>
  <c r="I78" i="10" s="1"/>
  <c r="G79" i="10"/>
  <c r="I79" i="10" s="1"/>
  <c r="G47" i="8"/>
  <c r="G38" i="7"/>
  <c r="G46" i="8"/>
  <c r="G75" i="8"/>
  <c r="G112" i="8" s="1"/>
  <c r="D91" i="5"/>
  <c r="D100" i="5" s="1"/>
  <c r="D102" i="5" s="1"/>
  <c r="D118" i="5" s="1"/>
  <c r="G86" i="7"/>
  <c r="G95" i="7" s="1"/>
  <c r="G97" i="7" s="1"/>
  <c r="G113" i="7" s="1"/>
  <c r="D56" i="13"/>
  <c r="E56" i="13" s="1"/>
  <c r="E86" i="9"/>
  <c r="E95" i="9" s="1"/>
  <c r="E97" i="9" s="1"/>
  <c r="E113" i="9" s="1"/>
  <c r="F45" i="7"/>
  <c r="F49" i="7"/>
  <c r="G45" i="8"/>
  <c r="G49" i="8"/>
  <c r="D91" i="6"/>
  <c r="D100" i="6" s="1"/>
  <c r="D102" i="6" s="1"/>
  <c r="D118" i="6" s="1"/>
  <c r="D84" i="7"/>
  <c r="D83" i="7"/>
  <c r="D82" i="7"/>
  <c r="D81" i="7"/>
  <c r="D80" i="7"/>
  <c r="D74" i="7"/>
  <c r="D73" i="7"/>
  <c r="D72" i="7"/>
  <c r="D71" i="7"/>
  <c r="D70" i="7"/>
  <c r="D69" i="7"/>
  <c r="D90" i="7"/>
  <c r="D91" i="7" s="1"/>
  <c r="D96" i="7" s="1"/>
  <c r="D37" i="7"/>
  <c r="D36" i="7"/>
  <c r="D110" i="7"/>
  <c r="D67" i="5"/>
  <c r="D48" i="5"/>
  <c r="D51" i="5"/>
  <c r="D101" i="9"/>
  <c r="D105" i="9" s="1"/>
  <c r="D114" i="9" s="1"/>
  <c r="G101" i="8"/>
  <c r="G105" i="8" s="1"/>
  <c r="G114" i="8" s="1"/>
  <c r="F101" i="7"/>
  <c r="F105" i="7" s="1"/>
  <c r="F114" i="7" s="1"/>
  <c r="G101" i="9"/>
  <c r="G105" i="9" s="1"/>
  <c r="G114" i="9" s="1"/>
  <c r="F101" i="8"/>
  <c r="F105" i="8" s="1"/>
  <c r="F114" i="8" s="1"/>
  <c r="E101" i="7"/>
  <c r="E105" i="7" s="1"/>
  <c r="E114" i="7" s="1"/>
  <c r="D106" i="6"/>
  <c r="D110" i="6" s="1"/>
  <c r="D119" i="6" s="1"/>
  <c r="D101" i="8"/>
  <c r="D105" i="8" s="1"/>
  <c r="D114" i="8" s="1"/>
  <c r="G101" i="7"/>
  <c r="G105" i="7" s="1"/>
  <c r="G114" i="7" s="1"/>
  <c r="E101" i="9"/>
  <c r="E105" i="9" s="1"/>
  <c r="E114" i="9" s="1"/>
  <c r="E101" i="8"/>
  <c r="E105" i="8" s="1"/>
  <c r="E114" i="8" s="1"/>
  <c r="F101" i="9"/>
  <c r="F105" i="9" s="1"/>
  <c r="F114" i="9" s="1"/>
  <c r="D101" i="7"/>
  <c r="D105" i="7" s="1"/>
  <c r="D114" i="7" s="1"/>
  <c r="F43" i="7"/>
  <c r="F47" i="7"/>
  <c r="G43" i="8"/>
  <c r="E38" i="9"/>
  <c r="F42" i="7"/>
  <c r="F46" i="7"/>
  <c r="G42" i="8"/>
  <c r="F86" i="8"/>
  <c r="F95" i="8" s="1"/>
  <c r="F97" i="8" s="1"/>
  <c r="F113" i="8" s="1"/>
  <c r="F86" i="7"/>
  <c r="F95" i="7" s="1"/>
  <c r="F97" i="7" s="1"/>
  <c r="F113" i="7" s="1"/>
  <c r="D49" i="5"/>
  <c r="F48" i="8"/>
  <c r="G75" i="7"/>
  <c r="G112" i="7" s="1"/>
  <c r="F44" i="7"/>
  <c r="F48" i="7"/>
  <c r="G44" i="8"/>
  <c r="G48" i="8"/>
  <c r="D47" i="5"/>
  <c r="D80" i="6"/>
  <c r="D117" i="6" s="1"/>
  <c r="D43" i="6"/>
  <c r="F43" i="8" l="1"/>
  <c r="F42" i="8"/>
  <c r="F44" i="8"/>
  <c r="G38" i="9"/>
  <c r="G46" i="9" s="1"/>
  <c r="F49" i="8"/>
  <c r="F46" i="8"/>
  <c r="E86" i="8"/>
  <c r="E95" i="8" s="1"/>
  <c r="E97" i="8" s="1"/>
  <c r="E113" i="8" s="1"/>
  <c r="E38" i="7"/>
  <c r="E46" i="7" s="1"/>
  <c r="K117" i="2"/>
  <c r="L117" i="2" s="1"/>
  <c r="K116" i="2"/>
  <c r="L116" i="2" s="1"/>
  <c r="M116" i="2" s="1"/>
  <c r="E75" i="8"/>
  <c r="E112" i="8" s="1"/>
  <c r="F44" i="9"/>
  <c r="G75" i="9"/>
  <c r="G112" i="9" s="1"/>
  <c r="G86" i="9"/>
  <c r="G95" i="9" s="1"/>
  <c r="G97" i="9" s="1"/>
  <c r="G113" i="9" s="1"/>
  <c r="F42" i="9"/>
  <c r="F46" i="9"/>
  <c r="F49" i="9"/>
  <c r="F47" i="9"/>
  <c r="F45" i="9"/>
  <c r="F43" i="9"/>
  <c r="F48" i="9"/>
  <c r="E86" i="7"/>
  <c r="E95" i="7" s="1"/>
  <c r="E97" i="7" s="1"/>
  <c r="E113" i="7" s="1"/>
  <c r="F86" i="9"/>
  <c r="F95" i="9" s="1"/>
  <c r="F97" i="9" s="1"/>
  <c r="F113" i="9" s="1"/>
  <c r="E75" i="7"/>
  <c r="E112" i="7" s="1"/>
  <c r="F50" i="8"/>
  <c r="F63" i="8" s="1"/>
  <c r="F65" i="8" s="1"/>
  <c r="F111" i="8" s="1"/>
  <c r="F115" i="8" s="1"/>
  <c r="F10" i="4" s="1"/>
  <c r="G10" i="4" s="1"/>
  <c r="D55" i="5"/>
  <c r="D68" i="5" s="1"/>
  <c r="D70" i="5" s="1"/>
  <c r="D116" i="5" s="1"/>
  <c r="D120" i="5" s="1"/>
  <c r="E45" i="7"/>
  <c r="D75" i="7"/>
  <c r="D112" i="7" s="1"/>
  <c r="E48" i="7"/>
  <c r="F75" i="9"/>
  <c r="F112" i="9" s="1"/>
  <c r="G43" i="9"/>
  <c r="G49" i="9"/>
  <c r="M114" i="2"/>
  <c r="D67" i="6"/>
  <c r="D52" i="6"/>
  <c r="D50" i="6"/>
  <c r="D51" i="6"/>
  <c r="D54" i="6"/>
  <c r="D48" i="6"/>
  <c r="D47" i="6"/>
  <c r="D53" i="6"/>
  <c r="D49" i="6"/>
  <c r="E46" i="9"/>
  <c r="E62" i="9"/>
  <c r="E48" i="9"/>
  <c r="E42" i="9"/>
  <c r="E44" i="9"/>
  <c r="E45" i="9"/>
  <c r="E47" i="9"/>
  <c r="E43" i="9"/>
  <c r="E49" i="9"/>
  <c r="G62" i="7"/>
  <c r="G42" i="7"/>
  <c r="G43" i="7"/>
  <c r="G48" i="7"/>
  <c r="G44" i="7"/>
  <c r="G45" i="7"/>
  <c r="G49" i="7"/>
  <c r="G47" i="7"/>
  <c r="G46" i="7"/>
  <c r="G77" i="10"/>
  <c r="I6" i="1" s="1"/>
  <c r="J6" i="1" s="1"/>
  <c r="E50" i="8"/>
  <c r="E63" i="8" s="1"/>
  <c r="E65" i="8" s="1"/>
  <c r="E111" i="8" s="1"/>
  <c r="D86" i="9"/>
  <c r="D95" i="9" s="1"/>
  <c r="D97" i="9" s="1"/>
  <c r="D113" i="9" s="1"/>
  <c r="D75" i="8"/>
  <c r="D112" i="8" s="1"/>
  <c r="D86" i="7"/>
  <c r="D95" i="7" s="1"/>
  <c r="D97" i="7" s="1"/>
  <c r="D113" i="7" s="1"/>
  <c r="D38" i="9"/>
  <c r="D38" i="8"/>
  <c r="F50" i="7"/>
  <c r="F63" i="7" s="1"/>
  <c r="F65" i="7" s="1"/>
  <c r="F111" i="7" s="1"/>
  <c r="F115" i="7" s="1"/>
  <c r="F9" i="4" s="1"/>
  <c r="G9" i="4" s="1"/>
  <c r="D38" i="7"/>
  <c r="D75" i="9"/>
  <c r="D112" i="9" s="1"/>
  <c r="D86" i="8"/>
  <c r="D95" i="8" s="1"/>
  <c r="D97" i="8" s="1"/>
  <c r="D113" i="8" s="1"/>
  <c r="G50" i="8"/>
  <c r="G63" i="8" s="1"/>
  <c r="G65" i="8" s="1"/>
  <c r="G111" i="8" s="1"/>
  <c r="G115" i="8" s="1"/>
  <c r="F16" i="4" s="1"/>
  <c r="G16" i="4" s="1"/>
  <c r="E115" i="8" l="1"/>
  <c r="F13" i="4" s="1"/>
  <c r="G13" i="4" s="1"/>
  <c r="G44" i="9"/>
  <c r="G47" i="9"/>
  <c r="G50" i="9" s="1"/>
  <c r="G63" i="9" s="1"/>
  <c r="G65" i="9" s="1"/>
  <c r="G111" i="9" s="1"/>
  <c r="G115" i="9" s="1"/>
  <c r="F17" i="4" s="1"/>
  <c r="G17" i="4" s="1"/>
  <c r="E47" i="7"/>
  <c r="E49" i="7"/>
  <c r="G45" i="9"/>
  <c r="E44" i="7"/>
  <c r="G62" i="9"/>
  <c r="E62" i="7"/>
  <c r="G42" i="9"/>
  <c r="E43" i="7"/>
  <c r="E42" i="7"/>
  <c r="E50" i="7" s="1"/>
  <c r="E63" i="7" s="1"/>
  <c r="E65" i="7" s="1"/>
  <c r="E111" i="7" s="1"/>
  <c r="E115" i="7" s="1"/>
  <c r="F12" i="4" s="1"/>
  <c r="G12" i="4" s="1"/>
  <c r="G48" i="9"/>
  <c r="L120" i="2"/>
  <c r="I7" i="1" s="1"/>
  <c r="J7" i="1" s="1"/>
  <c r="M117" i="2"/>
  <c r="M120" i="2" s="1"/>
  <c r="F50" i="9"/>
  <c r="F63" i="9" s="1"/>
  <c r="F65" i="9" s="1"/>
  <c r="F111" i="9" s="1"/>
  <c r="F115" i="9" s="1"/>
  <c r="F11" i="4" s="1"/>
  <c r="G11" i="4" s="1"/>
  <c r="J79" i="10"/>
  <c r="D62" i="9"/>
  <c r="D49" i="9"/>
  <c r="D46" i="9"/>
  <c r="D42" i="9"/>
  <c r="D47" i="9"/>
  <c r="D43" i="9"/>
  <c r="D48" i="9"/>
  <c r="D44" i="9"/>
  <c r="D45" i="9"/>
  <c r="D62" i="8"/>
  <c r="D45" i="8"/>
  <c r="D42" i="8"/>
  <c r="D47" i="8"/>
  <c r="D44" i="8"/>
  <c r="D46" i="8"/>
  <c r="D49" i="8"/>
  <c r="D48" i="8"/>
  <c r="D43" i="8"/>
  <c r="F3" i="4"/>
  <c r="G3" i="4" s="1"/>
  <c r="F4" i="4"/>
  <c r="G4" i="4" s="1"/>
  <c r="D62" i="7"/>
  <c r="D43" i="7"/>
  <c r="D48" i="7"/>
  <c r="D49" i="7"/>
  <c r="D42" i="7"/>
  <c r="D44" i="7"/>
  <c r="D47" i="7"/>
  <c r="D46" i="7"/>
  <c r="D45" i="7"/>
  <c r="G50" i="7"/>
  <c r="G63" i="7" s="1"/>
  <c r="G65" i="7" s="1"/>
  <c r="G111" i="7" s="1"/>
  <c r="G115" i="7" s="1"/>
  <c r="F15" i="4" s="1"/>
  <c r="G15" i="4" s="1"/>
  <c r="J78" i="10"/>
  <c r="E50" i="9"/>
  <c r="E63" i="9" s="1"/>
  <c r="E65" i="9" s="1"/>
  <c r="E111" i="9" s="1"/>
  <c r="E115" i="9" s="1"/>
  <c r="F14" i="4" s="1"/>
  <c r="G14" i="4" s="1"/>
  <c r="D55" i="6"/>
  <c r="D68" i="6" s="1"/>
  <c r="D70" i="6" s="1"/>
  <c r="D116" i="6" s="1"/>
  <c r="D120" i="6" s="1"/>
  <c r="F5" i="4" s="1"/>
  <c r="G5" i="4" s="1"/>
  <c r="N115" i="2" l="1"/>
  <c r="N118" i="2"/>
  <c r="N116" i="2"/>
  <c r="N119" i="2"/>
  <c r="N117" i="2"/>
  <c r="N114" i="2"/>
  <c r="D50" i="8"/>
  <c r="D63" i="8" s="1"/>
  <c r="D65" i="8" s="1"/>
  <c r="D111" i="8" s="1"/>
  <c r="D115" i="8" s="1"/>
  <c r="F7" i="4" s="1"/>
  <c r="G7" i="4" s="1"/>
  <c r="D50" i="9"/>
  <c r="D63" i="9" s="1"/>
  <c r="D65" i="9" s="1"/>
  <c r="D111" i="9" s="1"/>
  <c r="D115" i="9" s="1"/>
  <c r="F8" i="4" s="1"/>
  <c r="G8" i="4" s="1"/>
  <c r="D50" i="7"/>
  <c r="D63" i="7" s="1"/>
  <c r="D65" i="7" s="1"/>
  <c r="D111" i="7" s="1"/>
  <c r="D115" i="7" s="1"/>
  <c r="F6" i="4" s="1"/>
  <c r="G6" i="4" s="1"/>
  <c r="N120" i="2" l="1"/>
  <c r="G18" i="4"/>
  <c r="I4" i="1" l="1"/>
  <c r="J4" i="1" s="1"/>
  <c r="J13" i="1" s="1"/>
  <c r="I5" i="1" l="1"/>
  <c r="J5" i="1" s="1"/>
  <c r="A11" i="1" s="1"/>
  <c r="H11" i="1" s="1"/>
  <c r="J14" i="1" s="1"/>
  <c r="J69" i="1" s="1"/>
  <c r="I58" i="1"/>
  <c r="I50" i="1"/>
  <c r="I42" i="1"/>
  <c r="I34" i="1"/>
  <c r="I26" i="1"/>
  <c r="I59" i="1"/>
  <c r="I41" i="1"/>
  <c r="I62" i="1"/>
  <c r="I55" i="1"/>
  <c r="I39" i="1"/>
  <c r="I31" i="1"/>
  <c r="I23" i="1"/>
  <c r="I60" i="1"/>
  <c r="I69" i="1"/>
  <c r="I56" i="1"/>
  <c r="I48" i="1"/>
  <c r="I40" i="1"/>
  <c r="I32" i="1"/>
  <c r="I24" i="1"/>
  <c r="I53" i="1"/>
  <c r="I19" i="1"/>
  <c r="I67" i="1"/>
  <c r="I51" i="1"/>
  <c r="I37" i="1"/>
  <c r="I29" i="1"/>
  <c r="I21" i="1"/>
  <c r="I65" i="1"/>
  <c r="I54" i="1"/>
  <c r="I46" i="1"/>
  <c r="I38" i="1"/>
  <c r="I30" i="1"/>
  <c r="I22" i="1"/>
  <c r="I49" i="1"/>
  <c r="I70" i="1"/>
  <c r="I63" i="1"/>
  <c r="I45" i="1"/>
  <c r="I35" i="1"/>
  <c r="I27" i="1"/>
  <c r="I64" i="1"/>
  <c r="I61" i="1"/>
  <c r="I52" i="1"/>
  <c r="I44" i="1"/>
  <c r="I36" i="1"/>
  <c r="I28" i="1"/>
  <c r="I20" i="1"/>
  <c r="I47" i="1"/>
  <c r="I66" i="1"/>
  <c r="I57" i="1"/>
  <c r="I43" i="1"/>
  <c r="I33" i="1"/>
  <c r="I25" i="1"/>
  <c r="I68" i="1"/>
  <c r="J59" i="1" l="1"/>
  <c r="J57" i="1"/>
  <c r="J45" i="1"/>
  <c r="J70" i="1"/>
  <c r="J37" i="1"/>
  <c r="J15" i="1"/>
  <c r="J49" i="1"/>
  <c r="J29" i="1"/>
  <c r="J50" i="1"/>
  <c r="J54" i="1"/>
  <c r="J46" i="1"/>
  <c r="J67" i="1"/>
  <c r="J31" i="1"/>
  <c r="J33" i="1"/>
  <c r="J25" i="1"/>
  <c r="J27" i="1"/>
  <c r="J58" i="1"/>
  <c r="J62" i="1"/>
  <c r="J64" i="1"/>
  <c r="J23" i="1"/>
  <c r="J52" i="1"/>
  <c r="J43" i="1"/>
  <c r="J42" i="1"/>
  <c r="J38" i="1"/>
  <c r="J65" i="1"/>
  <c r="J30" i="1"/>
  <c r="J24" i="1"/>
  <c r="J36" i="1"/>
  <c r="J32" i="1"/>
  <c r="J61" i="1"/>
  <c r="J26" i="1"/>
  <c r="J48" i="1"/>
  <c r="J55" i="1"/>
  <c r="J63" i="1"/>
  <c r="J41" i="1"/>
  <c r="J66" i="1"/>
  <c r="J19" i="1"/>
  <c r="J39" i="1"/>
  <c r="J47" i="1"/>
  <c r="J60" i="1"/>
  <c r="J34" i="1"/>
  <c r="J68" i="1"/>
  <c r="J28" i="1"/>
  <c r="J35" i="1"/>
  <c r="J56" i="1"/>
  <c r="J44" i="1"/>
  <c r="J21" i="1"/>
  <c r="J40" i="1"/>
  <c r="J51" i="1"/>
  <c r="J22" i="1"/>
  <c r="J20" i="1"/>
  <c r="J53" i="1"/>
  <c r="I71" i="1"/>
  <c r="B57" i="13" s="1"/>
  <c r="J71" i="1" l="1"/>
  <c r="L70" i="1"/>
  <c r="L51" i="1"/>
  <c r="L36" i="1"/>
  <c r="I72" i="1"/>
  <c r="J83" i="1" s="1"/>
  <c r="F48" i="13"/>
  <c r="G48" i="13" s="1"/>
  <c r="F40" i="13"/>
  <c r="G40" i="13" s="1"/>
  <c r="F32" i="13"/>
  <c r="G32" i="13" s="1"/>
  <c r="F24" i="13"/>
  <c r="G24" i="13" s="1"/>
  <c r="F16" i="13"/>
  <c r="G16" i="13" s="1"/>
  <c r="F8" i="13"/>
  <c r="G8" i="13" s="1"/>
  <c r="F44" i="13"/>
  <c r="G44" i="13" s="1"/>
  <c r="F28" i="13"/>
  <c r="G28" i="13" s="1"/>
  <c r="F12" i="13"/>
  <c r="G12" i="13" s="1"/>
  <c r="F52" i="13"/>
  <c r="G52" i="13" s="1"/>
  <c r="F36" i="13"/>
  <c r="G36" i="13" s="1"/>
  <c r="F20" i="13"/>
  <c r="G20" i="13" s="1"/>
  <c r="F4" i="13"/>
  <c r="G4" i="13" s="1"/>
  <c r="F39" i="13"/>
  <c r="G39" i="13" s="1"/>
  <c r="F35" i="13"/>
  <c r="G35" i="13" s="1"/>
  <c r="F7" i="13"/>
  <c r="G7" i="13" s="1"/>
  <c r="F31" i="13"/>
  <c r="G31" i="13" s="1"/>
  <c r="F19" i="13"/>
  <c r="G19" i="13" s="1"/>
  <c r="F51" i="13"/>
  <c r="G51" i="13" s="1"/>
  <c r="F15" i="13"/>
  <c r="G15" i="13" s="1"/>
  <c r="F43" i="13"/>
  <c r="G43" i="13" s="1"/>
  <c r="F23" i="13"/>
  <c r="G23" i="13" s="1"/>
  <c r="F47" i="13"/>
  <c r="G47" i="13" s="1"/>
  <c r="F27" i="13"/>
  <c r="G27" i="13" s="1"/>
  <c r="F55" i="13"/>
  <c r="G55" i="13" s="1"/>
  <c r="F3" i="13"/>
  <c r="F11" i="13"/>
  <c r="G11" i="13" s="1"/>
  <c r="F14" i="13"/>
  <c r="G14" i="13" s="1"/>
  <c r="F17" i="13"/>
  <c r="G17" i="13" s="1"/>
  <c r="F34" i="13"/>
  <c r="G34" i="13" s="1"/>
  <c r="F9" i="13"/>
  <c r="G9" i="13" s="1"/>
  <c r="F37" i="13"/>
  <c r="G37" i="13" s="1"/>
  <c r="F33" i="13"/>
  <c r="G33" i="13" s="1"/>
  <c r="F45" i="13"/>
  <c r="G45" i="13" s="1"/>
  <c r="F10" i="13"/>
  <c r="G10" i="13" s="1"/>
  <c r="F38" i="13"/>
  <c r="G38" i="13" s="1"/>
  <c r="F46" i="13"/>
  <c r="G46" i="13" s="1"/>
  <c r="F5" i="13"/>
  <c r="G5" i="13" s="1"/>
  <c r="F54" i="13"/>
  <c r="G54" i="13" s="1"/>
  <c r="F13" i="13"/>
  <c r="G13" i="13" s="1"/>
  <c r="F53" i="13"/>
  <c r="G53" i="13" s="1"/>
  <c r="F6" i="13"/>
  <c r="G6" i="13" s="1"/>
  <c r="F29" i="13"/>
  <c r="G29" i="13" s="1"/>
  <c r="F30" i="13"/>
  <c r="G30" i="13" s="1"/>
  <c r="F41" i="13"/>
  <c r="G41" i="13" s="1"/>
  <c r="F26" i="13"/>
  <c r="G26" i="13" s="1"/>
  <c r="F22" i="13"/>
  <c r="G22" i="13" s="1"/>
  <c r="F18" i="13"/>
  <c r="G18" i="13" s="1"/>
  <c r="F21" i="13"/>
  <c r="G21" i="13" s="1"/>
  <c r="F49" i="13"/>
  <c r="G49" i="13" s="1"/>
  <c r="F50" i="13"/>
  <c r="G50" i="13" s="1"/>
  <c r="F25" i="13"/>
  <c r="G25" i="13" s="1"/>
  <c r="F42" i="13"/>
  <c r="G42" i="13" s="1"/>
  <c r="J85" i="1" l="1"/>
  <c r="F56" i="13"/>
  <c r="G3" i="13"/>
  <c r="G56" i="13" s="1"/>
  <c r="B4" i="15" l="1"/>
  <c r="C4" i="15" l="1"/>
  <c r="D4" i="15" s="1"/>
  <c r="B8" i="15"/>
  <c r="C8" i="15" l="1"/>
  <c r="D8" i="15" s="1"/>
  <c r="E4" i="15"/>
  <c r="F4" i="15" l="1"/>
  <c r="E8" i="15"/>
  <c r="G4" i="15" l="1"/>
  <c r="F8" i="15"/>
  <c r="B14" i="15" l="1"/>
  <c r="G8" i="15"/>
  <c r="C14" i="15" l="1"/>
  <c r="B18" i="15"/>
  <c r="D14" i="15" l="1"/>
  <c r="C18" i="15"/>
  <c r="E14" i="15" l="1"/>
  <c r="D18" i="15"/>
  <c r="F14" i="15" l="1"/>
  <c r="E18" i="15"/>
  <c r="G14" i="15" l="1"/>
  <c r="H14" i="15" s="1"/>
  <c r="F18" i="15"/>
  <c r="G16" i="15" l="1"/>
  <c r="G18" i="15"/>
  <c r="B6" i="15" l="1"/>
  <c r="C6" i="15"/>
  <c r="D6" i="15"/>
  <c r="E6" i="15"/>
  <c r="F6" i="15"/>
  <c r="G6" i="15"/>
  <c r="B16" i="15"/>
  <c r="C16" i="15"/>
  <c r="D16" i="15"/>
  <c r="E16" i="15"/>
  <c r="F16" i="15"/>
  <c r="B10" i="15" l="1"/>
  <c r="C10" i="15" s="1"/>
  <c r="D10" i="15" s="1"/>
  <c r="E10" i="15" s="1"/>
  <c r="F10" i="15" s="1"/>
  <c r="G10" i="15" s="1"/>
  <c r="B20" i="15" s="1"/>
  <c r="C20" i="15" s="1"/>
  <c r="D20" i="15" s="1"/>
  <c r="E20" i="15" s="1"/>
  <c r="F20" i="15" s="1"/>
  <c r="G20" i="15" s="1"/>
  <c r="H1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8" authorId="0" shapeId="0" xr:uid="{00000000-0006-0000-0000-000001000000}">
      <text>
        <r>
          <rPr>
            <b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>Valor Mensal da Mão de Obra e Deslocamentos, Pedágios e Pernoites</t>
        </r>
      </text>
    </comment>
    <comment ref="J18" authorId="0" shapeId="0" xr:uid="{00000000-0006-0000-0000-000002000000}">
      <text>
        <r>
          <rPr>
            <b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>Valor Mensal de Materiais e Equipamentos</t>
        </r>
      </text>
    </comment>
    <comment ref="I75" authorId="0" shapeId="0" xr:uid="{F7750299-CEC6-4DF0-887E-2246EF78AFF2}">
      <text>
        <r>
          <rPr>
            <b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>Valor Mensal da Mão de Obra e Deslocamentos, Pedágios e Pernoites Eventuais</t>
        </r>
      </text>
    </comment>
    <comment ref="J75" authorId="0" shapeId="0" xr:uid="{84FA93DA-30D6-442B-9C59-88D15DD796C3}">
      <text>
        <r>
          <rPr>
            <b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>Valor Mensal de Materiais e Equipamentos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5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6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7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8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sharedStrings.xml><?xml version="1.0" encoding="utf-8"?>
<sst xmlns="http://schemas.openxmlformats.org/spreadsheetml/2006/main" count="3076" uniqueCount="1050">
  <si>
    <t>ANEXO II – PLANILHA ESTIMATIVA DE CUSTOS CONSOLIDADA</t>
  </si>
  <si>
    <t>QUADRO-RESUMO DO VALOR MENSAL DOS SERVIÇOS</t>
  </si>
  <si>
    <t>Item</t>
  </si>
  <si>
    <t>Descrição</t>
  </si>
  <si>
    <t>Unidade</t>
  </si>
  <si>
    <t>Quantidade</t>
  </si>
  <si>
    <t>Valor Unitário</t>
  </si>
  <si>
    <t>Subtotal</t>
  </si>
  <si>
    <t>A</t>
  </si>
  <si>
    <t>Mão de Obra (ANEXO V)</t>
  </si>
  <si>
    <t>Mês</t>
  </si>
  <si>
    <t>B</t>
  </si>
  <si>
    <t>Materiais (35% do Valor Mensal da Mão de Obra)</t>
  </si>
  <si>
    <t>C</t>
  </si>
  <si>
    <t>Equipamentos (ANEXO VI)</t>
  </si>
  <si>
    <t>D</t>
  </si>
  <si>
    <t>Deslocamentos, Pedágios e Pernoites (ANEXO III)</t>
  </si>
  <si>
    <t>DESCONTO SOBRE MATERIAIS</t>
  </si>
  <si>
    <t>Materiais sem Desconto</t>
  </si>
  <si>
    <t>Materiais com Desconto</t>
  </si>
  <si>
    <t>E</t>
  </si>
  <si>
    <t>Valor Mensal da Mão de Obra e Deslocamentos, Pedágios e Pernoites (A+D)</t>
  </si>
  <si>
    <t>F</t>
  </si>
  <si>
    <t>Valor Mensal de Materiais e Equipamentos (B+C)</t>
  </si>
  <si>
    <t>Valor Mensal dos Serviços, sem BDI</t>
  </si>
  <si>
    <t>QUADRO-RESUMO DO VALOR MENSAL DOS SERVIÇOS POR UNIDADE</t>
  </si>
  <si>
    <t>Área Considerada (m²)</t>
  </si>
  <si>
    <t>ISS</t>
  </si>
  <si>
    <t>BDI com ISS</t>
  </si>
  <si>
    <t>BDI sem ISS</t>
  </si>
  <si>
    <t>Valor Unitário com BDI com ISS</t>
  </si>
  <si>
    <t>Valor Unitário com BDI sem ISS</t>
  </si>
  <si>
    <t>Subtotal Serviços de Manutenção Predial</t>
  </si>
  <si>
    <t>Subtotal Materiais e Equipamentos</t>
  </si>
  <si>
    <t>GEX Niterói</t>
  </si>
  <si>
    <t>APS Niterói – Centro</t>
  </si>
  <si>
    <t>APS Niterói – Bairro de Fátima</t>
  </si>
  <si>
    <t>CEDOCPREV Niterói</t>
  </si>
  <si>
    <t>APS Niterói – Barreto</t>
  </si>
  <si>
    <t>APS São Gonçalo – Paraíso</t>
  </si>
  <si>
    <t>APS São Gonçalo – Centro</t>
  </si>
  <si>
    <t>APS Maricá</t>
  </si>
  <si>
    <t>APS Itaboraí</t>
  </si>
  <si>
    <t>APS Rio Bonito</t>
  </si>
  <si>
    <t>APS Tanguá</t>
  </si>
  <si>
    <t>APS Silva Jardim</t>
  </si>
  <si>
    <t>APS São Pedro da Aldeia</t>
  </si>
  <si>
    <t>APS Araruama</t>
  </si>
  <si>
    <t>APS Cabo Frio</t>
  </si>
  <si>
    <t>APS Arraial do Cabo</t>
  </si>
  <si>
    <t>Almoxarifado Niterói</t>
  </si>
  <si>
    <t>Depósito Niterói</t>
  </si>
  <si>
    <t>GEX / APS Duque de Caxias</t>
  </si>
  <si>
    <t>APS Belford Roxo</t>
  </si>
  <si>
    <t>APS Jardim Primavera</t>
  </si>
  <si>
    <t>APS Itaguai</t>
  </si>
  <si>
    <t>APS Japeri</t>
  </si>
  <si>
    <t>APS Mage</t>
  </si>
  <si>
    <t>APS Mesquita</t>
  </si>
  <si>
    <t>APS Nilopolis</t>
  </si>
  <si>
    <t>APS Nova Iguaçu</t>
  </si>
  <si>
    <t>APS Paracambi</t>
  </si>
  <si>
    <t>APS Queimados</t>
  </si>
  <si>
    <t>APS São João de Meriti</t>
  </si>
  <si>
    <t>APS BI Duque de Caxias</t>
  </si>
  <si>
    <t>APS Guapimirim</t>
  </si>
  <si>
    <t>CEDOCPREV Duque de Caxias</t>
  </si>
  <si>
    <t>GEX / APS Campos dos Goytacazes</t>
  </si>
  <si>
    <t>APS BI Campos dos Goytacazes</t>
  </si>
  <si>
    <t>APS Cambuci</t>
  </si>
  <si>
    <t>APS Cardoso Moreira</t>
  </si>
  <si>
    <t>APS Itaocara</t>
  </si>
  <si>
    <t>APS Italva</t>
  </si>
  <si>
    <t>APS Itaperuna</t>
  </si>
  <si>
    <t>APS Miracema</t>
  </si>
  <si>
    <t>APS Natividade</t>
  </si>
  <si>
    <t>APS Porciúncula</t>
  </si>
  <si>
    <t>APS Santo Antônio de Pádua</t>
  </si>
  <si>
    <t>APS São Fidelis</t>
  </si>
  <si>
    <t>APS São João da Barra</t>
  </si>
  <si>
    <t>APS Casimiro de Abreu</t>
  </si>
  <si>
    <t>APS Macaé</t>
  </si>
  <si>
    <t>Procuradoria Federal Especializada – INSS</t>
  </si>
  <si>
    <t>Quadra (Depósito)</t>
  </si>
  <si>
    <t>APS Bom Jesus do Itabapoana</t>
  </si>
  <si>
    <t>APS São Francisco do Itabapoana</t>
  </si>
  <si>
    <t>Valor Total</t>
  </si>
  <si>
    <t>Valor Mensal dos Serviços, com BDI</t>
  </si>
  <si>
    <t>QUADRO-RESUMO DA CONTRATAÇÃO</t>
  </si>
  <si>
    <t>I</t>
  </si>
  <si>
    <t>ÁREA TOTAL DAS UNIDADES</t>
  </si>
  <si>
    <t>m²</t>
  </si>
  <si>
    <t>II</t>
  </si>
  <si>
    <t>CUSTO MÉDIO MENSAL POR M²</t>
  </si>
  <si>
    <t>R$/m²</t>
  </si>
  <si>
    <t>III</t>
  </si>
  <si>
    <t>VALOR TOTAL MENSAL</t>
  </si>
  <si>
    <t>R$</t>
  </si>
  <si>
    <t>IV</t>
  </si>
  <si>
    <t>VALOR TOTAL GLOBAL</t>
  </si>
  <si>
    <t>ANEXO III A – PLANILHA ESTIMATIVA DE DESLOCAMENTOS (QUILOMETRAGEM, PERNOITES E PEDÁGIOS)</t>
  </si>
  <si>
    <t>DESLOCAMENTOS PARA MANUTENÇÃO PREVENTIVA E CORRETIVA</t>
  </si>
  <si>
    <t>ITEM</t>
  </si>
  <si>
    <t>EQUIPE</t>
  </si>
  <si>
    <t>SEMANA</t>
  </si>
  <si>
    <t>UNIDADE</t>
  </si>
  <si>
    <t>DIA</t>
  </si>
  <si>
    <t>REFERÊNCIA DE ORIGEM</t>
  </si>
  <si>
    <t>DISTÂNCIA DE IDA (KM)</t>
  </si>
  <si>
    <t>DISTÂNCIA DE RETORNO (KM)</t>
  </si>
  <si>
    <t>DISTÂNCIA TOTAL (KM)</t>
  </si>
  <si>
    <t>TEMPO DE DESLOCAMENTO (HORAS)</t>
  </si>
  <si>
    <t>DURAÇÃO VISITA (TOTAL DIAS)</t>
  </si>
  <si>
    <t>PERNOITES</t>
  </si>
  <si>
    <t>PEDÁGIOS</t>
  </si>
  <si>
    <t>GEX/APS DUQUE DE CAXIAS</t>
  </si>
  <si>
    <t>GEXDUQ</t>
  </si>
  <si>
    <t>CEDOCPREV</t>
  </si>
  <si>
    <t>APS BI D CAXIAS</t>
  </si>
  <si>
    <t>APS SAO JOAO DE MERITI</t>
  </si>
  <si>
    <t>APS BELFORD ROXO</t>
  </si>
  <si>
    <t>-</t>
  </si>
  <si>
    <t>APS JARDIM PRIMAVERA</t>
  </si>
  <si>
    <t>APS MAGE</t>
  </si>
  <si>
    <t>APS GUAPIMIRIM</t>
  </si>
  <si>
    <t>APS NOVA IGUAÇU</t>
  </si>
  <si>
    <t>APS MESQUITA</t>
  </si>
  <si>
    <t>APS NILOPOLIS</t>
  </si>
  <si>
    <t>APS ITAGUAI</t>
  </si>
  <si>
    <t>APS QUEIMADOS</t>
  </si>
  <si>
    <t>APS JAPERI</t>
  </si>
  <si>
    <t>APS PARACAMBI</t>
  </si>
  <si>
    <t>APS NITEROI – BAIRRO FATIMA</t>
  </si>
  <si>
    <t>GEXNIT</t>
  </si>
  <si>
    <t>APS NITEROI – BARRETO</t>
  </si>
  <si>
    <t>APS SAO GONÇALO – PARAISO</t>
  </si>
  <si>
    <t>APS SAO GONÇALO</t>
  </si>
  <si>
    <t>APS ARRAIAL DO CABO</t>
  </si>
  <si>
    <t>APS CABO FRIO</t>
  </si>
  <si>
    <t>APS MARICÁ</t>
  </si>
  <si>
    <t>APS ITABORAÍ</t>
  </si>
  <si>
    <t>APS RIO BONITO</t>
  </si>
  <si>
    <t>DEPÓSITO</t>
  </si>
  <si>
    <t>APS TANGUÁ</t>
  </si>
  <si>
    <t>APS SILVA JARDIM</t>
  </si>
  <si>
    <t>APS SAO PEDRO DA ALDEIA</t>
  </si>
  <si>
    <t>APS ARARUAMA</t>
  </si>
  <si>
    <t>APSBI- CAMPOS DOS GOYTACAZES</t>
  </si>
  <si>
    <t>GEXCGT</t>
  </si>
  <si>
    <t>QUADRA (depósito)</t>
  </si>
  <si>
    <t>APS SÃO FIDELIS</t>
  </si>
  <si>
    <t>APS CAMBUCI</t>
  </si>
  <si>
    <t>APS ITAOCARA</t>
  </si>
  <si>
    <t>APS CARDOSO MOREIRA</t>
  </si>
  <si>
    <t>APS ITALVA</t>
  </si>
  <si>
    <t>APS BOM JESUS DO ITABAPOANA</t>
  </si>
  <si>
    <t>APS ITAPERUNA</t>
  </si>
  <si>
    <t>APS NATIVIDADE</t>
  </si>
  <si>
    <t>APS SÃO JOÃO DA BARRA</t>
  </si>
  <si>
    <t>APS MACAÉ</t>
  </si>
  <si>
    <t>APS CASIMIRO DE ABREU</t>
  </si>
  <si>
    <t>APS SÃO FRANCISCO DO ITABAPOANA</t>
  </si>
  <si>
    <t>APS SANTO ANTÔNIO DE PÁDUA</t>
  </si>
  <si>
    <t>APS MIRACEMA</t>
  </si>
  <si>
    <t>APS PORCIÚNCULA</t>
  </si>
  <si>
    <t>GEX CAMPOS DOS GOYTACAZES</t>
  </si>
  <si>
    <t>APS CENTRO - CAMPOS DOS GOYTACAZES</t>
  </si>
  <si>
    <t>PROCURADORIA FEDERAL ESPECIALIZADA - INSS</t>
  </si>
  <si>
    <t>GEX NITERÓI</t>
  </si>
  <si>
    <t>APS NITEROI CENTRO</t>
  </si>
  <si>
    <t>ALMOXARIFADO</t>
  </si>
  <si>
    <t>TOTAIS</t>
  </si>
  <si>
    <t>DESLOCAMENTOS PARA SERVIÇOS EVENTUAIS</t>
  </si>
  <si>
    <t>DURAÇÃO (TOTAL DIAS)</t>
  </si>
  <si>
    <t>PERNOITE</t>
  </si>
  <si>
    <t>PEDÁGIO</t>
  </si>
  <si>
    <t>Banco</t>
  </si>
  <si>
    <t>Código</t>
  </si>
  <si>
    <t>SBC</t>
  </si>
  <si>
    <t>CUSTO QUILOMETRO VOLKSWAGEN GOL 1.0 ANO 2020</t>
  </si>
  <si>
    <t>R$/KM</t>
  </si>
  <si>
    <t>1.1</t>
  </si>
  <si>
    <t>SINAPI</t>
  </si>
  <si>
    <t>GASOLINA COMUM</t>
  </si>
  <si>
    <t>L</t>
  </si>
  <si>
    <t>1.2</t>
  </si>
  <si>
    <t>PNEU 155x13 4 LONAS GOL(/1000)</t>
  </si>
  <si>
    <t>UN</t>
  </si>
  <si>
    <t>1.3</t>
  </si>
  <si>
    <t>LAVAGEM E LUBRIFICACAO VEICULO PEQUENO (/1000)</t>
  </si>
  <si>
    <t>H</t>
  </si>
  <si>
    <t>1.4</t>
  </si>
  <si>
    <t>OLEO LUBRIFICANTE TRANSMISSAO (/1000)</t>
  </si>
  <si>
    <t>1.5</t>
  </si>
  <si>
    <t>MANUTENCAO SISTEMA IGNICAO P.(/1000)</t>
  </si>
  <si>
    <t>1.6</t>
  </si>
  <si>
    <t>AMORTECEDOR VEICULO PEQUENO (/1000)</t>
  </si>
  <si>
    <t>1.7</t>
  </si>
  <si>
    <t>SEGURO VOLKSWAGEN GOL 1.0 ANO 2020 (/1000)</t>
  </si>
  <si>
    <t>1.8</t>
  </si>
  <si>
    <t>VOLKSWAGEN GOL 1.0 ANO 2020 (/1000)</t>
  </si>
  <si>
    <t>1.9</t>
  </si>
  <si>
    <t>REPOSICAO CAPITAL VOLKSWAGEN GOL 1.0 ANO 2020 (/1000)</t>
  </si>
  <si>
    <t>1.10</t>
  </si>
  <si>
    <t>IPVA VOLKSWAGEN GOL 1.0 ANO 2020 (/1000)</t>
  </si>
  <si>
    <t>CUSTO DA PERNOITE POR MEMBRO DA EQUIPE</t>
  </si>
  <si>
    <t>2.1</t>
  </si>
  <si>
    <t>HOSPEDAGEM HOTEL 3 ESTRELAS</t>
  </si>
  <si>
    <t>2.2</t>
  </si>
  <si>
    <t>REFEIÇÃO/JANTAR</t>
  </si>
  <si>
    <t>RESUMO DAS ESTIMATIVAS DE DESLOCAMENTOS E PERNOITES</t>
  </si>
  <si>
    <t>Valor Mensal</t>
  </si>
  <si>
    <t>Valor Anual</t>
  </si>
  <si>
    <t>%</t>
  </si>
  <si>
    <t>Estimativa - Deslocamentos para Manutenção Preventiva/Corretiva</t>
  </si>
  <si>
    <t>Estimativa - Pedágios e outras Tarifas para Manutenção Preventiva/Corretiva</t>
  </si>
  <si>
    <t xml:space="preserve">Estimativa - Pernoites para Manutenção Preventiva/Corretiva (5 FUNCIONÁRIOS) </t>
  </si>
  <si>
    <t>Estimativa - Deslocamentos para Serviços Eventuais</t>
  </si>
  <si>
    <t>Estimativa - Pedágios e outras Tarifas para Serviços Eventuais</t>
  </si>
  <si>
    <t xml:space="preserve">Estimativa - Pernoites para Serviços Eventuais (5 FUNCIONÁRIOS) </t>
  </si>
  <si>
    <t>ANEXO IV – PLANILHA DE CARACTERIZAÇÃO DOS IMÓVEIS E DIMENSIONAMENTO DE EQUIPES</t>
  </si>
  <si>
    <t>CARACTERIZAÇÃO DO IMÓVEL</t>
  </si>
  <si>
    <t>VISITAS TÉCNICAS</t>
  </si>
  <si>
    <t>Área da Unidade (m²)</t>
  </si>
  <si>
    <t>Área Efetivamente Utilizada (m²)</t>
  </si>
  <si>
    <t>Idade Estimada (Anos)</t>
  </si>
  <si>
    <t>Indicador de Estado de Conservação (Ross-Heidecke)</t>
  </si>
  <si>
    <t>Coeficiente do Estado de Conservação (%)</t>
  </si>
  <si>
    <t>Depreciação Estimada (Ross-Heidecke)</t>
  </si>
  <si>
    <t>Duração Visita (Total Dias)</t>
  </si>
  <si>
    <t>Duração (Total Dias da Equipe)</t>
  </si>
  <si>
    <t>Equipe</t>
  </si>
  <si>
    <t>h</t>
  </si>
  <si>
    <t>e</t>
  </si>
  <si>
    <t>f</t>
  </si>
  <si>
    <t>c</t>
  </si>
  <si>
    <t>a</t>
  </si>
  <si>
    <t>CÁLCULO - QUANTIDADE DE EQUIPE MÍNIMA =</t>
  </si>
  <si>
    <t>Portanto, será necessário:</t>
  </si>
  <si>
    <t>Equipes Mínimas</t>
  </si>
  <si>
    <t>TABELA DE CARACTERÍSTICAS DAS EDIFICAÇÕES PARA ROSS-HEIDECKE</t>
  </si>
  <si>
    <t>CARACTERÍSTICAS FÍSICAS</t>
  </si>
  <si>
    <t>COEFICIENTE C</t>
  </si>
  <si>
    <t>CARACTERÍSTICAS</t>
  </si>
  <si>
    <t>NOVO</t>
  </si>
  <si>
    <t>Edificação nova ou com reforma geral e substancial, com menos de dois anos, que apresente apenas sinais de desgaste natural da pintura.</t>
  </si>
  <si>
    <t>b</t>
  </si>
  <si>
    <t>ENTRE NOVO E REGULAR</t>
  </si>
  <si>
    <t>Edificação nova ou com reforma geral e substancial, com menos de dois anos, que apresente necessidade apenas de uma demão leve de pintura para recompor a sua aparência.</t>
  </si>
  <si>
    <t>REGULAR</t>
  </si>
  <si>
    <t>Edificação seminova ou com reforma geral e substancial entre 2 e 5 anos, cujo estado geral possa ser recuperado apenas com reparos de eventuais fissuras superficiais localizadas e /ou pintura externa e interna.</t>
  </si>
  <si>
    <t>d</t>
  </si>
  <si>
    <t>ENTRE REGULAR E REPAROS SIMPLES</t>
  </si>
  <si>
    <t>Edificação seminova ou com reforma geral e substancial entre 2 e 5 anos, cujo estado geral possa ser recuperado com reparo de fissuras e trincas localizadas e superficiais e pintura externa e interna.</t>
  </si>
  <si>
    <t>REPAROS SIMPLES</t>
  </si>
  <si>
    <t>Edificação cujo estado geral possa ser recuperado com pintura interna e externa, após reparos de fissuras e trincas superficiais generalizadas, sem recuperação do sistema estrutural. Eventualmente, revisão do sistema hidráulico e elétrico.</t>
  </si>
  <si>
    <t>ENTRE REPAROS SIMPLES E IMPORTANTES</t>
  </si>
  <si>
    <t>Edificação cujo estado geral possa ser recuperado com pintura interna e externa, após reparos de fissuras e trincas, e com estabilização e/ou recuperação localizada do sistema estrutural. As instalações hidráulicas e elétricas possam ser restauradas mediante a revisão e com substituição eventual de algumas peças desgastadas naturalmente. Eventualmente possa ser necessária a substituição dos revestimentos de pisos e paredes, de um, ou de outro cômodo. Revisão da impermeabilização ou substituição de telhas da cobertura.</t>
  </si>
  <si>
    <t>g</t>
  </si>
  <si>
    <t>REPAROS IMPORTANTES</t>
  </si>
  <si>
    <t>Edificação cujo estado geral possa ser recuperado com pintura interna e externa, com substituição de panos de regularização da alvenaria, reparos de fissuras e trincas, com estabilização e/ou recuperação de grande parte do sistema estrutural. As instalações hidráulicas e elétricas possam ser restauradas mediante a substituição das peças aparentes. A substituição dos revestimentos de pisos e paredes, da maioria dos cômodos, se faz necessária. Substituição ou reparos importantes na impermeabilização ou no telhado.</t>
  </si>
  <si>
    <t>ENTRE REPAROS IMPORTANTES E SEM VALOR</t>
  </si>
  <si>
    <t>Edificação cujo estado geral possa ser recuperado com estabilização e/ou recuperação do sistema estrutural, substituição da regularização da alvenaria, reparos de fissuras e trincas. Substituição das instalações hidráulicas e elétricas. Substituição dos revestimentos de pisos e paredes. Substituição da impermeabilização ou do telhado.</t>
  </si>
  <si>
    <t>i</t>
  </si>
  <si>
    <t>SEM VALOR</t>
  </si>
  <si>
    <t>Edificação em estado de ruína.</t>
  </si>
  <si>
    <t>ANEXO V - QUADRO-RESUMO DO VALOR MENSAL DA MÃO DE OBRA</t>
  </si>
  <si>
    <t>Categoria Profissional</t>
  </si>
  <si>
    <t>CBO</t>
  </si>
  <si>
    <t>Engenheiro Civil ou Arquiteto</t>
  </si>
  <si>
    <t>2142-05 ou 2141-05</t>
  </si>
  <si>
    <t>Engenheiro Eletricista</t>
  </si>
  <si>
    <t>2143-05</t>
  </si>
  <si>
    <t>Encarregado de Manutenção Predial (GEXCGT)</t>
  </si>
  <si>
    <t>7102-05</t>
  </si>
  <si>
    <t>Eletricista de Manutenção Predial (GEXNIT)</t>
  </si>
  <si>
    <t>7321-05</t>
  </si>
  <si>
    <t>Eletricista de Manutenção Predial (GEXDUQ)</t>
  </si>
  <si>
    <t>Eletricista de Manutenção Predial (GEXCGT)</t>
  </si>
  <si>
    <t>G</t>
  </si>
  <si>
    <t>Oficial de Manutenção Predial (GEXNIT)</t>
  </si>
  <si>
    <t>5143-25</t>
  </si>
  <si>
    <t>Oficial de Manutenção Predial (GEXDUQ)</t>
  </si>
  <si>
    <t>Oficial de Manutenção Predial (GEXCGT)</t>
  </si>
  <si>
    <t>J</t>
  </si>
  <si>
    <t>Instalador-reparador de redes telefônicas e de dados (GEXNIT)</t>
  </si>
  <si>
    <t>7321-30</t>
  </si>
  <si>
    <t>K</t>
  </si>
  <si>
    <t>Instalador-reparador de redes telefônicas e de dados (GEXDUQ)</t>
  </si>
  <si>
    <t>Instalador-reparador de redes telefônicas e de dados (GEXCGT)</t>
  </si>
  <si>
    <t>M</t>
  </si>
  <si>
    <t>Auxiliar de Manutenção Predial (GEXNIT)</t>
  </si>
  <si>
    <t>5143-10</t>
  </si>
  <si>
    <t>N</t>
  </si>
  <si>
    <t>Auxiliar de Manutenção Predial (GEXDUQ)</t>
  </si>
  <si>
    <t>O</t>
  </si>
  <si>
    <t>Auxiliar de Manutenção Predial (GEXCGT)</t>
  </si>
  <si>
    <t>Valor Total da Mão de Obra</t>
  </si>
  <si>
    <t>ANEXO V – PLANILHA DE CUSTOS E FORMAÇÃO DE PREÇOS</t>
  </si>
  <si>
    <t>DISCRIMINAÇÃO DOS SERVIÇOS (DADOS REFERENTES À CONTRATAÇÃO)</t>
  </si>
  <si>
    <t>Data de apresentação da proposta (dia/mês/ano):</t>
  </si>
  <si>
    <t>Município/UF:</t>
  </si>
  <si>
    <t>NIT, DUQ e CGT</t>
  </si>
  <si>
    <t>Ano do Acordo, Convenção ou Dissídio Coletivo:</t>
  </si>
  <si>
    <t>Lei 4950-A/66</t>
  </si>
  <si>
    <t>Número de meses de execução contratual:</t>
  </si>
  <si>
    <t>IDENTIFICAÇÃO DO SERVIÇO</t>
  </si>
  <si>
    <t>Tipo de Serviço</t>
  </si>
  <si>
    <t>Unidade de Medida</t>
  </si>
  <si>
    <t>Quantidade Total</t>
  </si>
  <si>
    <t>Manutenção Predial</t>
  </si>
  <si>
    <t>Área (m²)</t>
  </si>
  <si>
    <t>Dados para composição dos custos referentes a mão de obra</t>
  </si>
  <si>
    <t>Tipo de Serviço (mesmo serviço com características distintas)</t>
  </si>
  <si>
    <t>Classificação Brasileira de Ocupações (CBO)</t>
  </si>
  <si>
    <t>2142-05 ou 2141-05 / 2143-05</t>
  </si>
  <si>
    <t>Salário Normativo da Categoria Profissional</t>
  </si>
  <si>
    <t>Categoria Profissional (vinculada à execução contratual)</t>
  </si>
  <si>
    <t>Eng. Civil ou Arquiteto e Eng. Eletricista</t>
  </si>
  <si>
    <t>Data-Base da Categoria (dia/mês/ano)</t>
  </si>
  <si>
    <t>Módulo 1 - Composição da Remuneração</t>
  </si>
  <si>
    <t>Composição da Remuneração</t>
  </si>
  <si>
    <t>Percentual (%)</t>
  </si>
  <si>
    <t>Valor (R$)</t>
  </si>
  <si>
    <t>Salário-Base</t>
  </si>
  <si>
    <t>Adicional de Periculosidade</t>
  </si>
  <si>
    <t>Adicional de Insalubridade</t>
  </si>
  <si>
    <t>Adicional Noturno</t>
  </si>
  <si>
    <t>Adicional de Hora Noturna Reduzida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</si>
  <si>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</si>
  <si>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</si>
  <si>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</si>
  <si>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</si>
  <si>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</si>
  <si>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</si>
  <si>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</si>
  <si>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</t>
  </si>
  <si>
    <t>GPS, FGTS e outras contribuições</t>
  </si>
  <si>
    <t>INSS</t>
  </si>
  <si>
    <t>Salário Educação</t>
  </si>
  <si>
    <t>SESC ou SESI</t>
  </si>
  <si>
    <t>SENAI - SENAC</t>
  </si>
  <si>
    <t>SEBRAE</t>
  </si>
  <si>
    <t>INCRA</t>
  </si>
  <si>
    <t>FGTS</t>
  </si>
  <si>
    <t>Submódulo 2.3 - Benefícios Mensais e Diários</t>
  </si>
  <si>
    <t>2.3</t>
  </si>
  <si>
    <t>Benefícios Mensais e Diários</t>
  </si>
  <si>
    <t>Transporte</t>
  </si>
  <si>
    <t>Auxílio-Refeição/Alimentação</t>
  </si>
  <si>
    <t>Assistência Médica e Familiar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</si>
  <si>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</si>
  <si>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</si>
  <si>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</si>
  <si>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</si>
  <si>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</si>
  <si>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</si>
  <si>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</si>
  <si>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</si>
  <si>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de GPS, FGTS e outras contribuições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</si>
  <si>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</si>
  <si>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</si>
  <si>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</si>
  <si>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</si>
  <si>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</si>
  <si>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</si>
  <si>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</si>
  <si>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</si>
  <si>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</si>
  <si>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</si>
  <si>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</si>
  <si>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</si>
  <si>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</si>
  <si>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</si>
  <si>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</si>
  <si>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</si>
  <si>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</si>
  <si>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</si>
  <si>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</si>
  <si>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</si>
  <si>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Equipamentos</t>
  </si>
  <si>
    <t>Mão de obra vinculada à execução contratual (valor por empregado)</t>
  </si>
  <si>
    <t>Valor Total por Empregado</t>
  </si>
  <si>
    <t>Nº dias úteis no mês</t>
  </si>
  <si>
    <t>Desconto transporte</t>
  </si>
  <si>
    <t>Desconto alimentação</t>
  </si>
  <si>
    <t>Campos dos Goytacazes/RJ</t>
  </si>
  <si>
    <t>Encarregado de manutenção predial</t>
  </si>
  <si>
    <t>Convenção Coletiva de Trabalho 2019/2020</t>
  </si>
  <si>
    <t>Nº dias úteis no mês:</t>
  </si>
  <si>
    <t>Número de Registro no MTE:</t>
  </si>
  <si>
    <t>Desconto transporte:</t>
  </si>
  <si>
    <t>Data de Registro no MTE:</t>
  </si>
  <si>
    <t>Desconto alimentação:</t>
  </si>
  <si>
    <t>IDENTIFICAÇÃO E DISCRIMINAÇÃO DO SERVIÇO</t>
  </si>
  <si>
    <t>Manutenção Predial Preventiva e Corretiva</t>
  </si>
  <si>
    <t>Niterói/RJ</t>
  </si>
  <si>
    <t xml:space="preserve"> Área (m²)</t>
  </si>
  <si>
    <t>Eletricista</t>
  </si>
  <si>
    <t>Instalador/reparador de redes telefônicas/dados</t>
  </si>
  <si>
    <t>Oficial</t>
  </si>
  <si>
    <t>Auxiliar</t>
  </si>
  <si>
    <t>Convenção Coletiva de Trabalho 2020/2021</t>
  </si>
  <si>
    <t>Duque de Caxias/RJ</t>
  </si>
  <si>
    <t>ANEXO VI – EQUIPAMENTOS</t>
  </si>
  <si>
    <t>Preço</t>
  </si>
  <si>
    <t>Total do Item</t>
  </si>
  <si>
    <t>Unitário</t>
  </si>
  <si>
    <t>Parcial</t>
  </si>
  <si>
    <t>Equipamentos e Ferramentas</t>
  </si>
  <si>
    <t>BOLSA DE LONA PARA FERRAMENTAS 50 X 35 X 25 CM</t>
  </si>
  <si>
    <t>UNID.</t>
  </si>
  <si>
    <t>ALICATE DE CORTE DIAGONAL 6 " COM ISOLAMENTO</t>
  </si>
  <si>
    <t>ESTILETE DE METAL, LAMINA 18 MM</t>
  </si>
  <si>
    <t>ESCOVA DE ACO, COM CABO, 4 X 15 FILEIRAS DE CERDAS</t>
  </si>
  <si>
    <t>PRUMO DE CENTRO EM ACO 400 G</t>
  </si>
  <si>
    <t>PRUMO DE PAREDE EM ACO 700 A 750 G</t>
  </si>
  <si>
    <t>ESCADA DUPLA DE ABRIR EM ALUMINIO, MODELO PINTOR, 8 DEGRAUS</t>
  </si>
  <si>
    <t>ESCADA EXTENSIVEL EM ALUMINIO COM 6,00 M EXTENDIDA</t>
  </si>
  <si>
    <t>DESEMPENADEIRA DE ACO DENTADA 12 X 25 CM, DENTES 8 X 8 MM, CABO FECHADO DE MADEIRA</t>
  </si>
  <si>
    <t>DESEMPENADEIRA DE ACO LISA 12 X 25 CM COM CABO FECHADO DE MADEIRA</t>
  </si>
  <si>
    <t>1.11</t>
  </si>
  <si>
    <t>DESEMPENADEIRA PLASTICA LISA 14 X 27 CM</t>
  </si>
  <si>
    <t>1.12</t>
  </si>
  <si>
    <t>ESPATULA DE ACO INOX COM CABO DE MADEIRA, LARGURA 8 CM</t>
  </si>
  <si>
    <t>1.13</t>
  </si>
  <si>
    <t>ESPATULA DE PLASTICO LISA, LARGURA 10 CM</t>
  </si>
  <si>
    <t>1.14</t>
  </si>
  <si>
    <t>ROLO DE LA DE CARNEIRO 23 CM (SEM CABO)</t>
  </si>
  <si>
    <t>1.15</t>
  </si>
  <si>
    <t>ROLO DE ESPUMA POLIESTER 23 CM (SEM CABO)</t>
  </si>
  <si>
    <t>1.16</t>
  </si>
  <si>
    <t>ESTOPA</t>
  </si>
  <si>
    <t>KG</t>
  </si>
  <si>
    <t>1.17</t>
  </si>
  <si>
    <t>ENXADA ESTREITA 25 X 23 CM COM CABO</t>
  </si>
  <si>
    <t>1.18</t>
  </si>
  <si>
    <t>REGUA DE ALUMINIO PARA PEDREIRO 2 X 1"</t>
  </si>
  <si>
    <t>1.19</t>
  </si>
  <si>
    <t xml:space="preserve">ALICATE DE GASISTA (PRESSAO) 10" </t>
  </si>
  <si>
    <t>1.20</t>
  </si>
  <si>
    <t>ALICATE UNIVERSAL ISOLADO 8" VONDER</t>
  </si>
  <si>
    <t>1.21</t>
  </si>
  <si>
    <t>ARCO DE SERRA MANUAL AJUSTAVEL COM LAMINA SPARTA</t>
  </si>
  <si>
    <t>1.22</t>
  </si>
  <si>
    <t>CHAVE INGLESA 10" VONDER</t>
  </si>
  <si>
    <t>1.23</t>
  </si>
  <si>
    <t>PONTEIRO DE ACO PARA DESBASTE COM EMPUNHADURA 10" X 3/4"</t>
  </si>
  <si>
    <t>1.24</t>
  </si>
  <si>
    <t>TALHADEIRA DE ACO CHATA DE 5/16 X 12" MOMFORT</t>
  </si>
  <si>
    <t>1.25</t>
  </si>
  <si>
    <t>COLHER DE PEDREIRO TAMANHO 8" TRAMONTINA</t>
  </si>
  <si>
    <t>1.26</t>
  </si>
  <si>
    <t>ALICATE CRIMPAR RJ45/RJ11 REFORCADO</t>
  </si>
  <si>
    <t>1.27</t>
  </si>
  <si>
    <t>ALICATE VOLTIMETRO AMPERIMETRO DIGITAL CATEGORIA III 600V 302</t>
  </si>
  <si>
    <t>1.28</t>
  </si>
  <si>
    <t>ALICATE PRENSA TERMINAL RJ11/12/45 VONDER</t>
  </si>
  <si>
    <t>1.29</t>
  </si>
  <si>
    <t>MARTELO TIPO UNHA 25"</t>
  </si>
  <si>
    <t>1.30</t>
  </si>
  <si>
    <t>SERROTE DE ACO 18" RAMADA DIAMANTE</t>
  </si>
  <si>
    <t>1.31</t>
  </si>
  <si>
    <t>SERRA MARMORE MAKITA 1450W 3 DISCOS</t>
  </si>
  <si>
    <t>1.32</t>
  </si>
  <si>
    <t>ESMERILHADEIRA ANGULAR 4.1/2" BOSCH 850W 127V COM 3 DISCOS GWS850</t>
  </si>
  <si>
    <t>1.33</t>
  </si>
  <si>
    <t>FURADEIRA IMPACTO BOSCH 3/8" 450W 127V</t>
  </si>
  <si>
    <t>1.34</t>
  </si>
  <si>
    <t>PLAINA MANUAL PARA MADEIRA NUMERO 4 VONDER</t>
  </si>
  <si>
    <t>1.35</t>
  </si>
  <si>
    <t>SERRA CIRCULAR MAKITA-MADEIRA-714 110V</t>
  </si>
  <si>
    <t>1.36</t>
  </si>
  <si>
    <t>PINCEL 2 1/2" TIGRE</t>
  </si>
  <si>
    <t>1.37</t>
  </si>
  <si>
    <t>PINCEL 2" TIGRE</t>
  </si>
  <si>
    <t>1.38</t>
  </si>
  <si>
    <t>PINCEL 3" TIGRE</t>
  </si>
  <si>
    <t>1.39</t>
  </si>
  <si>
    <t>ALMOTOLIA DE METAL COM ALCA BICO RIGIDO BREMEN</t>
  </si>
  <si>
    <t>1.40</t>
  </si>
  <si>
    <t>BROXA DE CAIACAO RETANGULAR 15CM ATLAS</t>
  </si>
  <si>
    <t>1.41</t>
  </si>
  <si>
    <t>PA DE BICO 4 TARZA COM CABO E MANOPLA</t>
  </si>
  <si>
    <t>1.42</t>
  </si>
  <si>
    <t>PICARETA ESTREITA COM CABO DE MADEIRA 90CM VERMELHA</t>
  </si>
  <si>
    <t>1.43</t>
  </si>
  <si>
    <t>FORMAO CHANFRADO 3/4"</t>
  </si>
  <si>
    <t>1.44</t>
  </si>
  <si>
    <t>BALDE DE CHAPA METALICA PARA ARGAMASSA 10L</t>
  </si>
  <si>
    <t>1.45</t>
  </si>
  <si>
    <t>CAVADEIRA ARTICULADA COM 2 CABOS</t>
  </si>
  <si>
    <t>1.46</t>
  </si>
  <si>
    <t>TESTADOR DE CABO DE CABO CAT-5 CAT-6 LAN RJ11 RJ45 PAINEL COM LED</t>
  </si>
  <si>
    <t>1.47</t>
  </si>
  <si>
    <t>ALICATE PUNCH DOWN MP-110</t>
  </si>
  <si>
    <t>1.48</t>
  </si>
  <si>
    <t>DISCO DIAMANTADO STAMACO 105MM FURO 20MM</t>
  </si>
  <si>
    <t>1.49</t>
  </si>
  <si>
    <t>CONJUNTO BROCAS ACO RAPIDO IRWIN 13 PECAS</t>
  </si>
  <si>
    <t>1.50</t>
  </si>
  <si>
    <t>CM</t>
  </si>
  <si>
    <t>CAIXA DE FERRAMENTAS METALICA SANFONADA COM 5 GAVETAS</t>
  </si>
  <si>
    <t>1.51</t>
  </si>
  <si>
    <t>ALICATE BOMBA D'AGUA 10"</t>
  </si>
  <si>
    <t>1.52</t>
  </si>
  <si>
    <t>ALICATE DE BICO MEIA-CANA 6" ISOLADO</t>
  </si>
  <si>
    <t>1.53</t>
  </si>
  <si>
    <t>CHAVE GRIFO COM MORDENTES EM ACO 14"</t>
  </si>
  <si>
    <t>1.54</t>
  </si>
  <si>
    <t>CHAVE GRIFO COM MORDENTES EM ACO 18"</t>
  </si>
  <si>
    <t>1.55</t>
  </si>
  <si>
    <t>JOGO DE CHAVES FIXAS 6 A 22MM COM 8 PECAS</t>
  </si>
  <si>
    <t>1.56</t>
  </si>
  <si>
    <t>KIT DE CHAVES DE FENDA E PHILLIPS COM 6 PECAS E PONTAS INTERCAMBIAVEIS</t>
  </si>
  <si>
    <t>1.57</t>
  </si>
  <si>
    <t>TRENA METALICA 10M AUTOTRAVA</t>
  </si>
  <si>
    <t>1.58</t>
  </si>
  <si>
    <t>TRENA FITA DE FIBRA DE VIDRO 50M</t>
  </si>
  <si>
    <t>1.59</t>
  </si>
  <si>
    <t>MARRETA OITAVADA COM CABO DE MADEIRA 1 KG</t>
  </si>
  <si>
    <t>1.60</t>
  </si>
  <si>
    <t>MARRETA 5 KG COM CABO DE MADEIRA</t>
  </si>
  <si>
    <t>1.61</t>
  </si>
  <si>
    <t>PASSA FIO COM ALMA DE ACO E REVESTIMENTO PLASTICO 20M</t>
  </si>
  <si>
    <t>1.62</t>
  </si>
  <si>
    <t>CHAVE TESTE DIGITAL DE VOLTAGEM E CORRENTE ELETRICA 12-250 V</t>
  </si>
  <si>
    <t>1.63</t>
  </si>
  <si>
    <t>ALICATE DESCASCADOR DE FIOS PROFISSIONAL 8"</t>
  </si>
  <si>
    <t>1.64</t>
  </si>
  <si>
    <t>FERRO DE SOLDA COM SUPORTE DE METAL 40 W</t>
  </si>
  <si>
    <t>1.65</t>
  </si>
  <si>
    <t>PARAFUSADEIRA PHILCO FORCE COM MANDRIL E MALETA COM 50 ACESSORIOS - BIVOLT</t>
  </si>
  <si>
    <t>1.66</t>
  </si>
  <si>
    <t>JOGO DE CHAVES COMBINADAS DE 6 A 19MM COM 11 PECAS</t>
  </si>
  <si>
    <t>1.67</t>
  </si>
  <si>
    <t>EXTENSAO ELETRICA 20M CABO PP 2X1,5 MM</t>
  </si>
  <si>
    <t>1.68</t>
  </si>
  <si>
    <t>INVERSORA DE SOLDA ELETRICA 160A</t>
  </si>
  <si>
    <t>1.69</t>
  </si>
  <si>
    <t>RISCADOR PARA PISOS E AZULEJOS TIPO CANETA</t>
  </si>
  <si>
    <t>1.70</t>
  </si>
  <si>
    <t>NIVEL DE ALUMINIO COM BASE MAGNETICA 3 BOLHAS</t>
  </si>
  <si>
    <t>Previsão Mensal do Gasto com Manutenção e Depreciação de Equipamentos, sem BDI</t>
  </si>
  <si>
    <t>MANUTENÇÃO DE EQUIPAMENTOS (GASTO MENSAL) – ADOTADO 0,5% A.M., COM BASE NO TCPO (ED. PINI) PARA EQUIPAMENTOS DE PEQUENO PORTE (~1,5HP), COM UTILIZAÇÃO, EM MÉDIA, DE 83 H/MÊS.</t>
  </si>
  <si>
    <t>DEPRECIAÇÃO MENSAL DE EQUIPAMENTOS – ADOTADO 20,00% AO ANO ~ 1,67% AO MÊS, CONFORME ANEXO III DA INSTRUÇÃO NORMATIVA RFB Nº 1700, DE 14 DE MARÇO DE 2017.</t>
  </si>
  <si>
    <t>ANEXO VII – PLANILHA COMPLEMENTAR DE MATERIAIS</t>
  </si>
  <si>
    <t>INSTALAÇÕES CIVIS</t>
  </si>
  <si>
    <t>PORTA SANFONADA PVC PRATICA EASY LOCK 210x90cm CINZA ARAFORROS</t>
  </si>
  <si>
    <t>FECHADURA CILINDRICA CROMADA PARA DIVISORIA SOPRANO</t>
  </si>
  <si>
    <t>PERSIANA VERTICAL PVC OU TECIDO</t>
  </si>
  <si>
    <t>M²</t>
  </si>
  <si>
    <t>PERSIANA HORIZONTAL ALUMINIO SLIM 16mm</t>
  </si>
  <si>
    <t>PERSIANA HORIZONTAL ALUMINIO 25mm</t>
  </si>
  <si>
    <t>VIDRO MINI BOREAL 4mm</t>
  </si>
  <si>
    <t>MOLDURA ALUMINIO A28 ANODIZADO 12cm PARA ESPELHO</t>
  </si>
  <si>
    <t>ADESIVO JATEADO PARA VIDRO</t>
  </si>
  <si>
    <t>SUPORTE PARA CONDENSADOR ATE 12.000 BTU'S</t>
  </si>
  <si>
    <t>SUPORTE PARA CONDENSADOR ATE 24.000 BTU'S</t>
  </si>
  <si>
    <t>TELHA POLICARBONATO ALVEOLAR BRONZE 10mm 2,10 x 6,00m COM TRATAMENTO UV</t>
  </si>
  <si>
    <t>ESTRUTURA ALUMINIO PARA FIXACAO CHAPA POLICARBONATO 5mm</t>
  </si>
  <si>
    <t>CHAPA POLICARBONATO 6mm COMPACTO CRISTAL</t>
  </si>
  <si>
    <t>ORSE</t>
  </si>
  <si>
    <t>TUBO INDUSTRIAL EM ACO QUADRADO DIM 25 X 25 MM, E = 3,17 MM, 2,127 KG/M</t>
  </si>
  <si>
    <t>TUBO INDUSTRIAL EM ACO QUADRADO DIM 50 X 50 MM, E = 2,00 MM, 4,476 KG/M</t>
  </si>
  <si>
    <t>TUBO INDUSTRIAL EM ACO RETANGULAR DIM 25 X 25 MM, E = 3,17 MM, 6,825 KG/M</t>
  </si>
  <si>
    <t>ALUGUEL DE CACAMBA 48 HORAS</t>
  </si>
  <si>
    <t>ENTULHO EM CAMINHAO CUSTO BOTA/FORA POR M³</t>
  </si>
  <si>
    <t>M³</t>
  </si>
  <si>
    <t>COPIA DE CHAVE COMUM</t>
  </si>
  <si>
    <t>COPIA DE CHAVE TETRA</t>
  </si>
  <si>
    <t>ABERTURA DE PORTA</t>
  </si>
  <si>
    <t>INSTALAÇÕES ELÉTRICAS E SPDA</t>
  </si>
  <si>
    <t>CANALETA TERMOPLASTICA 20x12mm, COM DIVISORIA (REF. LEGRAND 308 01)</t>
  </si>
  <si>
    <t>CANALETA TERMOPLASTICA 20x12mm, SEM DIVISORIA (REF. LEGRAND 308 02)</t>
  </si>
  <si>
    <t>CANALETA TERMOPLASTICA 50x20mm, COM DIVISORIA (REF. LEGRAND 300 24)</t>
  </si>
  <si>
    <t>2.4</t>
  </si>
  <si>
    <t>CAIXA DE SOBREPOR P/ FIXACAO EM CANALETA 20x12mm (REF. LEGRAND 891 48)</t>
  </si>
  <si>
    <t>2.5</t>
  </si>
  <si>
    <t>COTOVELO 90º P/ CANALETA 20x12mm (REF. LEGRAND 309 90X)</t>
  </si>
  <si>
    <t>2.6</t>
  </si>
  <si>
    <t>COTOVELO EXTERNO P/ CANALETA 20x12mm (REF. LEGRAND 309 92X)</t>
  </si>
  <si>
    <t>2.7</t>
  </si>
  <si>
    <t>COTOVELO INTERNO P/ CANALETA 20x12mm (REF. LEGRAND 309 91X)</t>
  </si>
  <si>
    <t>2.8</t>
  </si>
  <si>
    <t>LUVA P/ CANALETA 20x12mm (REF. LEGRAND 309 94X)</t>
  </si>
  <si>
    <t>2.9</t>
  </si>
  <si>
    <t>COTOVELO EXTERNO P/ CANALETA 50x20mm (REF. LEGRAND 299 02X)</t>
  </si>
  <si>
    <t>2.10</t>
  </si>
  <si>
    <t>COTOVELO INTERNO P/ CANALETA 50x20mm (REF. LEGRAND 299 03X)</t>
  </si>
  <si>
    <t>2.11</t>
  </si>
  <si>
    <t>DERIVACAO EM T P/ CANALETA 50x20mm (REF. LEGRAND 299 04X)</t>
  </si>
  <si>
    <t>2.12</t>
  </si>
  <si>
    <t>LUVA P/ CANALETA 50x20mm (REF. LEGRAND 299 05X)</t>
  </si>
  <si>
    <t>2.13</t>
  </si>
  <si>
    <t>TAMPA DE EXTREMIDADE P/ CANALETA 50x20mm (REF. LEGRAND 299 00X)</t>
  </si>
  <si>
    <t>2.14</t>
  </si>
  <si>
    <t>ELETROCALHA METALICA PERFURADA 100x50x3000mm</t>
  </si>
  <si>
    <t>2.15</t>
  </si>
  <si>
    <t>ELETROCALHA METALICA PERFURADA 200x100x3000mm</t>
  </si>
  <si>
    <t>2.16</t>
  </si>
  <si>
    <t>CRUZETA 100x50mm P/ ELETROCALHA METALICA</t>
  </si>
  <si>
    <t>2.17</t>
  </si>
  <si>
    <t>CURVA DE INVERSAO 100x50mm P/ ELETROCALHA METALICA</t>
  </si>
  <si>
    <t>2.18</t>
  </si>
  <si>
    <t>CURVA DE INVERSAO 200x100mm P/ ELETROCALHA METALICA</t>
  </si>
  <si>
    <t>2.19</t>
  </si>
  <si>
    <t>CURVA HORIZONTAL 100x50mm P/ ELETROCALHA METALICA, COM ANGULO 45º</t>
  </si>
  <si>
    <t>2.20</t>
  </si>
  <si>
    <t xml:space="preserve">CURVA HORIZONTAL 100x50mm P/ ELETROCALHA METALICA, COM ANGULO 90º </t>
  </si>
  <si>
    <t>2.21</t>
  </si>
  <si>
    <t>CURVA HORIZONTAL 200x100mm P/ ELETROCALHA METALICA, COM ANGULO 90º</t>
  </si>
  <si>
    <t>2.22</t>
  </si>
  <si>
    <t>CURVA VERTICAL 100x50mm P/ ELETROCALHA METALICA, COM ANGULO 90º</t>
  </si>
  <si>
    <t>2.23</t>
  </si>
  <si>
    <t>CURVA VERTICAL 200x100mm P/ ELETROCALHA METALICA, COM ANGULO 90º</t>
  </si>
  <si>
    <t>2.24</t>
  </si>
  <si>
    <t>DESVIO A DIREITA 100x50mm P/ ELETROCALHA METALICA</t>
  </si>
  <si>
    <t>2.25</t>
  </si>
  <si>
    <t>DESVIO A DIREITA 200x100mm P/ ELETROCALHA METALICA</t>
  </si>
  <si>
    <t>2.26</t>
  </si>
  <si>
    <t>DESVIO A ESQUERDA 100x50mm P/ ELETROCALHA METALICA</t>
  </si>
  <si>
    <t>2.27</t>
  </si>
  <si>
    <t>DESVIO A ESQUERDA 200x100mm P/ ELETROCALHA METALICA</t>
  </si>
  <si>
    <t>2.28</t>
  </si>
  <si>
    <t>EMENDA INTERNA 100x50mm C/ BASE LISA PERFURADA P/ ELETROCALHA METALICA</t>
  </si>
  <si>
    <t>2.29</t>
  </si>
  <si>
    <t>EMENDA INTERNA 200x100 mm C/ BASE LISA PERFURADA P/ ELETROCALHA METALICA</t>
  </si>
  <si>
    <t>2.30</t>
  </si>
  <si>
    <t>FLANGE 100x50mm P/ ELETROCALHA METALICA</t>
  </si>
  <si>
    <t>2.31</t>
  </si>
  <si>
    <t>FLANGE 200x100mm P/ ELETROCALHA METALICA</t>
  </si>
  <si>
    <t>2.32</t>
  </si>
  <si>
    <t>REDUCAO CONCENTRICA 200x100mm P/ ELETROCALHA METALICA</t>
  </si>
  <si>
    <t>2.33</t>
  </si>
  <si>
    <t>REDUCAO A DIREITA 200x100mm P/ ELETROCALHA METALICA</t>
  </si>
  <si>
    <t>2.34</t>
  </si>
  <si>
    <t>REDUCAO A ESQUERDA 200x100mm P/ ELETROCALHA METALICA</t>
  </si>
  <si>
    <t>2.35</t>
  </si>
  <si>
    <t>SUPORTE VERTICAL 100x50mm P/ FIXACAO DE ELETROCALHA METALICA</t>
  </si>
  <si>
    <t>2.36</t>
  </si>
  <si>
    <t>SUPORTE VERTICAL 200x100mm P/ FIXACAO DE ELETROCALHA METALICA</t>
  </si>
  <si>
    <t>2.37</t>
  </si>
  <si>
    <t>"T" HORIZONTAL 100x50mm P/ ELETROCALHA METALICA</t>
  </si>
  <si>
    <t>2.38</t>
  </si>
  <si>
    <t>"T" HORIZONTAL 200x100mm P/ ELETROCALHA METALICA</t>
  </si>
  <si>
    <t>2.39</t>
  </si>
  <si>
    <t>"T" VERTICAL 100x50mm P/ ELETROCALHA METALICA</t>
  </si>
  <si>
    <t>2.40</t>
  </si>
  <si>
    <t>"T" VERTICAL 200x100mm P/ ELETROCALHA METALICA</t>
  </si>
  <si>
    <t>2.41</t>
  </si>
  <si>
    <t>PERFILADO METALICO PERFURADO 38x38x6000mm, CHAPA 16</t>
  </si>
  <si>
    <t>2.42</t>
  </si>
  <si>
    <t>JUNCAO INTERNA "I" P/ PERFILADO METALICO</t>
  </si>
  <si>
    <t>2.43</t>
  </si>
  <si>
    <t>JUNCAO INTERNA "L" P/ PERFILADO METALICO</t>
  </si>
  <si>
    <t>2.44</t>
  </si>
  <si>
    <t>JUNCAO INTERNA "T" P/ PERFILADO METALICO</t>
  </si>
  <si>
    <t>2.45</t>
  </si>
  <si>
    <t>JUNCAO INTERNA "X" P/ PERFILADO METALICO</t>
  </si>
  <si>
    <t>2.46</t>
  </si>
  <si>
    <t>CANTONEIRA ZZ P/ FIXACAO DE PERFILADO METALICO</t>
  </si>
  <si>
    <t>2.47</t>
  </si>
  <si>
    <t>SAPATA P/ PERFILADO METALICO</t>
  </si>
  <si>
    <t>2.48</t>
  </si>
  <si>
    <t>SAIDA P/ PERFILADO METALICO</t>
  </si>
  <si>
    <t>2.49</t>
  </si>
  <si>
    <t>GANCHO CURTO P/ PERFILADO METALICO</t>
  </si>
  <si>
    <t>2.50</t>
  </si>
  <si>
    <t>GANCHO LONGO P/ PERFILADO METALICO</t>
  </si>
  <si>
    <t>2.51</t>
  </si>
  <si>
    <t>CAIXA COM TOMADA 10A-250V P/ PERFILADO METALICO</t>
  </si>
  <si>
    <t>2.52</t>
  </si>
  <si>
    <t>TAMPA DE ENCAIXE P/ PERFILADO METALICO 38mm</t>
  </si>
  <si>
    <t>2.53</t>
  </si>
  <si>
    <t>POSTE LUMINARIA PARA JARDIM BALIZADOR 50CM E27</t>
  </si>
  <si>
    <t>2.54</t>
  </si>
  <si>
    <t>LAMPADA LED TUBULAR T5 15W 115CM OSRAM</t>
  </si>
  <si>
    <t>2.55</t>
  </si>
  <si>
    <t>FILTRO DE LINHA BIVOLT COM 4 TOMADAS 2P+T</t>
  </si>
  <si>
    <t>2.56</t>
  </si>
  <si>
    <t>FILTRO DE LINHA BIVOLT COM 5 TOMADAS 2P+T</t>
  </si>
  <si>
    <t>2.57</t>
  </si>
  <si>
    <t>ELETRODUTO GALVANIZADO 20MM 3/4"</t>
  </si>
  <si>
    <t>2.58</t>
  </si>
  <si>
    <t>ELETRODUTO GALVANIZADO 25MM 1"</t>
  </si>
  <si>
    <t>2.59</t>
  </si>
  <si>
    <t>ELETRODUTO GALVANIZADO 32MM 1 1/4"</t>
  </si>
  <si>
    <t>2.60</t>
  </si>
  <si>
    <t>ELETRODUTO GALVANIZADO 40MM 1 1/2"</t>
  </si>
  <si>
    <t>2.61</t>
  </si>
  <si>
    <t>ELETRODUTO GALVANIZADO 50MM 2"</t>
  </si>
  <si>
    <t>2.62</t>
  </si>
  <si>
    <t>ELETRODUTO GALVANIZADO 65MM 2 1/2"</t>
  </si>
  <si>
    <t>2.63</t>
  </si>
  <si>
    <t>ELETRODUTO GALVANIZADO 80MM 3"</t>
  </si>
  <si>
    <t>2.64</t>
  </si>
  <si>
    <t>ELETRODUTO GALVANIZADO 100MM 4"</t>
  </si>
  <si>
    <t>2.65</t>
  </si>
  <si>
    <t>KIT DE VEDAÇÃO IP54 P/ CONDULETE MULTIPLO DE ALUMINIO TIPO X DE 3/4"</t>
  </si>
  <si>
    <t>2.66</t>
  </si>
  <si>
    <t>KIT DE VEDAÇÃO IP54 P/ CONDULETE MULTIPLO DE ALUMINIO TIPO X DE 1"</t>
  </si>
  <si>
    <t>2.67</t>
  </si>
  <si>
    <t>IOPES</t>
  </si>
  <si>
    <t>CONJUNTO DE ESTAIAMENTO TIPO RIGIDO 1,5M CADA ESTAIS X 1.1/2" (REF. TEL 440)</t>
  </si>
  <si>
    <t>2.68</t>
  </si>
  <si>
    <t>CONJUNTO DE ESTAIAMENTO TIPO RIGIDO 2M CADA ESTAIS X 2" (REF. TEL 453)</t>
  </si>
  <si>
    <t>2.69</t>
  </si>
  <si>
    <t>ABRACADEIRA GUIA P/ MASTRO REFORCADA P/ 1 DESCIDA 1.1/2" (REF. TEL 340)</t>
  </si>
  <si>
    <t>2.70</t>
  </si>
  <si>
    <t>ABRACADEIRA GUIA P/ MASTRO SIMPLES P/ 1 DESCIDA 1.1/2" (REF. TEL 320)</t>
  </si>
  <si>
    <t>2.71</t>
  </si>
  <si>
    <t>ABRACADEIRA GUIA P/ MASTRO REFORCADA P/ 1 DESCIDA 2" (REF. TEL 350)</t>
  </si>
  <si>
    <t>2.72</t>
  </si>
  <si>
    <t>ABRACADEIRA GUIA P/ MASTRO SIMPLES P/ 1 DESCIDA 2" (REF. TEL 330)</t>
  </si>
  <si>
    <t>2.73</t>
  </si>
  <si>
    <t>SUPORTE P/ SINALIZADOR EM MASTRO, P/ FIXACAO EM TUBO DE 1.1/2" OU 2" (REF. TEL 610 E 611)</t>
  </si>
  <si>
    <t>2.74</t>
  </si>
  <si>
    <t>PRESILHA DE LATAO PARA CABOS 35 - 50MM2 (REF. TEL 744)</t>
  </si>
  <si>
    <t>2.75</t>
  </si>
  <si>
    <t>FIXADOR OMEGA EM LATAO FURO 5.5MM P/ CABOS 35MM2 (REF. TEL 733)</t>
  </si>
  <si>
    <t>2.76</t>
  </si>
  <si>
    <t>FIXADOR UNIVERSAL EM LATAO ESTANHADO PARA CABOS 16 A 70MM2 (REF. TEL 5024)</t>
  </si>
  <si>
    <t>2.77</t>
  </si>
  <si>
    <t>GRAMPO TIPO UNHA EM COBRE PARA CABOS 16 - 50MM² (REF. TEL 720)</t>
  </si>
  <si>
    <t>2.78</t>
  </si>
  <si>
    <t>BARRA CHATA EM ACO GALV. A FOGO 7/8" X 1/8" X 3M (REF. TEL 761)</t>
  </si>
  <si>
    <t>2.79</t>
  </si>
  <si>
    <t>BARRA CHATA EM ALUMINIO 7/8" X 1/8" X 3M (REF. TEL 771)</t>
  </si>
  <si>
    <t>2.80</t>
  </si>
  <si>
    <t>CURVA 90º DE BARRA CHATA EM ALUMINIO 7/8" X 1/8" X 300M (REF. TEL 778)</t>
  </si>
  <si>
    <t>2.81</t>
  </si>
  <si>
    <t>CAIXA DE INSPECAO EM POLIAMIDA, 150 X 110 X 70mm (REF. TEL 541)</t>
  </si>
  <si>
    <t>2.82</t>
  </si>
  <si>
    <t>CONECTOR DE MEDICAO EM LATAO C/ 2 PARAFUSOS (REF. TEL 562)</t>
  </si>
  <si>
    <t>2.83</t>
  </si>
  <si>
    <t>CONECTOR DE MEDICAO EM BRONZE C/ 4 PARAFUSOS (REF. TEL 560)</t>
  </si>
  <si>
    <t>2.84</t>
  </si>
  <si>
    <t>CORDOALHA FLEXIVEL (JUMPER) 25 X 100MM C/ 2 FUROS (REF. TEL 5701)</t>
  </si>
  <si>
    <t>2.85</t>
  </si>
  <si>
    <t>CAIXA DE EQUIPOTENCIALIZACAO EM ACO C/ 9 TERMINAIS, 380X320X175MM (REF. TEL 903)</t>
  </si>
  <si>
    <t>2.86</t>
  </si>
  <si>
    <t>CAIXA DE EQUIPOTENCIALIZACAO EM POLIPROPILENO C/ 5 TERMINAIS, 180X150X90MM (REF. TEL 902)</t>
  </si>
  <si>
    <t>2.87</t>
  </si>
  <si>
    <t>SIURB</t>
  </si>
  <si>
    <t>HASTE DE ATERRAMENTO TIPO COPPERWELD ALTA CAMADA DE COBRE 5/8" X 3M (REF. TEL 5839)</t>
  </si>
  <si>
    <t>2.88</t>
  </si>
  <si>
    <t>HASTE DE ATERRAMENTO TIPO COPPERWELD ALTA CAMADA DE COBRE 3/4" X 3M (REF. TEL 5838)</t>
  </si>
  <si>
    <t>2.89</t>
  </si>
  <si>
    <t>CONECTOR PARA HASTE TIPO COPPERWELD (REF. TEL 585)</t>
  </si>
  <si>
    <t>2.90</t>
  </si>
  <si>
    <t>TAMPA EM FERRO FUNDIDO C/ ESCOTILHA, DN = 300 MM, P/ CAIXA DE INSPEÇÃO (REF. TEL 536)</t>
  </si>
  <si>
    <t>2.91</t>
  </si>
  <si>
    <t>CONECTOR CABO-HASTE EM BRONZE NATURAL P/ 2 CABOS DE COBRE 16 - 70MM² (REF. TEL 580)</t>
  </si>
  <si>
    <t>2.92</t>
  </si>
  <si>
    <t>CONECTOR PARALELO EM BRONZE COM PARAFUSO P/ CABOS DE COBRE 16 - 50MM² (REF. TEL 731)</t>
  </si>
  <si>
    <t>2.93</t>
  </si>
  <si>
    <t>CONECTOR MINIGAR EM LATAO PARA CABOS 16 - 50MM² (REF. TEL 583)</t>
  </si>
  <si>
    <t>2.94</t>
  </si>
  <si>
    <t>OLEO MINERAL PARA DISJUNTOR OU TRANSFORMADOR</t>
  </si>
  <si>
    <t>INSTALAÇÕES LÓGICAS E TELEFÔNICAS</t>
  </si>
  <si>
    <t>3.1</t>
  </si>
  <si>
    <t>CONECTOR RJ 11</t>
  </si>
  <si>
    <t>3.2</t>
  </si>
  <si>
    <t>EMENDA RJ 11</t>
  </si>
  <si>
    <t>3.3</t>
  </si>
  <si>
    <t>CABO DE REDE RJ-45 COM 5 METROS (PATCH CORD)</t>
  </si>
  <si>
    <t>3.4</t>
  </si>
  <si>
    <t>CABO DE REDE RJ-45 COM 10 METROS (PATCH CORD)</t>
  </si>
  <si>
    <t>3.5</t>
  </si>
  <si>
    <t>TOMADA PARA TELEFONE RJ11 COMPLETA</t>
  </si>
  <si>
    <t>3.6</t>
  </si>
  <si>
    <t>BANDEJA PARA RACK 19", DESLIZANTE, PERFURADA, 400MM DE PROFUNDIDADE</t>
  </si>
  <si>
    <t>3.7</t>
  </si>
  <si>
    <t>RÉGUA COM 8 TOMADAS PARA RACK DE REDE</t>
  </si>
  <si>
    <t>3.8</t>
  </si>
  <si>
    <t>PLACA 4”X2” PARA TOMADA RJ-45 CAT 6 – PARA 02 MÓDULOS</t>
  </si>
  <si>
    <t>3.9</t>
  </si>
  <si>
    <t>CRIMPAGEM, CERTIFICACAO E IDENTIFICACAO DOS CABOS UTP</t>
  </si>
  <si>
    <t>PT</t>
  </si>
  <si>
    <t>3.10</t>
  </si>
  <si>
    <t>TOMADA RJ-45 CAT 5E CONJUNTO COM PLACA, SUPORTE E MODULO</t>
  </si>
  <si>
    <t>3.11</t>
  </si>
  <si>
    <t>TOMADA DUPLA PARA LÓGICA RJ45, 4"X2", EMBUTIR, COMPLETA, REF.0605, FAME OU SIMILAR</t>
  </si>
  <si>
    <t>INSTALAÇÕES HIDROSSANITÁRIAS</t>
  </si>
  <si>
    <t>ACABAMENTO PARA VALVULA DE DESCARGA BENEFIT DOCOL PARA PCD</t>
  </si>
  <si>
    <t>ACABAMENTO PARA VALVULA DE DESCARGA ECO CONFORTO HYDRA PARA PCD</t>
  </si>
  <si>
    <t>4.3</t>
  </si>
  <si>
    <t>ACABAMENTO PARA VALVULA DE DESCARGA 1.1/4" E 1.1/2" LUXO CROMADO HYDRA</t>
  </si>
  <si>
    <t>4.4</t>
  </si>
  <si>
    <t>ACABAMENTO PARA VALVULA DE DESCARGA CROMADO LUXUS DOCOL</t>
  </si>
  <si>
    <t>4.5</t>
  </si>
  <si>
    <t>REPARO DE VÁLVULA DE DESCARGA</t>
  </si>
  <si>
    <t>4.6</t>
  </si>
  <si>
    <t>ASSENTO PARA VASO LINHA VOGUE CONFORTO PCD AP52 DECA</t>
  </si>
  <si>
    <t>4.7</t>
  </si>
  <si>
    <t>SUPORTE PARA ESPELHO PCD COM BARRAS DE APOIO LATERAIS</t>
  </si>
  <si>
    <t>4.8</t>
  </si>
  <si>
    <t>TORNEIRA ALAVANCA PARA PCD 1173.C.CONFORTO DECA</t>
  </si>
  <si>
    <t>4.9</t>
  </si>
  <si>
    <t>TORNEIRA ALAVANCA PARA PCD AUTOMATICA BICA ALTA MOVEL NBR9050 CERTIVA</t>
  </si>
  <si>
    <t>4.10</t>
  </si>
  <si>
    <t>TORNEIRA ALAVANCA PARA PCD AUTOMATICA BICA BAIXA NBR9050 CERTIVA</t>
  </si>
  <si>
    <t>4.11</t>
  </si>
  <si>
    <t>GRELHA (RALO) FERRO FUNDIDO COM REQUADRO 20x20cm</t>
  </si>
  <si>
    <t>4.12</t>
  </si>
  <si>
    <t>TAMPA CEGA QUADRADA BRANCA 150mm</t>
  </si>
  <si>
    <t>4.13</t>
  </si>
  <si>
    <t>TAMPA CEGA QUADRADA EM INOX 150mm</t>
  </si>
  <si>
    <t>4.14</t>
  </si>
  <si>
    <t>TAMPAO FERRO FUNDIDO 30 X 30 CM</t>
  </si>
  <si>
    <t>4.15</t>
  </si>
  <si>
    <t>KIT COMPLETO UNIVERSAL PARA CAIXA ACOPLADA</t>
  </si>
  <si>
    <t>4.16</t>
  </si>
  <si>
    <t>REPARO DE TORNEIRA 1/4 DE VOLTA</t>
  </si>
  <si>
    <t>INSTALAÇÕES DE COMBATE A INCÊNDIO E SINALIZAÇÃO VISUAL</t>
  </si>
  <si>
    <t>5.1</t>
  </si>
  <si>
    <t>CPOS</t>
  </si>
  <si>
    <t>RECARGA DE EXTINTOR AGUA PRESSURIZADA (AP) 2A 10 LITROS, COM SUBSTITUICAO PROVISORIA POR EQUIPAMENTO DE ESPECIFICACAO EQUIVALENTE</t>
  </si>
  <si>
    <t>5.2</t>
  </si>
  <si>
    <t>RECARGA DE EXTINTOR GAS CARBONICO (CO2) 4 KG, COM SUBSTITUICAO PROVISORIA POR EQUIPAMENTO DE ESPECIFICACAO EQUIVALENTE</t>
  </si>
  <si>
    <t>5.3</t>
  </si>
  <si>
    <t>RECARGA DE EXTINTOR GAS CARBONICO (CO2) 6 KG, COM SUBSTITUICAO PROVISORIA POR EQUIPAMENTO DE ESPECIFICACAO EQUIVALENTE</t>
  </si>
  <si>
    <t>5.4</t>
  </si>
  <si>
    <t>RECARGA DE EXTINTOR PO QUIMICO SECO (PQS) 20BC 4 KG, COM SUBSTITUICAO PROVISORIA POR EQUIPAMENTO DE ESPECIFICACAO EQUIVALENTE</t>
  </si>
  <si>
    <t>5.5</t>
  </si>
  <si>
    <t>RECARGA DE EXTINTOR PO QUIMICO SECO (PQS) 20BC 6 KG, COM SUBSTITUICAO PROVISORIA POR EQUIPAMENTO DE ESPECIFICACAO EQUIVALENTE</t>
  </si>
  <si>
    <t>5.6</t>
  </si>
  <si>
    <t>RECARGA DE EXTINTOR PO QUIMICO SECO (PQS) 30BC 8 KG, COM SUBSTITUICAO PROVISORIA POR EQUIPAMENTO DE ESPECIFICACAO EQUIVALENTE</t>
  </si>
  <si>
    <t>5.7</t>
  </si>
  <si>
    <t>RECARGA DE EXTINTOR PO QUIMICO SECO (PQS) 40BC 12 KG, COM SUBSTITUICAO PROVISORIA POR EQUIPAMENTO DE ESPECIFICACAO EQUIVALENTE</t>
  </si>
  <si>
    <t>5.8</t>
  </si>
  <si>
    <t>RECARGA DE EXTINTOR ABC 4 KG, COM SUBSTITUICAO PROVISORIA POR EQUIPAMENTO DE ESPECIFICACAO EQUIVALENTE</t>
  </si>
  <si>
    <t>5.9</t>
  </si>
  <si>
    <t>RECARGA DE EXTINTOR ABC 6 KG, COM SUBSTITUICAO PROVISORIA POR EQUIPAMENTO DE ESPECIFICACAO EQUIVALENTE</t>
  </si>
  <si>
    <t>5.10</t>
  </si>
  <si>
    <t>EXTINTOR PO QUIMICO SECO (PQS) ABC 4KG</t>
  </si>
  <si>
    <t>5.11</t>
  </si>
  <si>
    <t>EXTINTOR PO QUIMICO SECO (PQS) ABC 6KG</t>
  </si>
  <si>
    <t>5.12</t>
  </si>
  <si>
    <t>SUPORTE DE PAREDE PARA EXTINTOR DE INCENDIO</t>
  </si>
  <si>
    <t>5.13</t>
  </si>
  <si>
    <t>SUPORTE DE PISO PARA EXTINTOR DE INCENDIO</t>
  </si>
  <si>
    <t>5.14</t>
  </si>
  <si>
    <t>TESTE HIDROSTATICO E PINTURA DE EXTINTOR AP/CO2/PQS ATE 12 KG</t>
  </si>
  <si>
    <t>5.15</t>
  </si>
  <si>
    <t>TESTE EM MANGUEIRA DE INCENDIO</t>
  </si>
  <si>
    <t>5.16</t>
  </si>
  <si>
    <t>PLACA DE SINALIZACAO ADESIVO DE SOLO PARA EXTINTORES/HIDRANTES 1,0x1,0m</t>
  </si>
  <si>
    <t>5.17</t>
  </si>
  <si>
    <t>PLACA DE SINALIZACAO FOTOLUMINESCENTE EXTINTOR INCENDIO 20x20cm</t>
  </si>
  <si>
    <t>5.18</t>
  </si>
  <si>
    <t>TAMPAO STORZ 1.1/2" PARA HIDRANTE INCENDIO</t>
  </si>
  <si>
    <t>5.19</t>
  </si>
  <si>
    <t>PRESSOSTATO ALTA/BAIXA COM REARME MANUAL REF. KP15</t>
  </si>
  <si>
    <t>5.20</t>
  </si>
  <si>
    <t>PRESSOSTATO KPI 35 DANFOSS 2 A 14 BAR</t>
  </si>
  <si>
    <t>5.21</t>
  </si>
  <si>
    <t>PRESSOSTATO KPI 36 DANFOSS 2 A 12 BAR</t>
  </si>
  <si>
    <t>5.22</t>
  </si>
  <si>
    <t>PLACA DE SINALIZACAO DE SEGURANCA CONTRA INCENDIO, FOTOLUMINESCENTE, 40x40cm, ESPESSURA 2mm, EM PVC, ANTI-CHAMAS (SIMBOLOS, CORES E PICTOGRAMAS CONFORME NBR 13434)</t>
  </si>
  <si>
    <t>5.23</t>
  </si>
  <si>
    <t>PLACA DE SINALIZACAO DE SEGURANCA CONTRA INCENDIO, FOTOLUMINESCENTE, 40x80cm, ESPESSURA 2mm, EM PVC, ANTI-CHAMAS (SIMBOLOS, CORES E PICTOGRAMAS CONFORME NBR 13434)</t>
  </si>
  <si>
    <t>5.24</t>
  </si>
  <si>
    <t>PLACA DE SINALIZACAO DE SEGURANCA CONTRA INCENDIO, FOTOLUMINESCENTE, 60x30cm, ESPESSURA 2mm, EM PVC, ANTI-CHAMAS (SIMBOLOS, CORES E PICTOGRAMAS CONFORME NBR 13434)</t>
  </si>
  <si>
    <t>5.25</t>
  </si>
  <si>
    <t>ANEL DE BORRACHA PARA GUIA DE DEFICIENTE EM CORRIMAO</t>
  </si>
  <si>
    <t>5.26</t>
  </si>
  <si>
    <t>PLACA METALICA PARA CORRIMAO EM BRAILLE, DIM 90 X 25 MM</t>
  </si>
  <si>
    <t>5.27</t>
  </si>
  <si>
    <t>FITA 3M COLANTE ANTIDERRAPANTE PARA DEGRAUS ESCADAS</t>
  </si>
  <si>
    <t>5.28</t>
  </si>
  <si>
    <t>FITA DE DEMARCACAO PVC 15MM X 50M (AMARELA, VERMELHA, BRANCA, PRETA, ETC.)</t>
  </si>
  <si>
    <t>5.29</t>
  </si>
  <si>
    <t>FITA 3M DUPLA FACE FIXA FORTE 24 MM X 2 M</t>
  </si>
  <si>
    <t>5.30</t>
  </si>
  <si>
    <t>FP 01 (1) – FAIXA DE PORTA IDENTIFICACAO DE ENTRADA (LOGO INSS DIREITA)</t>
  </si>
  <si>
    <t>5.31</t>
  </si>
  <si>
    <t>FP 01 (2) – FAIXA DE PORTA IDENTIFICACAO DE ENTRADA (LOGO INSS ESQUERDA)</t>
  </si>
  <si>
    <t>5.32</t>
  </si>
  <si>
    <t>FPC 01 – FAIXA DE PORTA COMPLEMENTAR (COM HORARIO DE ATENDIMENTO)</t>
  </si>
  <si>
    <t>5.33</t>
  </si>
  <si>
    <t>FPC 01 – FAIXA DE PORTA COMPLEMENTAR (COM HORARIO DE FUNCIONAMENTO)</t>
  </si>
  <si>
    <t>5.34</t>
  </si>
  <si>
    <t>AEHA – AVISO PARA ENTRADA (HORARIO DE ATENDIMENTO)</t>
  </si>
  <si>
    <t>5.35</t>
  </si>
  <si>
    <t>AEHA – AVISO PARA ENTRADA (HORARIO DE FUNCIONAMENTO)</t>
  </si>
  <si>
    <t>5.36</t>
  </si>
  <si>
    <t>PS 01 – PLACA SUSPENSA DE IDENTIFICACAO DE SETOR (ATENDIMENTO)</t>
  </si>
  <si>
    <t>5.37</t>
  </si>
  <si>
    <t>PS 02 – PLACA SUSPENSA DE IDENTIFICACAO DE SETOR (RECEPCAO)</t>
  </si>
  <si>
    <t>5.38</t>
  </si>
  <si>
    <t>PS 03 – PLACA SUSPENSA DE IDENTIFICACAO DE SETOR (PERICIA MEDICA)</t>
  </si>
  <si>
    <t>5.39</t>
  </si>
  <si>
    <t>FIP 01 – FAIXA DE IDENTIFICACAO DE PORTA (INTERNA) ADESIVADA DIRETAMENTE SOBRE A PORTA</t>
  </si>
  <si>
    <t>5.40</t>
  </si>
  <si>
    <t>PI – PLACA DE INFORMACAO FIXADA NA PAREDE OU SUSPENSA</t>
  </si>
  <si>
    <t>5.41</t>
  </si>
  <si>
    <t>NBMA – NUMERACAO DE BALCAO E MESA DE ATENDIMENTO</t>
  </si>
  <si>
    <t>5.42</t>
  </si>
  <si>
    <t>AM – AVISO PARA MESA</t>
  </si>
  <si>
    <t>5.43</t>
  </si>
  <si>
    <t>APDM1 – AVISO PARA PORTA COM DETECTOR DE METAIS (PORTAL)</t>
  </si>
  <si>
    <t>5.44</t>
  </si>
  <si>
    <t>PIT – PLACA DE IDENTIFICACAO TATIL</t>
  </si>
  <si>
    <t>5.45</t>
  </si>
  <si>
    <t>PIC – PICTOGRAMAS DIVERSOS (PIC 01 - PIC 53)</t>
  </si>
  <si>
    <t>ANEXO VIII – UNIFORMES E EPI’S</t>
  </si>
  <si>
    <t>Quantidade Anual</t>
  </si>
  <si>
    <t>CALCA COMPRIDA TIPO BRIM, JEANS, SARJA OU SIMILAR</t>
  </si>
  <si>
    <t>CAMISA DE BRIM COM BOLSO, OU SIMILAR, COM EMBLEMA DA EMPRESA</t>
  </si>
  <si>
    <t>BOTA DE SEGURANCA COM BIQUEIRA DE ACO E COLARINHO ACOLCHOADO</t>
  </si>
  <si>
    <t>PAR</t>
  </si>
  <si>
    <t>OCULOS DE SEGURANCA</t>
  </si>
  <si>
    <t>LUVA DE SEGURANCA</t>
  </si>
  <si>
    <t>CAPACETE DE SEGURANCA</t>
  </si>
  <si>
    <t>CRACHA DE IDENTIFICACAO EM PLASTICO</t>
  </si>
  <si>
    <t>Total Anual</t>
  </si>
  <si>
    <t>Total Mensal</t>
  </si>
  <si>
    <t>ANEXO IX: PLANILHA DE CÁLCULO DO ISS</t>
  </si>
  <si>
    <t>Unidade Administrativa</t>
  </si>
  <si>
    <t>Endereço Completo</t>
  </si>
  <si>
    <t>Percentual de Área por Unidade</t>
  </si>
  <si>
    <t>Valor por Unidade</t>
  </si>
  <si>
    <t>Valor do ISS a Recolher</t>
  </si>
  <si>
    <t>PRAÇA SÃO SALVADOR, 45/47 - CENTRO - CAMPOS DOS GOYTACAZES</t>
  </si>
  <si>
    <t>RUA TREZE DE MAIO, 70 - CENTRO - CAMPOS DOS GOYTACAZES</t>
  </si>
  <si>
    <t>RUA MARIA JACOB, 33 - CENTRO - CAMBUCI</t>
  </si>
  <si>
    <t>RUA ALEXANDRE ASSEF, 87 - CENTRO - CARDOSO MOREIRA</t>
  </si>
  <si>
    <t>PRAÇA CORONEL GUIMARÃES, 11 - CENTRO - ITAOCARA</t>
  </si>
  <si>
    <t>RUA CORONEL LUIS SALLES, 152 - CENTRO - ITALVA</t>
  </si>
  <si>
    <t>RUA SENADOR FRANCISCO SÁ TINOCO, 92 - CENTRO - ITAPERUNA</t>
  </si>
  <si>
    <t>RUA MARECHAL FLORIANO, 99/109 - CENTRO - MIRACEMA</t>
  </si>
  <si>
    <t>AV. AMARAL PEIXOTO, 39 - CENTRO - NATIVIDADE</t>
  </si>
  <si>
    <t>PRAÇA SANTO ANTÔNIO, 35 - CENTRO - PORCIÚNCULA</t>
  </si>
  <si>
    <t>AV. JOSÉ HOMEM DA COSTA, 583 - BEIRA RIO - STO ANTÔNIO PÁDUA</t>
  </si>
  <si>
    <t>AV. SETE DE SETEMBRO, 443 - CENTRO - SÃO FIDELIS</t>
  </si>
  <si>
    <t>RUA JOAQUIM TOMAZ AQUINO FILHO, 132 - CENTRO - SAO JOÃO DA BARRA</t>
  </si>
  <si>
    <t>RUA DOMINGOS BENTO DE BARROS, 67 - CENTRO - CASIMIRO DE ABREU RJ</t>
  </si>
  <si>
    <t>RUA FRANCISCO PORTELA, 569 - CENTRO - MACAÉ (INCLUI O SUBSOLO E EXCLUI 3º PAV)</t>
  </si>
  <si>
    <t>PRAÇA SÃO SALVADOR, 62 - CENTRO - CAMPOS DOS GOYTACAZES</t>
  </si>
  <si>
    <t>RUA VISCONDE DE ALVARENGA, 154 – PARQUE LEOPOLDINA – CAMPOS DOS GOYTACAZES</t>
  </si>
  <si>
    <t>AV. GOVERNADOR ROBERTO SILVEIRA, 102 - CENTRO - BOM JESUS DO ITABAPOANA</t>
  </si>
  <si>
    <t>AV. ANTONIO CELSO, 55 - CENTRO - SÃO FRANCISCO DO ITABAPOANA</t>
  </si>
  <si>
    <t>AV MARECHAL DEODORO, 1119 - 25 DE AGOSTO - DUQUE DE CAXIAS</t>
  </si>
  <si>
    <t>RUA BENJAMIM PINTO DIAS, 895 - CENTRO</t>
  </si>
  <si>
    <t>AV. MOACYR PADILHA, 205 - JARDIM PRIMAVERA - DUQUE DE CAXIAS</t>
  </si>
  <si>
    <t>RUA MONTEIRO DE AZEVEDO, 34  - CENTRO</t>
  </si>
  <si>
    <t>RUA ARI SCHIAVO, 993 - SANTA INES</t>
  </si>
  <si>
    <t>AV. SIMAO DA MOTA, 785 - CENTRO</t>
  </si>
  <si>
    <t>PRAÇA EDSON PASSOS, 50 C/ AV CASTELO BRANCO, 95 - CENTRO</t>
  </si>
  <si>
    <t>AV. MIRANDELA, 333,337,343,347,351 - CENTRO</t>
  </si>
  <si>
    <t>RUA ESTADOS UNIDOS, 300 - JARDIM METROPOLES</t>
  </si>
  <si>
    <t>AV. AMERICO RODRIGUES FERREIRA, 290 - CENTRO</t>
  </si>
  <si>
    <t>ESTRADA CARLOS SAMPAIO, 7 - CENTRO</t>
  </si>
  <si>
    <t>AV. AUTOMOVEL CLUB, 2384 - VILAR DOS TELES</t>
  </si>
  <si>
    <t>AV. NILO PEÇANHA, 782 - CENTRO</t>
  </si>
  <si>
    <t>ESTRADA DO BANANAL, 1919 - CENTRO</t>
  </si>
  <si>
    <t>AV. NILO PEÇANHA, 236 - CENTRO</t>
  </si>
  <si>
    <t>RUA DR BORMAN, 6 - 5º AO 11º ANDAR - CENTRO</t>
  </si>
  <si>
    <t>RUA VISCONDE DE URUGUAI, 531 - CENTRO</t>
  </si>
  <si>
    <t>RUA DES. ATHAYDE PARREIRAS, 266 - BL B - BAIRRO DE FATIMA</t>
  </si>
  <si>
    <t>RUA DES. ATHAYDE PARREIRAS, 266 - BL C - BAIRRO DE FATIMA</t>
  </si>
  <si>
    <t>RUA BENJAMIM CONSTANT, 350 - BARRETO</t>
  </si>
  <si>
    <t>RUA COMANDANTE ARY PARREIRAS, 76 E 78 - PORTO VELHO</t>
  </si>
  <si>
    <t>RUA CEL. MOREIRA CESAR, 169 - CENTRO</t>
  </si>
  <si>
    <t>RUA DOMICIO DA GAMA, 115</t>
  </si>
  <si>
    <t>RUA DR MACEDO, 238 - CENTRO</t>
  </si>
  <si>
    <t>AV. MANOEL DUARTE, 715 - CENTRO</t>
  </si>
  <si>
    <t>RUA PRESEIDENTE DUTRA C/ RUA XV NOVEMBRO, LOTE 39 - SITIO MANGUEIRAS</t>
  </si>
  <si>
    <t>RUA PADRE AVILA, LOTE 2F</t>
  </si>
  <si>
    <t>RUA DR FRANCISCO S SANTO, 82</t>
  </si>
  <si>
    <t>RODOVIA AMARAL PEIXOTO, KM 85, 125 - CENTRO</t>
  </si>
  <si>
    <t>AV. NILO PEÇANHA, 57</t>
  </si>
  <si>
    <t>RUA BENJAMIM CONSTANT, 48 - CENTRO</t>
  </si>
  <si>
    <t>RUA CEL GOMES MACHADO, 112 - CENTRO</t>
  </si>
  <si>
    <t>RUA MANGARATIBA, 22 - LOJAS A E B - SANTA ROSA</t>
  </si>
  <si>
    <t>VALOR TOTAL MENSAL (EXCLUINDO MATERIAIS E EQUIPAMENTOS):</t>
  </si>
  <si>
    <t>ANEXO X – BDI</t>
  </si>
  <si>
    <t>BDI PARA ITENS DE MERO FORNECIMENTO DE MATERIAIS E EQUIPAMENTOS</t>
  </si>
  <si>
    <t>Composição do BDI para materiais/equipamentos</t>
  </si>
  <si>
    <t>AC</t>
  </si>
  <si>
    <t>Administração Central</t>
  </si>
  <si>
    <t>S+G</t>
  </si>
  <si>
    <t>Seguro + Garantia</t>
  </si>
  <si>
    <t>R</t>
  </si>
  <si>
    <t>Risco</t>
  </si>
  <si>
    <t>DF</t>
  </si>
  <si>
    <t>Despesa Financeira</t>
  </si>
  <si>
    <t>Lucro</t>
  </si>
  <si>
    <t>T</t>
  </si>
  <si>
    <t>Tributos</t>
  </si>
  <si>
    <t>PIS</t>
  </si>
  <si>
    <t>COFINS</t>
  </si>
  <si>
    <t>CPRB</t>
  </si>
  <si>
    <t>Benefícios e Despesas Indiretas (BDI)</t>
  </si>
  <si>
    <t>BDI PARA SERVIÇOS DE MANUTENÇÃO PREDIAL</t>
  </si>
  <si>
    <t>Composição do BDI para municípios com ISS de 1%</t>
  </si>
  <si>
    <t>Composição do BDI para municípios com ISS de 2%</t>
  </si>
  <si>
    <t>Composição do BDI para municípios com ISS de 2,5%</t>
  </si>
  <si>
    <t>Composição do BDI para municípios com ISS de 3%</t>
  </si>
  <si>
    <t>Composição do BDI para municípios com ISS de 4%</t>
  </si>
  <si>
    <t>Composição do BDI para municípios com ISS de 5%</t>
  </si>
  <si>
    <t>ANEXO XI – CRONOGRAMA DE DESEMBOLSO MÁXIMO</t>
  </si>
  <si>
    <t>1º Mês</t>
  </si>
  <si>
    <t>2º Mês</t>
  </si>
  <si>
    <t>3º Mês</t>
  </si>
  <si>
    <t>4º Mês</t>
  </si>
  <si>
    <t>5º Mês</t>
  </si>
  <si>
    <t>6º Mês</t>
  </si>
  <si>
    <t>Total com BDI por Mês</t>
  </si>
  <si>
    <t>Percentual por Mês</t>
  </si>
  <si>
    <t>Total com BDI Acumulado</t>
  </si>
  <si>
    <t>Percentual Acumulado</t>
  </si>
  <si>
    <t>7º Mês</t>
  </si>
  <si>
    <t>8º Mês</t>
  </si>
  <si>
    <t>9º Mês</t>
  </si>
  <si>
    <t>10º Mês</t>
  </si>
  <si>
    <t>11º Mês</t>
  </si>
  <si>
    <t>12º Mês</t>
  </si>
  <si>
    <t>SAT (RAT * FAT) 3,0%X0,5%</t>
  </si>
  <si>
    <t>Outros (especificar) Seguro de Vida</t>
  </si>
  <si>
    <t>Convenção Coletiva de Trabalho 2020/2022</t>
  </si>
  <si>
    <t>RJ001879/2020</t>
  </si>
  <si>
    <t>Nº do Processo: 35663.000167/2019-70</t>
  </si>
  <si>
    <t>Licitação Nº: 14/2020</t>
  </si>
  <si>
    <t>Dia 22/12/2020 às 09:30 horas</t>
  </si>
  <si>
    <t>22/12/202</t>
  </si>
  <si>
    <t>Auxílio-Refeição/Alimentação + Café Cláus. 11ª CCT</t>
  </si>
  <si>
    <t>Fator de Desconto “K” (0 ≤ K &lt; 1)</t>
  </si>
  <si>
    <t>NITERÓI</t>
  </si>
  <si>
    <t>DUQUE</t>
  </si>
  <si>
    <t>CAMPOS</t>
  </si>
  <si>
    <t>S.M. vigente (Lei nº 14.158 - 01/01/2021)</t>
  </si>
  <si>
    <t>Memória de cálculo</t>
  </si>
  <si>
    <t>CONTRT</t>
  </si>
  <si>
    <t>V</t>
  </si>
  <si>
    <t>VCOR</t>
  </si>
  <si>
    <t>I%</t>
  </si>
  <si>
    <t>Valor Unitário após INCC</t>
  </si>
  <si>
    <t>Unitário após o INCC - jan/22</t>
  </si>
  <si>
    <t>Dez.21</t>
  </si>
  <si>
    <t>Dez.20</t>
  </si>
  <si>
    <t>I(Dez/2021)</t>
  </si>
  <si>
    <t>12/2021</t>
  </si>
  <si>
    <t>Iº(Dez/2020)</t>
  </si>
  <si>
    <t>Valor Unitário (após INCC)</t>
  </si>
  <si>
    <t>QUADRO-RESUMO DO VALOR MENSAL DOS SERVIÇOS NAS UNIDADES NÃO OPERACIONAIS</t>
  </si>
  <si>
    <t>Edifício Maestro Felício Toledo</t>
  </si>
  <si>
    <t>Valor Mensal dos Serviços nas Unidades não Operacionais, com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</si>
</sst>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R$ &quot;#,##0.00"/>
    <numFmt numFmtId="165" formatCode="0.0%"/>
    <numFmt numFmtId="166" formatCode="0.00&quot; Km&quot;"/>
    <numFmt numFmtId="167" formatCode="[hh]\:mm"/>
    <numFmt numFmtId="168" formatCode="0&quot; dias&quot;"/>
    <numFmt numFmtId="169" formatCode="&quot; R$ &quot;* #,##0.00\ ;&quot;-R$ &quot;* #,##0.00\ ;&quot; R$ &quot;* \-#\ ;@\ "/>
    <numFmt numFmtId="170" formatCode="0.00&quot; h&quot;"/>
    <numFmt numFmtId="171" formatCode="0,000.00&quot; Km&quot;"/>
    <numFmt numFmtId="172" formatCode="[$R$-416]\ #,##0.00;[Red]\-[$R$-416]\ #,##0.00"/>
    <numFmt numFmtId="173" formatCode="0.0000"/>
    <numFmt numFmtId="174" formatCode="0.000%"/>
    <numFmt numFmtId="175" formatCode="d/m/yyyy"/>
    <numFmt numFmtId="176" formatCode="_-&quot;R$ &quot;* #,##0.00_-;&quot;-R$ &quot;* #,##0.00_-;_-&quot;R$ &quot;* \-??_-;_-@_-"/>
    <numFmt numFmtId="177" formatCode="&quot; R$ &quot;* #,##0.00\ ;&quot;-R$ &quot;* #,##0.00\ ;&quot; R$ &quot;* \-#.0\ ;@\ "/>
    <numFmt numFmtId="178" formatCode="#,###.00"/>
    <numFmt numFmtId="179" formatCode="&quot;R$&quot;#,##0.00"/>
    <numFmt numFmtId="180" formatCode="[$R$-416]\ #,##0.00;\-[$R$-416]\ #,##0.00"/>
    <numFmt numFmtId="181" formatCode="#,##0.0000"/>
  </numFmts>
  <fonts count="30" x14ac:knownFonts="1"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10"/>
      <name val="Mang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sz val="9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1E1E1E"/>
      <name val="Arial"/>
      <family val="2"/>
      <charset val="1"/>
    </font>
    <font>
      <sz val="10"/>
      <name val="Arial"/>
      <family val="2"/>
      <charset val="1"/>
    </font>
    <font>
      <sz val="11"/>
      <color rgb="FFC00000"/>
      <name val="Arial"/>
      <family val="2"/>
      <charset val="1"/>
    </font>
    <font>
      <sz val="10"/>
      <color rgb="FFC00000"/>
      <name val="Arial"/>
      <family val="2"/>
      <charset val="1"/>
    </font>
    <font>
      <sz val="12"/>
      <color rgb="FFC00000"/>
      <name val="Arial"/>
      <family val="2"/>
      <charset val="1"/>
    </font>
    <font>
      <sz val="11"/>
      <color rgb="FFFF0000"/>
      <name val="Arial"/>
      <family val="2"/>
      <charset val="1"/>
    </font>
    <font>
      <b/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BFBFBF"/>
        <bgColor rgb="FFBFD3F0"/>
      </patternFill>
    </fill>
    <fill>
      <patternFill patternType="solid">
        <fgColor rgb="FFF2F2F2"/>
        <bgColor rgb="FFE2F0D9"/>
      </patternFill>
    </fill>
    <fill>
      <patternFill patternType="solid">
        <fgColor rgb="FFE2F0D9"/>
        <bgColor rgb="FFF2F2F2"/>
      </patternFill>
    </fill>
    <fill>
      <patternFill patternType="solid">
        <fgColor rgb="FFBFD3F0"/>
        <bgColor rgb="FF99CCFF"/>
      </patternFill>
    </fill>
    <fill>
      <patternFill patternType="solid">
        <fgColor rgb="FFFFFBCC"/>
        <bgColor rgb="FFFFF2CC"/>
      </patternFill>
    </fill>
    <fill>
      <patternFill patternType="solid">
        <fgColor rgb="FFFFFFFF"/>
        <bgColor rgb="FFF2F2F2"/>
      </patternFill>
    </fill>
    <fill>
      <patternFill patternType="solid">
        <fgColor rgb="FFFBE5D6"/>
        <bgColor rgb="FFFFF2CC"/>
      </patternFill>
    </fill>
    <fill>
      <patternFill patternType="solid">
        <fgColor rgb="FFFFF2CC"/>
        <bgColor rgb="FFFFFB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9" fontId="11" fillId="0" borderId="0" applyBorder="0" applyProtection="0"/>
    <xf numFmtId="9" fontId="21" fillId="0" borderId="0" applyBorder="0" applyProtection="0"/>
    <xf numFmtId="0" fontId="21" fillId="0" borderId="0"/>
  </cellStyleXfs>
  <cellXfs count="35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0" fontId="1" fillId="0" borderId="1" xfId="2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1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1" xfId="0" applyNumberFormat="1" applyFont="1" applyFill="1" applyBorder="1" applyAlignment="1">
      <alignment horizontal="center" vertical="center" wrapText="1"/>
    </xf>
    <xf numFmtId="167" fontId="5" fillId="7" borderId="1" xfId="0" applyNumberFormat="1" applyFont="1" applyFill="1" applyBorder="1" applyAlignment="1">
      <alignment horizontal="center" vertical="center" wrapText="1"/>
    </xf>
    <xf numFmtId="168" fontId="5" fillId="7" borderId="1" xfId="0" applyNumberFormat="1" applyFont="1" applyFill="1" applyBorder="1" applyAlignment="1">
      <alignment horizontal="center" vertical="center" wrapText="1"/>
    </xf>
    <xf numFmtId="169" fontId="5" fillId="7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170" fontId="5" fillId="7" borderId="1" xfId="0" applyNumberFormat="1" applyFont="1" applyFill="1" applyBorder="1" applyAlignment="1">
      <alignment horizontal="center" vertical="center" wrapText="1"/>
    </xf>
    <xf numFmtId="20" fontId="5" fillId="7" borderId="1" xfId="0" applyNumberFormat="1" applyFont="1" applyFill="1" applyBorder="1" applyAlignment="1">
      <alignment horizontal="center" vertical="center" wrapText="1"/>
    </xf>
    <xf numFmtId="166" fontId="5" fillId="7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167" fontId="5" fillId="0" borderId="1" xfId="0" applyNumberFormat="1" applyFont="1" applyBorder="1" applyAlignment="1">
      <alignment horizontal="center" vertical="center" wrapText="1"/>
    </xf>
    <xf numFmtId="2" fontId="5" fillId="7" borderId="1" xfId="0" applyNumberFormat="1" applyFont="1" applyFill="1" applyBorder="1" applyAlignment="1" applyProtection="1">
      <alignment vertical="center" wrapText="1"/>
      <protection locked="0"/>
    </xf>
    <xf numFmtId="169" fontId="5" fillId="0" borderId="1" xfId="1" applyFont="1" applyBorder="1" applyAlignment="1" applyProtection="1">
      <alignment horizontal="center" vertical="center" wrapText="1"/>
      <protection locked="0"/>
    </xf>
    <xf numFmtId="2" fontId="5" fillId="7" borderId="3" xfId="0" applyNumberFormat="1" applyFont="1" applyFill="1" applyBorder="1" applyAlignment="1" applyProtection="1">
      <alignment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71" fontId="4" fillId="7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169" fontId="4" fillId="7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17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173" fontId="5" fillId="7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4" fillId="0" borderId="1" xfId="2" applyNumberFormat="1" applyFont="1" applyBorder="1" applyAlignment="1" applyProtection="1">
      <alignment horizontal="center" vertical="center" wrapText="1"/>
      <protection locked="0" hidden="1"/>
    </xf>
    <xf numFmtId="0" fontId="1" fillId="0" borderId="0" xfId="0" applyFont="1" applyProtection="1"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4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2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0" fontId="5" fillId="0" borderId="1" xfId="0" applyNumberFormat="1" applyFont="1" applyBorder="1" applyAlignment="1" applyProtection="1">
      <alignment horizontal="center" vertical="center" wrapText="1"/>
      <protection hidden="1"/>
    </xf>
    <xf numFmtId="2" fontId="5" fillId="0" borderId="1" xfId="0" applyNumberFormat="1" applyFont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7" borderId="1" xfId="0" applyFont="1" applyFill="1" applyBorder="1" applyAlignment="1" applyProtection="1">
      <alignment horizontal="left" vertical="center" wrapText="1"/>
      <protection hidden="1"/>
    </xf>
    <xf numFmtId="4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2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left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center" vertical="center" wrapText="1"/>
      <protection hidden="1"/>
    </xf>
    <xf numFmtId="4" fontId="4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vertical="center" wrapText="1"/>
      <protection hidden="1"/>
    </xf>
    <xf numFmtId="2" fontId="14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wrapText="1"/>
      <protection hidden="1"/>
    </xf>
    <xf numFmtId="1" fontId="15" fillId="9" borderId="1" xfId="0" applyNumberFormat="1" applyFont="1" applyFill="1" applyBorder="1" applyAlignment="1" applyProtection="1">
      <alignment horizontal="center" vertical="center" wrapText="1"/>
      <protection hidden="1"/>
    </xf>
    <xf numFmtId="2" fontId="4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174" fontId="17" fillId="0" borderId="1" xfId="0" applyNumberFormat="1" applyFont="1" applyBorder="1" applyAlignment="1" applyProtection="1">
      <alignment horizontal="left" vertical="center" wrapText="1"/>
      <protection hidden="1"/>
    </xf>
    <xf numFmtId="10" fontId="17" fillId="0" borderId="1" xfId="0" applyNumberFormat="1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5" fontId="5" fillId="0" borderId="1" xfId="0" applyNumberFormat="1" applyFont="1" applyBorder="1" applyAlignment="1">
      <alignment horizontal="center" vertical="center"/>
    </xf>
    <xf numFmtId="0" fontId="0" fillId="0" borderId="0" xfId="3" applyFont="1" applyAlignment="1">
      <alignment horizontal="center" vertical="center" wrapText="1"/>
    </xf>
    <xf numFmtId="0" fontId="0" fillId="0" borderId="0" xfId="3" applyFont="1" applyAlignment="1">
      <alignment vertical="center" wrapText="1"/>
    </xf>
    <xf numFmtId="0" fontId="21" fillId="0" borderId="0" xfId="3"/>
    <xf numFmtId="0" fontId="4" fillId="3" borderId="1" xfId="3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 wrapText="1"/>
    </xf>
    <xf numFmtId="164" fontId="4" fillId="4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3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3" fontId="5" fillId="0" borderId="1" xfId="3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/>
    <xf numFmtId="169" fontId="5" fillId="0" borderId="1" xfId="1" applyFont="1" applyBorder="1" applyAlignment="1" applyProtection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49" fontId="5" fillId="7" borderId="1" xfId="3" applyNumberFormat="1" applyFont="1" applyFill="1" applyBorder="1" applyAlignment="1">
      <alignment horizontal="center" vertical="center" wrapText="1"/>
    </xf>
    <xf numFmtId="49" fontId="5" fillId="7" borderId="1" xfId="3" applyNumberFormat="1" applyFont="1" applyFill="1" applyBorder="1" applyAlignment="1">
      <alignment horizontal="left" vertical="center" wrapText="1"/>
    </xf>
    <xf numFmtId="169" fontId="1" fillId="0" borderId="1" xfId="1" applyFont="1" applyBorder="1" applyAlignment="1" applyProtection="1">
      <alignment horizontal="center" vertical="center"/>
    </xf>
    <xf numFmtId="0" fontId="5" fillId="7" borderId="1" xfId="3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77" fontId="5" fillId="0" borderId="1" xfId="1" applyNumberFormat="1" applyFont="1" applyBorder="1" applyAlignment="1" applyProtection="1">
      <alignment horizontal="center" vertical="center" wrapText="1"/>
    </xf>
    <xf numFmtId="0" fontId="4" fillId="3" borderId="1" xfId="3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justify" vertical="center" wrapText="1"/>
    </xf>
    <xf numFmtId="169" fontId="5" fillId="0" borderId="1" xfId="1" applyFont="1" applyBorder="1" applyAlignment="1" applyProtection="1">
      <alignment horizontal="justify" vertical="center" wrapText="1"/>
    </xf>
    <xf numFmtId="172" fontId="5" fillId="7" borderId="1" xfId="3" applyNumberFormat="1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center" vertical="center"/>
    </xf>
    <xf numFmtId="172" fontId="4" fillId="7" borderId="1" xfId="3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 wrapText="1"/>
      <protection hidden="1"/>
    </xf>
    <xf numFmtId="4" fontId="6" fillId="7" borderId="1" xfId="0" applyNumberFormat="1" applyFont="1" applyFill="1" applyBorder="1" applyAlignment="1">
      <alignment horizontal="center" vertical="center"/>
    </xf>
    <xf numFmtId="9" fontId="6" fillId="7" borderId="1" xfId="0" applyNumberFormat="1" applyFont="1" applyFill="1" applyBorder="1" applyAlignment="1">
      <alignment horizontal="center" vertical="center"/>
    </xf>
    <xf numFmtId="10" fontId="6" fillId="7" borderId="1" xfId="2" applyNumberFormat="1" applyFont="1" applyFill="1" applyBorder="1" applyAlignment="1" applyProtection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justify" vertical="center" wrapText="1"/>
    </xf>
    <xf numFmtId="179" fontId="6" fillId="7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/>
    </xf>
    <xf numFmtId="0" fontId="5" fillId="4" borderId="1" xfId="3" applyFont="1" applyFill="1" applyBorder="1" applyAlignment="1">
      <alignment vertical="center" wrapText="1"/>
    </xf>
    <xf numFmtId="10" fontId="5" fillId="0" borderId="1" xfId="2" applyNumberFormat="1" applyFont="1" applyBorder="1" applyAlignment="1" applyProtection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1" xfId="3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5" fontId="5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9" fontId="5" fillId="0" borderId="1" xfId="2" applyFont="1" applyBorder="1" applyAlignment="1" applyProtection="1">
      <alignment horizontal="center" vertical="center"/>
    </xf>
    <xf numFmtId="4" fontId="5" fillId="0" borderId="1" xfId="0" applyNumberFormat="1" applyFont="1" applyBorder="1" applyAlignment="1">
      <alignment vertical="center"/>
    </xf>
    <xf numFmtId="165" fontId="5" fillId="0" borderId="1" xfId="2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9" fontId="4" fillId="0" borderId="1" xfId="2" applyFont="1" applyBorder="1" applyAlignment="1" applyProtection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4" fontId="4" fillId="10" borderId="1" xfId="0" applyNumberFormat="1" applyFont="1" applyFill="1" applyBorder="1" applyAlignment="1">
      <alignment horizontal="right" vertical="center"/>
    </xf>
    <xf numFmtId="172" fontId="4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1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7" borderId="1" xfId="0" applyFont="1" applyFill="1" applyBorder="1"/>
    <xf numFmtId="0" fontId="5" fillId="10" borderId="1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right" vertical="center" wrapText="1"/>
    </xf>
    <xf numFmtId="0" fontId="5" fillId="10" borderId="1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2" fontId="5" fillId="0" borderId="11" xfId="0" applyNumberFormat="1" applyFont="1" applyBorder="1" applyAlignment="1">
      <alignment horizontal="center" vertical="top"/>
    </xf>
    <xf numFmtId="0" fontId="21" fillId="0" borderId="1" xfId="3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/>
    </xf>
    <xf numFmtId="0" fontId="5" fillId="13" borderId="1" xfId="0" applyFont="1" applyFill="1" applyBorder="1" applyAlignment="1">
      <alignment horizontal="left" vertical="center"/>
    </xf>
    <xf numFmtId="181" fontId="5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3" fillId="11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10" fontId="5" fillId="14" borderId="1" xfId="0" applyNumberFormat="1" applyFont="1" applyFill="1" applyBorder="1" applyAlignment="1">
      <alignment horizontal="center" vertical="center"/>
    </xf>
    <xf numFmtId="10" fontId="25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174" fontId="5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26" fillId="0" borderId="1" xfId="0" applyFont="1" applyBorder="1"/>
    <xf numFmtId="4" fontId="27" fillId="0" borderId="1" xfId="0" applyNumberFormat="1" applyFont="1" applyBorder="1"/>
    <xf numFmtId="4" fontId="27" fillId="0" borderId="0" xfId="0" applyNumberFormat="1" applyFont="1" applyBorder="1"/>
    <xf numFmtId="181" fontId="27" fillId="0" borderId="1" xfId="0" applyNumberFormat="1" applyFont="1" applyBorder="1"/>
    <xf numFmtId="4" fontId="28" fillId="16" borderId="1" xfId="0" applyNumberFormat="1" applyFont="1" applyFill="1" applyBorder="1"/>
    <xf numFmtId="4" fontId="28" fillId="16" borderId="0" xfId="0" applyNumberFormat="1" applyFont="1" applyFill="1" applyBorder="1"/>
    <xf numFmtId="0" fontId="27" fillId="0" borderId="1" xfId="0" applyFont="1" applyBorder="1"/>
    <xf numFmtId="0" fontId="27" fillId="0" borderId="0" xfId="0" applyFont="1" applyBorder="1"/>
    <xf numFmtId="167" fontId="4" fillId="0" borderId="6" xfId="0" applyNumberFormat="1" applyFont="1" applyBorder="1" applyAlignment="1">
      <alignment horizontal="center" vertical="center" wrapText="1"/>
    </xf>
    <xf numFmtId="181" fontId="27" fillId="0" borderId="0" xfId="0" applyNumberFormat="1" applyFont="1" applyBorder="1"/>
    <xf numFmtId="2" fontId="5" fillId="0" borderId="1" xfId="0" applyNumberFormat="1" applyFont="1" applyBorder="1" applyAlignment="1">
      <alignment horizontal="center" vertical="top"/>
    </xf>
    <xf numFmtId="43" fontId="0" fillId="0" borderId="1" xfId="0" applyNumberFormat="1" applyFont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 vertical="center"/>
    </xf>
    <xf numFmtId="1" fontId="5" fillId="14" borderId="1" xfId="0" applyNumberFormat="1" applyFont="1" applyFill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/>
    </xf>
    <xf numFmtId="10" fontId="29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9" fontId="5" fillId="8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horizontal="left" vertical="center" wrapText="1"/>
    </xf>
    <xf numFmtId="172" fontId="4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10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4" fillId="7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4" fillId="9" borderId="1" xfId="0" applyFont="1" applyFill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175" fontId="5" fillId="0" borderId="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6" fillId="2" borderId="0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0" fontId="4" fillId="7" borderId="1" xfId="3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left" vertical="center" wrapText="1"/>
    </xf>
    <xf numFmtId="0" fontId="4" fillId="14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4" fillId="7" borderId="1" xfId="3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4">
    <cellStyle name="Moeda" xfId="1" builtinId="4"/>
    <cellStyle name="Normal" xfId="0" builtinId="0"/>
    <cellStyle name="Porcentagem" xfId="2" builtinId="5"/>
    <cellStyle name="Texto Explicativo" xfId="3" builtinId="53" customBuiltin="1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BCC"/>
      <rgbColor rgb="FFF2F2F2"/>
      <rgbColor rgb="FF660066"/>
      <rgbColor rgb="FFFF8080"/>
      <rgbColor rgb="FF0066CC"/>
      <rgbColor rgb="FFBFD3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1E1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190500</xdr:colOff>
      <xdr:row>46</xdr:row>
      <xdr:rowOff>123825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190500</xdr:colOff>
      <xdr:row>46</xdr:row>
      <xdr:rowOff>123825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276225</xdr:colOff>
      <xdr:row>49</xdr:row>
      <xdr:rowOff>95250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5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6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id="{00000000-0008-0000-07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8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8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10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1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1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MK85"/>
  <sheetViews>
    <sheetView tabSelected="1" view="pageBreakPreview" topLeftCell="C1" zoomScale="80" zoomScaleNormal="60" zoomScaleSheetLayoutView="80" workbookViewId="0">
      <selection activeCell="K27" sqref="K27"/>
    </sheetView>
  </sheetViews>
  <sheetFormatPr defaultRowHeight="14.25" x14ac:dyDescent="0.2"/>
  <cols>
    <col min="1" max="1" width="5.28515625" style="1" customWidth="1"/>
    <col min="2" max="2" width="40.140625" style="1" customWidth="1"/>
    <col min="3" max="3" width="15.140625" style="1" customWidth="1"/>
    <col min="4" max="6" width="11.5703125" style="1"/>
    <col min="7" max="8" width="15.42578125" style="1" customWidth="1"/>
    <col min="9" max="9" width="15.7109375" style="1" customWidth="1"/>
    <col min="10" max="10" width="16" style="1" customWidth="1"/>
    <col min="11" max="11" width="13.140625" style="1" customWidth="1"/>
    <col min="12" max="12" width="16.42578125" style="1" customWidth="1"/>
    <col min="13" max="13" width="22.28515625" style="1" customWidth="1"/>
    <col min="14" max="1025" width="8.7109375" style="1" customWidth="1"/>
  </cols>
  <sheetData>
    <row r="1" spans="1:12" s="2" customFormat="1" ht="20.25" customHeight="1" x14ac:dyDescent="0.2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</row>
    <row r="2" spans="1:12" s="2" customFormat="1" ht="15" customHeight="1" x14ac:dyDescent="0.2">
      <c r="A2" s="273" t="s">
        <v>1</v>
      </c>
      <c r="B2" s="273"/>
      <c r="C2" s="273"/>
      <c r="D2" s="273"/>
      <c r="E2" s="273"/>
      <c r="F2" s="273"/>
      <c r="G2" s="273"/>
      <c r="H2" s="273"/>
      <c r="I2" s="273"/>
      <c r="J2" s="273"/>
    </row>
    <row r="3" spans="1:12" s="2" customFormat="1" ht="15" customHeight="1" x14ac:dyDescent="0.2">
      <c r="A3" s="176" t="s">
        <v>2</v>
      </c>
      <c r="B3" s="274" t="s">
        <v>3</v>
      </c>
      <c r="C3" s="274"/>
      <c r="D3" s="274"/>
      <c r="E3" s="274"/>
      <c r="F3" s="274"/>
      <c r="G3" s="176" t="s">
        <v>4</v>
      </c>
      <c r="H3" s="176" t="s">
        <v>5</v>
      </c>
      <c r="I3" s="176" t="s">
        <v>6</v>
      </c>
      <c r="J3" s="176" t="s">
        <v>7</v>
      </c>
    </row>
    <row r="4" spans="1:12" s="2" customFormat="1" ht="15" x14ac:dyDescent="0.2">
      <c r="A4" s="182" t="s">
        <v>8</v>
      </c>
      <c r="B4" s="275" t="s">
        <v>9</v>
      </c>
      <c r="C4" s="275"/>
      <c r="D4" s="275"/>
      <c r="E4" s="275"/>
      <c r="F4" s="275"/>
      <c r="G4" s="180" t="s">
        <v>10</v>
      </c>
      <c r="H4" s="182">
        <v>1</v>
      </c>
      <c r="I4" s="174">
        <f>'V Quadro-Resumo Mão de Obra'!G18</f>
        <v>87670.213962337948</v>
      </c>
      <c r="J4" s="188">
        <f>H4*I4</f>
        <v>87670.213962337948</v>
      </c>
    </row>
    <row r="5" spans="1:12" s="2" customFormat="1" ht="15" x14ac:dyDescent="0.2">
      <c r="A5" s="182" t="s">
        <v>11</v>
      </c>
      <c r="B5" s="275" t="s">
        <v>12</v>
      </c>
      <c r="C5" s="275"/>
      <c r="D5" s="275"/>
      <c r="E5" s="275"/>
      <c r="F5" s="275"/>
      <c r="G5" s="180" t="s">
        <v>10</v>
      </c>
      <c r="H5" s="182">
        <v>1</v>
      </c>
      <c r="I5" s="174">
        <f>0.35*I4</f>
        <v>30684.574886818278</v>
      </c>
      <c r="J5" s="188">
        <f>H5*I5</f>
        <v>30684.574886818278</v>
      </c>
    </row>
    <row r="6" spans="1:12" s="2" customFormat="1" ht="15" x14ac:dyDescent="0.2">
      <c r="A6" s="182" t="s">
        <v>13</v>
      </c>
      <c r="B6" s="275" t="s">
        <v>14</v>
      </c>
      <c r="C6" s="275"/>
      <c r="D6" s="275"/>
      <c r="E6" s="275"/>
      <c r="F6" s="275"/>
      <c r="G6" s="180" t="s">
        <v>10</v>
      </c>
      <c r="H6" s="182">
        <v>1</v>
      </c>
      <c r="I6" s="174">
        <f>'VI Equipamentos'!G77</f>
        <v>522.76448473010294</v>
      </c>
      <c r="J6" s="188">
        <f>H6*I6</f>
        <v>522.76448473010294</v>
      </c>
    </row>
    <row r="7" spans="1:12" s="2" customFormat="1" ht="15" x14ac:dyDescent="0.2">
      <c r="A7" s="182" t="s">
        <v>15</v>
      </c>
      <c r="B7" s="275" t="s">
        <v>16</v>
      </c>
      <c r="C7" s="275"/>
      <c r="D7" s="275"/>
      <c r="E7" s="275"/>
      <c r="F7" s="275"/>
      <c r="G7" s="182" t="s">
        <v>10</v>
      </c>
      <c r="H7" s="182">
        <v>1</v>
      </c>
      <c r="I7" s="174">
        <f>'III Deslocamentos'!L120</f>
        <v>16062.917206385733</v>
      </c>
      <c r="J7" s="188">
        <f>H7*I7</f>
        <v>16062.917206385733</v>
      </c>
    </row>
    <row r="8" spans="1:12" s="2" customFormat="1" ht="15" x14ac:dyDescent="0.2">
      <c r="A8" s="276"/>
      <c r="B8" s="276"/>
      <c r="C8" s="276"/>
      <c r="D8" s="276"/>
      <c r="E8" s="276"/>
      <c r="F8" s="276"/>
      <c r="G8" s="276"/>
      <c r="H8" s="276"/>
      <c r="I8" s="276"/>
      <c r="J8" s="276"/>
    </row>
    <row r="9" spans="1:12" s="2" customFormat="1" ht="15" x14ac:dyDescent="0.2">
      <c r="A9" s="277" t="s">
        <v>17</v>
      </c>
      <c r="B9" s="277"/>
      <c r="C9" s="277"/>
      <c r="D9" s="277"/>
      <c r="E9" s="277"/>
      <c r="F9" s="277"/>
      <c r="G9" s="277"/>
      <c r="H9" s="277"/>
      <c r="I9" s="277"/>
      <c r="J9" s="277"/>
    </row>
    <row r="10" spans="1:12" s="2" customFormat="1" ht="15" x14ac:dyDescent="0.2">
      <c r="A10" s="278" t="s">
        <v>18</v>
      </c>
      <c r="B10" s="278"/>
      <c r="C10" s="278"/>
      <c r="D10" s="278" t="s">
        <v>1029</v>
      </c>
      <c r="E10" s="278"/>
      <c r="F10" s="278"/>
      <c r="G10" s="278"/>
      <c r="H10" s="278" t="s">
        <v>19</v>
      </c>
      <c r="I10" s="278"/>
      <c r="J10" s="278"/>
    </row>
    <row r="11" spans="1:12" s="2" customFormat="1" ht="15" x14ac:dyDescent="0.2">
      <c r="A11" s="279">
        <f>J5</f>
        <v>30684.574886818278</v>
      </c>
      <c r="B11" s="279"/>
      <c r="C11" s="279"/>
      <c r="D11" s="280">
        <v>6.0400000000000002E-2</v>
      </c>
      <c r="E11" s="280"/>
      <c r="F11" s="280"/>
      <c r="G11" s="280"/>
      <c r="H11" s="279">
        <f>A11*(1-D11)</f>
        <v>28831.226563654454</v>
      </c>
      <c r="I11" s="279"/>
      <c r="J11" s="279"/>
    </row>
    <row r="12" spans="1:12" s="2" customFormat="1" ht="15" x14ac:dyDescent="0.2">
      <c r="A12" s="276"/>
      <c r="B12" s="276"/>
      <c r="C12" s="276"/>
      <c r="D12" s="276"/>
      <c r="E12" s="276"/>
      <c r="F12" s="276"/>
      <c r="G12" s="276"/>
      <c r="H12" s="276"/>
      <c r="I12" s="276"/>
      <c r="J12" s="276"/>
    </row>
    <row r="13" spans="1:12" s="2" customFormat="1" ht="15" x14ac:dyDescent="0.2">
      <c r="A13" s="182" t="s">
        <v>20</v>
      </c>
      <c r="B13" s="275" t="s">
        <v>21</v>
      </c>
      <c r="C13" s="275"/>
      <c r="D13" s="275"/>
      <c r="E13" s="275"/>
      <c r="F13" s="275"/>
      <c r="G13" s="275"/>
      <c r="H13" s="275"/>
      <c r="I13" s="275"/>
      <c r="J13" s="189">
        <f>J4+J7</f>
        <v>103733.13116872369</v>
      </c>
      <c r="K13" s="173"/>
      <c r="L13" s="173"/>
    </row>
    <row r="14" spans="1:12" s="2" customFormat="1" ht="15" x14ac:dyDescent="0.2">
      <c r="A14" s="182" t="s">
        <v>22</v>
      </c>
      <c r="B14" s="275" t="s">
        <v>23</v>
      </c>
      <c r="C14" s="275"/>
      <c r="D14" s="275"/>
      <c r="E14" s="275"/>
      <c r="F14" s="275"/>
      <c r="G14" s="275"/>
      <c r="H14" s="275"/>
      <c r="I14" s="275"/>
      <c r="J14" s="189">
        <f>J6+H11</f>
        <v>29353.991048384556</v>
      </c>
      <c r="K14" s="173"/>
      <c r="L14" s="173"/>
    </row>
    <row r="15" spans="1:12" s="2" customFormat="1" ht="15" x14ac:dyDescent="0.2">
      <c r="A15" s="282" t="s">
        <v>24</v>
      </c>
      <c r="B15" s="282"/>
      <c r="C15" s="282"/>
      <c r="D15" s="282"/>
      <c r="E15" s="282"/>
      <c r="F15" s="282"/>
      <c r="G15" s="282"/>
      <c r="H15" s="282"/>
      <c r="I15" s="282"/>
      <c r="J15" s="190">
        <f>J13+J14</f>
        <v>133087.12221710823</v>
      </c>
    </row>
    <row r="16" spans="1:12" s="2" customFormat="1" ht="15" x14ac:dyDescent="0.2">
      <c r="A16" s="283"/>
      <c r="B16" s="283"/>
      <c r="C16" s="283"/>
      <c r="D16" s="283"/>
      <c r="E16" s="283"/>
      <c r="F16" s="283"/>
      <c r="G16" s="283"/>
      <c r="H16" s="283"/>
      <c r="I16" s="283"/>
      <c r="J16" s="283"/>
    </row>
    <row r="17" spans="1:10" s="2" customFormat="1" ht="15" customHeight="1" x14ac:dyDescent="0.2">
      <c r="A17" s="273" t="s">
        <v>25</v>
      </c>
      <c r="B17" s="273"/>
      <c r="C17" s="273"/>
      <c r="D17" s="273"/>
      <c r="E17" s="273"/>
      <c r="F17" s="273"/>
      <c r="G17" s="273"/>
      <c r="H17" s="273"/>
      <c r="I17" s="273"/>
      <c r="J17" s="273"/>
    </row>
    <row r="18" spans="1:10" s="2" customFormat="1" ht="60" x14ac:dyDescent="0.2">
      <c r="A18" s="176" t="s">
        <v>2</v>
      </c>
      <c r="B18" s="176" t="s">
        <v>3</v>
      </c>
      <c r="C18" s="176" t="s">
        <v>26</v>
      </c>
      <c r="D18" s="176" t="s">
        <v>27</v>
      </c>
      <c r="E18" s="176" t="s">
        <v>28</v>
      </c>
      <c r="F18" s="176" t="s">
        <v>29</v>
      </c>
      <c r="G18" s="176" t="s">
        <v>30</v>
      </c>
      <c r="H18" s="176" t="s">
        <v>31</v>
      </c>
      <c r="I18" s="176" t="s">
        <v>32</v>
      </c>
      <c r="J18" s="176" t="s">
        <v>33</v>
      </c>
    </row>
    <row r="19" spans="1:10" s="2" customFormat="1" ht="15" customHeight="1" x14ac:dyDescent="0.2">
      <c r="A19" s="182">
        <v>1</v>
      </c>
      <c r="B19" s="230" t="s">
        <v>34</v>
      </c>
      <c r="C19" s="184">
        <v>2356.92</v>
      </c>
      <c r="D19" s="191">
        <v>0.03</v>
      </c>
      <c r="E19" s="163">
        <f>'X BDI'!C68</f>
        <v>0.33999342789870557</v>
      </c>
      <c r="F19" s="163">
        <f>'X BDI'!$C$15</f>
        <v>0.24178315301034292</v>
      </c>
      <c r="G19" s="233">
        <f>($J$13/($C$71+$C$77))*(1+E19)</f>
        <v>2.1343875852872198</v>
      </c>
      <c r="H19" s="192">
        <f>($J$14/($C$71+$C$77))*(1+F19)</f>
        <v>0.55971384752860709</v>
      </c>
      <c r="I19" s="189">
        <f t="shared" ref="I19:I50" si="0">C19*G19</f>
        <v>5030.580787515154</v>
      </c>
      <c r="J19" s="189">
        <f t="shared" ref="J19:J50" si="1">C19*H19</f>
        <v>1319.2007615171246</v>
      </c>
    </row>
    <row r="20" spans="1:10" s="2" customFormat="1" ht="15" customHeight="1" x14ac:dyDescent="0.2">
      <c r="A20" s="182">
        <v>2</v>
      </c>
      <c r="B20" s="230" t="s">
        <v>35</v>
      </c>
      <c r="C20" s="184">
        <v>655.71</v>
      </c>
      <c r="D20" s="191">
        <v>0.03</v>
      </c>
      <c r="E20" s="163">
        <f>'X BDI'!C68</f>
        <v>0.33999342789870557</v>
      </c>
      <c r="F20" s="163">
        <f>'X BDI'!$C$15</f>
        <v>0.24178315301034292</v>
      </c>
      <c r="G20" s="233">
        <f t="shared" ref="G20:G70" si="2">($J$13/($C$71+$C$77))*(1+E20)</f>
        <v>2.1343875852872198</v>
      </c>
      <c r="H20" s="192">
        <f t="shared" ref="H20:H70" si="3">($J$14/($C$71+$C$77))*(1+F20)</f>
        <v>0.55971384752860709</v>
      </c>
      <c r="I20" s="189">
        <f t="shared" si="0"/>
        <v>1399.539283548683</v>
      </c>
      <c r="J20" s="189">
        <f t="shared" si="1"/>
        <v>367.00996696298296</v>
      </c>
    </row>
    <row r="21" spans="1:10" s="2" customFormat="1" ht="15" customHeight="1" x14ac:dyDescent="0.2">
      <c r="A21" s="182">
        <v>3</v>
      </c>
      <c r="B21" s="230" t="s">
        <v>36</v>
      </c>
      <c r="C21" s="184">
        <v>3959.6</v>
      </c>
      <c r="D21" s="191">
        <v>0.03</v>
      </c>
      <c r="E21" s="163">
        <f>'X BDI'!C68</f>
        <v>0.33999342789870557</v>
      </c>
      <c r="F21" s="163">
        <f>'X BDI'!$C$15</f>
        <v>0.24178315301034292</v>
      </c>
      <c r="G21" s="233">
        <f t="shared" si="2"/>
        <v>2.1343875852872198</v>
      </c>
      <c r="H21" s="192">
        <f t="shared" si="3"/>
        <v>0.55971384752860709</v>
      </c>
      <c r="I21" s="189">
        <f t="shared" si="0"/>
        <v>8451.3210827032763</v>
      </c>
      <c r="J21" s="189">
        <f t="shared" si="1"/>
        <v>2216.2429506742724</v>
      </c>
    </row>
    <row r="22" spans="1:10" s="2" customFormat="1" ht="15" customHeight="1" x14ac:dyDescent="0.2">
      <c r="A22" s="182">
        <v>4</v>
      </c>
      <c r="B22" s="230" t="s">
        <v>37</v>
      </c>
      <c r="C22" s="184">
        <v>2600.5500000000002</v>
      </c>
      <c r="D22" s="191">
        <v>0.03</v>
      </c>
      <c r="E22" s="163">
        <f>'X BDI'!C68</f>
        <v>0.33999342789870557</v>
      </c>
      <c r="F22" s="163">
        <f>'X BDI'!$C$15</f>
        <v>0.24178315301034292</v>
      </c>
      <c r="G22" s="233">
        <f t="shared" si="2"/>
        <v>2.1343875852872198</v>
      </c>
      <c r="H22" s="192">
        <f t="shared" si="3"/>
        <v>0.55971384752860709</v>
      </c>
      <c r="I22" s="189">
        <f t="shared" si="0"/>
        <v>5550.5816349186798</v>
      </c>
      <c r="J22" s="189">
        <f t="shared" si="1"/>
        <v>1455.5638461905194</v>
      </c>
    </row>
    <row r="23" spans="1:10" s="2" customFormat="1" ht="15" customHeight="1" x14ac:dyDescent="0.2">
      <c r="A23" s="182">
        <v>5</v>
      </c>
      <c r="B23" s="230" t="s">
        <v>38</v>
      </c>
      <c r="C23" s="184">
        <v>980</v>
      </c>
      <c r="D23" s="191">
        <v>0.03</v>
      </c>
      <c r="E23" s="163">
        <f>'X BDI'!C68</f>
        <v>0.33999342789870557</v>
      </c>
      <c r="F23" s="163">
        <f>'X BDI'!$C$15</f>
        <v>0.24178315301034292</v>
      </c>
      <c r="G23" s="233">
        <f t="shared" si="2"/>
        <v>2.1343875852872198</v>
      </c>
      <c r="H23" s="192">
        <f t="shared" si="3"/>
        <v>0.55971384752860709</v>
      </c>
      <c r="I23" s="189">
        <f t="shared" si="0"/>
        <v>2091.6998335814756</v>
      </c>
      <c r="J23" s="189">
        <f t="shared" si="1"/>
        <v>548.51957057803497</v>
      </c>
    </row>
    <row r="24" spans="1:10" s="2" customFormat="1" ht="15" customHeight="1" x14ac:dyDescent="0.2">
      <c r="A24" s="182">
        <v>6</v>
      </c>
      <c r="B24" s="230" t="s">
        <v>39</v>
      </c>
      <c r="C24" s="184">
        <v>674.86</v>
      </c>
      <c r="D24" s="191">
        <v>0.05</v>
      </c>
      <c r="E24" s="163">
        <f>'X BDI'!C94</f>
        <v>0.37085107736096701</v>
      </c>
      <c r="F24" s="163">
        <f>'X BDI'!$C$15</f>
        <v>0.24178315301034292</v>
      </c>
      <c r="G24" s="233">
        <f t="shared" si="2"/>
        <v>2.1835387098764474</v>
      </c>
      <c r="H24" s="192">
        <f t="shared" si="3"/>
        <v>0.55971384752860709</v>
      </c>
      <c r="I24" s="189">
        <f t="shared" si="0"/>
        <v>1473.5829337472194</v>
      </c>
      <c r="J24" s="189">
        <f t="shared" si="1"/>
        <v>377.7284871431558</v>
      </c>
    </row>
    <row r="25" spans="1:10" s="2" customFormat="1" ht="15" customHeight="1" x14ac:dyDescent="0.2">
      <c r="A25" s="182">
        <v>7</v>
      </c>
      <c r="B25" s="230" t="s">
        <v>40</v>
      </c>
      <c r="C25" s="184">
        <v>4295.0600000000004</v>
      </c>
      <c r="D25" s="191">
        <v>0.05</v>
      </c>
      <c r="E25" s="163">
        <f>'X BDI'!C94</f>
        <v>0.37085107736096701</v>
      </c>
      <c r="F25" s="163">
        <f>'X BDI'!$C$15</f>
        <v>0.24178315301034292</v>
      </c>
      <c r="G25" s="233">
        <f t="shared" si="2"/>
        <v>2.1835387098764474</v>
      </c>
      <c r="H25" s="192">
        <f t="shared" si="3"/>
        <v>0.55971384752860709</v>
      </c>
      <c r="I25" s="189">
        <f t="shared" si="0"/>
        <v>9378.4297712419357</v>
      </c>
      <c r="J25" s="189">
        <f t="shared" si="1"/>
        <v>2404.0045579662192</v>
      </c>
    </row>
    <row r="26" spans="1:10" s="2" customFormat="1" ht="15" customHeight="1" x14ac:dyDescent="0.2">
      <c r="A26" s="182">
        <v>8</v>
      </c>
      <c r="B26" s="230" t="s">
        <v>41</v>
      </c>
      <c r="C26" s="184">
        <v>214.7</v>
      </c>
      <c r="D26" s="191">
        <v>0.05</v>
      </c>
      <c r="E26" s="163">
        <f>'X BDI'!C94</f>
        <v>0.37085107736096701</v>
      </c>
      <c r="F26" s="163">
        <f>'X BDI'!$C$15</f>
        <v>0.24178315301034292</v>
      </c>
      <c r="G26" s="233">
        <f t="shared" si="2"/>
        <v>2.1835387098764474</v>
      </c>
      <c r="H26" s="192">
        <f t="shared" si="3"/>
        <v>0.55971384752860709</v>
      </c>
      <c r="I26" s="189">
        <f t="shared" si="0"/>
        <v>468.80576101047325</v>
      </c>
      <c r="J26" s="189">
        <f t="shared" si="1"/>
        <v>120.17056306439194</v>
      </c>
    </row>
    <row r="27" spans="1:10" s="2" customFormat="1" ht="15" customHeight="1" x14ac:dyDescent="0.2">
      <c r="A27" s="182">
        <v>9</v>
      </c>
      <c r="B27" s="230" t="s">
        <v>42</v>
      </c>
      <c r="C27" s="184">
        <v>818.88</v>
      </c>
      <c r="D27" s="191">
        <v>0.02</v>
      </c>
      <c r="E27" s="163">
        <f>'X BDI'!C42</f>
        <v>0.32507975591318861</v>
      </c>
      <c r="F27" s="163">
        <f>'X BDI'!$C$15</f>
        <v>0.24178315301034292</v>
      </c>
      <c r="G27" s="233">
        <f t="shared" si="2"/>
        <v>2.1106325759907567</v>
      </c>
      <c r="H27" s="192">
        <f t="shared" si="3"/>
        <v>0.55971384752860709</v>
      </c>
      <c r="I27" s="189">
        <f t="shared" si="0"/>
        <v>1728.3548038273109</v>
      </c>
      <c r="J27" s="189">
        <f t="shared" si="1"/>
        <v>458.33847546422578</v>
      </c>
    </row>
    <row r="28" spans="1:10" s="2" customFormat="1" ht="15" customHeight="1" x14ac:dyDescent="0.2">
      <c r="A28" s="182">
        <v>10</v>
      </c>
      <c r="B28" s="230" t="s">
        <v>43</v>
      </c>
      <c r="C28" s="184">
        <v>382.94</v>
      </c>
      <c r="D28" s="191">
        <v>0.02</v>
      </c>
      <c r="E28" s="163">
        <f>'X BDI'!C42</f>
        <v>0.32507975591318861</v>
      </c>
      <c r="F28" s="163">
        <f>'X BDI'!$C$15</f>
        <v>0.24178315301034292</v>
      </c>
      <c r="G28" s="233">
        <f t="shared" si="2"/>
        <v>2.1106325759907567</v>
      </c>
      <c r="H28" s="192">
        <f t="shared" si="3"/>
        <v>0.55971384752860709</v>
      </c>
      <c r="I28" s="189">
        <f t="shared" si="0"/>
        <v>808.24563864990034</v>
      </c>
      <c r="J28" s="189">
        <f t="shared" si="1"/>
        <v>214.3368207726048</v>
      </c>
    </row>
    <row r="29" spans="1:10" s="2" customFormat="1" ht="15" customHeight="1" x14ac:dyDescent="0.2">
      <c r="A29" s="182">
        <v>11</v>
      </c>
      <c r="B29" s="230" t="s">
        <v>44</v>
      </c>
      <c r="C29" s="184">
        <v>340.8</v>
      </c>
      <c r="D29" s="191">
        <v>0.05</v>
      </c>
      <c r="E29" s="163">
        <f>'X BDI'!C94</f>
        <v>0.37085107736096701</v>
      </c>
      <c r="F29" s="163">
        <f>'X BDI'!$C$15</f>
        <v>0.24178315301034292</v>
      </c>
      <c r="G29" s="233">
        <f t="shared" si="2"/>
        <v>2.1835387098764474</v>
      </c>
      <c r="H29" s="192">
        <f t="shared" si="3"/>
        <v>0.55971384752860709</v>
      </c>
      <c r="I29" s="189">
        <f t="shared" si="0"/>
        <v>744.14999232589332</v>
      </c>
      <c r="J29" s="189">
        <f t="shared" si="1"/>
        <v>190.75047923774929</v>
      </c>
    </row>
    <row r="30" spans="1:10" s="2" customFormat="1" ht="15" customHeight="1" x14ac:dyDescent="0.2">
      <c r="A30" s="182">
        <v>12</v>
      </c>
      <c r="B30" s="230" t="s">
        <v>45</v>
      </c>
      <c r="C30" s="184">
        <v>330</v>
      </c>
      <c r="D30" s="191">
        <v>0.05</v>
      </c>
      <c r="E30" s="163">
        <f>'X BDI'!C94</f>
        <v>0.37085107736096701</v>
      </c>
      <c r="F30" s="163">
        <f>'X BDI'!$C$15</f>
        <v>0.24178315301034292</v>
      </c>
      <c r="G30" s="233">
        <f t="shared" si="2"/>
        <v>2.1835387098764474</v>
      </c>
      <c r="H30" s="192">
        <f t="shared" si="3"/>
        <v>0.55971384752860709</v>
      </c>
      <c r="I30" s="189">
        <f t="shared" si="0"/>
        <v>720.56777425922769</v>
      </c>
      <c r="J30" s="189">
        <f t="shared" si="1"/>
        <v>184.70556968444035</v>
      </c>
    </row>
    <row r="31" spans="1:10" s="2" customFormat="1" ht="15" customHeight="1" x14ac:dyDescent="0.2">
      <c r="A31" s="182">
        <v>13</v>
      </c>
      <c r="B31" s="230" t="s">
        <v>46</v>
      </c>
      <c r="C31" s="184">
        <v>218.2</v>
      </c>
      <c r="D31" s="191">
        <v>0.05</v>
      </c>
      <c r="E31" s="163">
        <f>'X BDI'!C94</f>
        <v>0.37085107736096701</v>
      </c>
      <c r="F31" s="163">
        <f>'X BDI'!$C$15</f>
        <v>0.24178315301034292</v>
      </c>
      <c r="G31" s="233">
        <f t="shared" si="2"/>
        <v>2.1835387098764474</v>
      </c>
      <c r="H31" s="192">
        <f t="shared" si="3"/>
        <v>0.55971384752860709</v>
      </c>
      <c r="I31" s="189">
        <f t="shared" si="0"/>
        <v>476.44814649504082</v>
      </c>
      <c r="J31" s="189">
        <f t="shared" si="1"/>
        <v>122.12956153074207</v>
      </c>
    </row>
    <row r="32" spans="1:10" s="2" customFormat="1" ht="15" customHeight="1" x14ac:dyDescent="0.2">
      <c r="A32" s="182">
        <v>14</v>
      </c>
      <c r="B32" s="230" t="s">
        <v>47</v>
      </c>
      <c r="C32" s="184">
        <v>572.54</v>
      </c>
      <c r="D32" s="191">
        <v>0.03</v>
      </c>
      <c r="E32" s="163">
        <f>'X BDI'!C68</f>
        <v>0.33999342789870557</v>
      </c>
      <c r="F32" s="163">
        <f>'X BDI'!$C$15</f>
        <v>0.24178315301034292</v>
      </c>
      <c r="G32" s="233">
        <f t="shared" si="2"/>
        <v>2.1343875852872198</v>
      </c>
      <c r="H32" s="192">
        <f t="shared" si="3"/>
        <v>0.55971384752860709</v>
      </c>
      <c r="I32" s="189">
        <f t="shared" si="0"/>
        <v>1222.0222680803447</v>
      </c>
      <c r="J32" s="189">
        <f t="shared" si="1"/>
        <v>320.45856626402866</v>
      </c>
    </row>
    <row r="33" spans="1:12" s="2" customFormat="1" ht="15" customHeight="1" x14ac:dyDescent="0.2">
      <c r="A33" s="182">
        <v>15</v>
      </c>
      <c r="B33" s="230" t="s">
        <v>48</v>
      </c>
      <c r="C33" s="184">
        <v>2990.82</v>
      </c>
      <c r="D33" s="191">
        <v>0.05</v>
      </c>
      <c r="E33" s="163">
        <f>'X BDI'!C94</f>
        <v>0.37085107736096701</v>
      </c>
      <c r="F33" s="163">
        <f>'X BDI'!$C$15</f>
        <v>0.24178315301034292</v>
      </c>
      <c r="G33" s="233">
        <f t="shared" si="2"/>
        <v>2.1835387098764474</v>
      </c>
      <c r="H33" s="192">
        <f t="shared" si="3"/>
        <v>0.55971384752860709</v>
      </c>
      <c r="I33" s="189">
        <f t="shared" si="0"/>
        <v>6530.5712442726763</v>
      </c>
      <c r="J33" s="189">
        <f t="shared" si="1"/>
        <v>1674.0033694655087</v>
      </c>
    </row>
    <row r="34" spans="1:12" s="2" customFormat="1" ht="15" customHeight="1" x14ac:dyDescent="0.2">
      <c r="A34" s="182">
        <v>16</v>
      </c>
      <c r="B34" s="230" t="s">
        <v>49</v>
      </c>
      <c r="C34" s="184">
        <v>151.15</v>
      </c>
      <c r="D34" s="191">
        <v>0.05</v>
      </c>
      <c r="E34" s="163">
        <f>'X BDI'!C94</f>
        <v>0.37085107736096701</v>
      </c>
      <c r="F34" s="163">
        <f>'X BDI'!$C$15</f>
        <v>0.24178315301034292</v>
      </c>
      <c r="G34" s="233">
        <f t="shared" si="2"/>
        <v>2.1835387098764474</v>
      </c>
      <c r="H34" s="192">
        <f t="shared" si="3"/>
        <v>0.55971384752860709</v>
      </c>
      <c r="I34" s="189">
        <f t="shared" si="0"/>
        <v>330.04187599782506</v>
      </c>
      <c r="J34" s="189">
        <f t="shared" si="1"/>
        <v>84.600748053948962</v>
      </c>
    </row>
    <row r="35" spans="1:12" s="2" customFormat="1" ht="15" customHeight="1" x14ac:dyDescent="0.2">
      <c r="A35" s="182">
        <v>17</v>
      </c>
      <c r="B35" s="230" t="s">
        <v>50</v>
      </c>
      <c r="C35" s="184">
        <v>272.72000000000003</v>
      </c>
      <c r="D35" s="191">
        <v>0.03</v>
      </c>
      <c r="E35" s="163">
        <f>'X BDI'!C68</f>
        <v>0.33999342789870557</v>
      </c>
      <c r="F35" s="163">
        <f>'X BDI'!$C$15</f>
        <v>0.24178315301034292</v>
      </c>
      <c r="G35" s="233">
        <f t="shared" si="2"/>
        <v>2.1343875852872198</v>
      </c>
      <c r="H35" s="192">
        <f t="shared" si="3"/>
        <v>0.55971384752860709</v>
      </c>
      <c r="I35" s="189">
        <f t="shared" si="0"/>
        <v>582.09018225953071</v>
      </c>
      <c r="J35" s="189">
        <f t="shared" si="1"/>
        <v>152.64516049800173</v>
      </c>
      <c r="L35" s="236" t="s">
        <v>1030</v>
      </c>
    </row>
    <row r="36" spans="1:12" s="2" customFormat="1" ht="15" customHeight="1" x14ac:dyDescent="0.2">
      <c r="A36" s="182">
        <v>18</v>
      </c>
      <c r="B36" s="230" t="s">
        <v>51</v>
      </c>
      <c r="C36" s="184">
        <v>659.11</v>
      </c>
      <c r="D36" s="191">
        <v>0.03</v>
      </c>
      <c r="E36" s="163">
        <f>'X BDI'!C68</f>
        <v>0.33999342789870557</v>
      </c>
      <c r="F36" s="163">
        <f>'X BDI'!$C$15</f>
        <v>0.24178315301034292</v>
      </c>
      <c r="G36" s="233">
        <f t="shared" si="2"/>
        <v>2.1343875852872198</v>
      </c>
      <c r="H36" s="192">
        <f t="shared" si="3"/>
        <v>0.55971384752860709</v>
      </c>
      <c r="I36" s="189">
        <f t="shared" si="0"/>
        <v>1406.7962013386596</v>
      </c>
      <c r="J36" s="189">
        <f t="shared" si="1"/>
        <v>368.91299404458022</v>
      </c>
      <c r="L36" s="234">
        <f>SUM(I19:J36)</f>
        <v>60973.151664885845</v>
      </c>
    </row>
    <row r="37" spans="1:12" s="2" customFormat="1" ht="15" customHeight="1" x14ac:dyDescent="0.2">
      <c r="A37" s="182">
        <v>19</v>
      </c>
      <c r="B37" s="231" t="s">
        <v>52</v>
      </c>
      <c r="C37" s="184">
        <v>7836.1</v>
      </c>
      <c r="D37" s="191">
        <v>0.05</v>
      </c>
      <c r="E37" s="163">
        <f>'X BDI'!C94</f>
        <v>0.37085107736096701</v>
      </c>
      <c r="F37" s="163">
        <f>'X BDI'!$C$15</f>
        <v>0.24178315301034292</v>
      </c>
      <c r="G37" s="233">
        <f t="shared" si="2"/>
        <v>2.1835387098764474</v>
      </c>
      <c r="H37" s="192">
        <f t="shared" si="3"/>
        <v>0.55971384752860709</v>
      </c>
      <c r="I37" s="189">
        <f t="shared" si="0"/>
        <v>17110.427684462829</v>
      </c>
      <c r="J37" s="189">
        <f t="shared" si="1"/>
        <v>4385.9736806189185</v>
      </c>
    </row>
    <row r="38" spans="1:12" s="2" customFormat="1" ht="15" customHeight="1" x14ac:dyDescent="0.2">
      <c r="A38" s="182">
        <v>20</v>
      </c>
      <c r="B38" s="231" t="s">
        <v>53</v>
      </c>
      <c r="C38" s="184">
        <v>407.71</v>
      </c>
      <c r="D38" s="191">
        <v>0.05</v>
      </c>
      <c r="E38" s="163">
        <f>'X BDI'!C94</f>
        <v>0.37085107736096701</v>
      </c>
      <c r="F38" s="163">
        <f>'X BDI'!$C$15</f>
        <v>0.24178315301034292</v>
      </c>
      <c r="G38" s="233">
        <f t="shared" si="2"/>
        <v>2.1835387098764474</v>
      </c>
      <c r="H38" s="192">
        <f t="shared" si="3"/>
        <v>0.55971384752860709</v>
      </c>
      <c r="I38" s="189">
        <f t="shared" si="0"/>
        <v>890.25056740372634</v>
      </c>
      <c r="J38" s="189">
        <f t="shared" si="1"/>
        <v>228.20093277588839</v>
      </c>
    </row>
    <row r="39" spans="1:12" ht="15" customHeight="1" x14ac:dyDescent="0.2">
      <c r="A39" s="182">
        <v>21</v>
      </c>
      <c r="B39" s="231" t="s">
        <v>54</v>
      </c>
      <c r="C39" s="184">
        <v>519.22</v>
      </c>
      <c r="D39" s="191">
        <v>0.05</v>
      </c>
      <c r="E39" s="163">
        <f>'X BDI'!C94</f>
        <v>0.37085107736096701</v>
      </c>
      <c r="F39" s="163">
        <f>'X BDI'!$C$15</f>
        <v>0.24178315301034292</v>
      </c>
      <c r="G39" s="233">
        <f t="shared" si="2"/>
        <v>2.1835387098764474</v>
      </c>
      <c r="H39" s="192">
        <f t="shared" si="3"/>
        <v>0.55971384752860709</v>
      </c>
      <c r="I39" s="189">
        <f t="shared" si="0"/>
        <v>1133.7369689420491</v>
      </c>
      <c r="J39" s="189">
        <f t="shared" si="1"/>
        <v>290.61462391380337</v>
      </c>
    </row>
    <row r="40" spans="1:12" ht="15" customHeight="1" x14ac:dyDescent="0.2">
      <c r="A40" s="182">
        <v>22</v>
      </c>
      <c r="B40" s="231" t="s">
        <v>55</v>
      </c>
      <c r="C40" s="184">
        <v>426</v>
      </c>
      <c r="D40" s="191">
        <v>0.05</v>
      </c>
      <c r="E40" s="163">
        <f>'X BDI'!C94</f>
        <v>0.37085107736096701</v>
      </c>
      <c r="F40" s="163">
        <f>'X BDI'!$C$15</f>
        <v>0.24178315301034292</v>
      </c>
      <c r="G40" s="233">
        <f t="shared" si="2"/>
        <v>2.1835387098764474</v>
      </c>
      <c r="H40" s="192">
        <f t="shared" si="3"/>
        <v>0.55971384752860709</v>
      </c>
      <c r="I40" s="189">
        <f t="shared" si="0"/>
        <v>930.18749040736657</v>
      </c>
      <c r="J40" s="189">
        <f t="shared" si="1"/>
        <v>238.43809904718663</v>
      </c>
    </row>
    <row r="41" spans="1:12" ht="15" customHeight="1" x14ac:dyDescent="0.2">
      <c r="A41" s="182">
        <v>23</v>
      </c>
      <c r="B41" s="231" t="s">
        <v>56</v>
      </c>
      <c r="C41" s="184">
        <v>176</v>
      </c>
      <c r="D41" s="191">
        <v>0.04</v>
      </c>
      <c r="E41" s="163">
        <f>'X BDI'!C81</f>
        <v>0.35524662571200882</v>
      </c>
      <c r="F41" s="163">
        <f>'X BDI'!$C$15</f>
        <v>0.24178315301034292</v>
      </c>
      <c r="G41" s="233">
        <f t="shared" si="2"/>
        <v>2.1586834029911151</v>
      </c>
      <c r="H41" s="192">
        <f t="shared" si="3"/>
        <v>0.55971384752860709</v>
      </c>
      <c r="I41" s="189">
        <f t="shared" si="0"/>
        <v>379.92827892643623</v>
      </c>
      <c r="J41" s="189">
        <f t="shared" si="1"/>
        <v>98.509637165034846</v>
      </c>
    </row>
    <row r="42" spans="1:12" ht="15" customHeight="1" x14ac:dyDescent="0.2">
      <c r="A42" s="182">
        <v>24</v>
      </c>
      <c r="B42" s="231" t="s">
        <v>57</v>
      </c>
      <c r="C42" s="184">
        <v>1291.1300000000001</v>
      </c>
      <c r="D42" s="191">
        <v>0.03</v>
      </c>
      <c r="E42" s="163">
        <f>'X BDI'!C68</f>
        <v>0.33999342789870557</v>
      </c>
      <c r="F42" s="163">
        <f>'X BDI'!$C$15</f>
        <v>0.24178315301034292</v>
      </c>
      <c r="G42" s="233">
        <f t="shared" si="2"/>
        <v>2.1343875852872198</v>
      </c>
      <c r="H42" s="192">
        <f t="shared" si="3"/>
        <v>0.55971384752860709</v>
      </c>
      <c r="I42" s="189">
        <f t="shared" si="0"/>
        <v>2755.7718429918882</v>
      </c>
      <c r="J42" s="189">
        <f t="shared" si="1"/>
        <v>722.66333995961054</v>
      </c>
    </row>
    <row r="43" spans="1:12" ht="15" customHeight="1" x14ac:dyDescent="0.2">
      <c r="A43" s="182">
        <v>25</v>
      </c>
      <c r="B43" s="231" t="s">
        <v>58</v>
      </c>
      <c r="C43" s="184">
        <v>554.29</v>
      </c>
      <c r="D43" s="191">
        <v>0.05</v>
      </c>
      <c r="E43" s="163">
        <f>'X BDI'!C94</f>
        <v>0.37085107736096701</v>
      </c>
      <c r="F43" s="163">
        <f>'X BDI'!$C$15</f>
        <v>0.24178315301034292</v>
      </c>
      <c r="G43" s="233">
        <f t="shared" si="2"/>
        <v>2.1835387098764474</v>
      </c>
      <c r="H43" s="192">
        <f t="shared" si="3"/>
        <v>0.55971384752860709</v>
      </c>
      <c r="I43" s="189">
        <f t="shared" si="0"/>
        <v>1210.313671497416</v>
      </c>
      <c r="J43" s="189">
        <f t="shared" si="1"/>
        <v>310.24378854663161</v>
      </c>
    </row>
    <row r="44" spans="1:12" ht="15" customHeight="1" x14ac:dyDescent="0.2">
      <c r="A44" s="182">
        <v>26</v>
      </c>
      <c r="B44" s="231" t="s">
        <v>59</v>
      </c>
      <c r="C44" s="184">
        <v>674</v>
      </c>
      <c r="D44" s="191">
        <v>0.05</v>
      </c>
      <c r="E44" s="163">
        <f>'X BDI'!C94</f>
        <v>0.37085107736096701</v>
      </c>
      <c r="F44" s="163">
        <f>'X BDI'!$C$15</f>
        <v>0.24178315301034292</v>
      </c>
      <c r="G44" s="233">
        <f t="shared" si="2"/>
        <v>2.1835387098764474</v>
      </c>
      <c r="H44" s="192">
        <f t="shared" si="3"/>
        <v>0.55971384752860709</v>
      </c>
      <c r="I44" s="189">
        <f t="shared" si="0"/>
        <v>1471.7050904567254</v>
      </c>
      <c r="J44" s="189">
        <f t="shared" si="1"/>
        <v>377.24713323428119</v>
      </c>
    </row>
    <row r="45" spans="1:12" ht="15" customHeight="1" x14ac:dyDescent="0.2">
      <c r="A45" s="182">
        <v>27</v>
      </c>
      <c r="B45" s="231" t="s">
        <v>60</v>
      </c>
      <c r="C45" s="184">
        <v>6033</v>
      </c>
      <c r="D45" s="191">
        <v>0.05</v>
      </c>
      <c r="E45" s="163">
        <f>'X BDI'!C94</f>
        <v>0.37085107736096701</v>
      </c>
      <c r="F45" s="163">
        <f>'X BDI'!$C$15</f>
        <v>0.24178315301034292</v>
      </c>
      <c r="G45" s="233">
        <f t="shared" si="2"/>
        <v>2.1835387098764474</v>
      </c>
      <c r="H45" s="192">
        <f t="shared" si="3"/>
        <v>0.55971384752860709</v>
      </c>
      <c r="I45" s="189">
        <f t="shared" si="0"/>
        <v>13173.289036684608</v>
      </c>
      <c r="J45" s="189">
        <f t="shared" si="1"/>
        <v>3376.7536421400864</v>
      </c>
    </row>
    <row r="46" spans="1:12" ht="15" customHeight="1" x14ac:dyDescent="0.2">
      <c r="A46" s="182">
        <v>28</v>
      </c>
      <c r="B46" s="231" t="s">
        <v>61</v>
      </c>
      <c r="C46" s="184">
        <v>374.63</v>
      </c>
      <c r="D46" s="191">
        <v>0.05</v>
      </c>
      <c r="E46" s="163">
        <f>'X BDI'!C94</f>
        <v>0.37085107736096701</v>
      </c>
      <c r="F46" s="163">
        <f>'X BDI'!$C$15</f>
        <v>0.24178315301034292</v>
      </c>
      <c r="G46" s="233">
        <f t="shared" si="2"/>
        <v>2.1835387098764474</v>
      </c>
      <c r="H46" s="192">
        <f t="shared" si="3"/>
        <v>0.55971384752860709</v>
      </c>
      <c r="I46" s="189">
        <f t="shared" si="0"/>
        <v>818.0191068810135</v>
      </c>
      <c r="J46" s="189">
        <f t="shared" si="1"/>
        <v>209.68559869964207</v>
      </c>
    </row>
    <row r="47" spans="1:12" ht="15" customHeight="1" x14ac:dyDescent="0.2">
      <c r="A47" s="182">
        <v>29</v>
      </c>
      <c r="B47" s="231" t="s">
        <v>62</v>
      </c>
      <c r="C47" s="184">
        <v>626.45000000000005</v>
      </c>
      <c r="D47" s="191">
        <v>0.05</v>
      </c>
      <c r="E47" s="163">
        <f>'X BDI'!C94</f>
        <v>0.37085107736096701</v>
      </c>
      <c r="F47" s="163">
        <f>'X BDI'!$C$15</f>
        <v>0.24178315301034292</v>
      </c>
      <c r="G47" s="233">
        <f t="shared" si="2"/>
        <v>2.1835387098764474</v>
      </c>
      <c r="H47" s="192">
        <f t="shared" si="3"/>
        <v>0.55971384752860709</v>
      </c>
      <c r="I47" s="189">
        <f t="shared" si="0"/>
        <v>1367.8778248021006</v>
      </c>
      <c r="J47" s="189">
        <f t="shared" si="1"/>
        <v>350.63273978429595</v>
      </c>
    </row>
    <row r="48" spans="1:12" ht="15" customHeight="1" x14ac:dyDescent="0.2">
      <c r="A48" s="182">
        <v>30</v>
      </c>
      <c r="B48" s="231" t="s">
        <v>63</v>
      </c>
      <c r="C48" s="184">
        <v>821.75</v>
      </c>
      <c r="D48" s="191">
        <v>0.05</v>
      </c>
      <c r="E48" s="163">
        <f>'X BDI'!C94</f>
        <v>0.37085107736096701</v>
      </c>
      <c r="F48" s="163">
        <f>'X BDI'!$C$15</f>
        <v>0.24178315301034292</v>
      </c>
      <c r="G48" s="233">
        <f t="shared" si="2"/>
        <v>2.1835387098764474</v>
      </c>
      <c r="H48" s="192">
        <f t="shared" si="3"/>
        <v>0.55971384752860709</v>
      </c>
      <c r="I48" s="189">
        <f t="shared" si="0"/>
        <v>1794.3229348409707</v>
      </c>
      <c r="J48" s="189">
        <f t="shared" si="1"/>
        <v>459.9448542066329</v>
      </c>
    </row>
    <row r="49" spans="1:12" ht="15" customHeight="1" x14ac:dyDescent="0.2">
      <c r="A49" s="182">
        <v>31</v>
      </c>
      <c r="B49" s="231" t="s">
        <v>64</v>
      </c>
      <c r="C49" s="184">
        <v>861.41</v>
      </c>
      <c r="D49" s="191">
        <v>0.05</v>
      </c>
      <c r="E49" s="163">
        <f>'X BDI'!C94</f>
        <v>0.37085107736096701</v>
      </c>
      <c r="F49" s="163">
        <f>'X BDI'!$C$15</f>
        <v>0.24178315301034292</v>
      </c>
      <c r="G49" s="233">
        <f t="shared" si="2"/>
        <v>2.1835387098764474</v>
      </c>
      <c r="H49" s="192">
        <f t="shared" si="3"/>
        <v>0.55971384752860709</v>
      </c>
      <c r="I49" s="189">
        <f t="shared" si="0"/>
        <v>1880.9220800746705</v>
      </c>
      <c r="J49" s="189">
        <f t="shared" si="1"/>
        <v>482.14310539961741</v>
      </c>
    </row>
    <row r="50" spans="1:12" ht="15" customHeight="1" x14ac:dyDescent="0.2">
      <c r="A50" s="182">
        <v>32</v>
      </c>
      <c r="B50" s="231" t="s">
        <v>65</v>
      </c>
      <c r="C50" s="184">
        <v>330</v>
      </c>
      <c r="D50" s="191">
        <v>0.02</v>
      </c>
      <c r="E50" s="163">
        <f>'X BDI'!C42</f>
        <v>0.32507975591318861</v>
      </c>
      <c r="F50" s="163">
        <f>'X BDI'!$C$15</f>
        <v>0.24178315301034292</v>
      </c>
      <c r="G50" s="233">
        <f t="shared" si="2"/>
        <v>2.1106325759907567</v>
      </c>
      <c r="H50" s="192">
        <f t="shared" si="3"/>
        <v>0.55971384752860709</v>
      </c>
      <c r="I50" s="189">
        <f t="shared" si="0"/>
        <v>696.5087500769497</v>
      </c>
      <c r="J50" s="189">
        <f t="shared" si="1"/>
        <v>184.70556968444035</v>
      </c>
      <c r="L50" s="237" t="s">
        <v>1031</v>
      </c>
    </row>
    <row r="51" spans="1:12" ht="15" customHeight="1" x14ac:dyDescent="0.2">
      <c r="A51" s="182">
        <v>33</v>
      </c>
      <c r="B51" s="231" t="s">
        <v>66</v>
      </c>
      <c r="C51" s="184">
        <v>318</v>
      </c>
      <c r="D51" s="191">
        <v>0.05</v>
      </c>
      <c r="E51" s="163">
        <f>'X BDI'!C94</f>
        <v>0.37085107736096701</v>
      </c>
      <c r="F51" s="163">
        <f>'X BDI'!$C$15</f>
        <v>0.24178315301034292</v>
      </c>
      <c r="G51" s="233">
        <f t="shared" si="2"/>
        <v>2.1835387098764474</v>
      </c>
      <c r="H51" s="192">
        <f t="shared" si="3"/>
        <v>0.55971384752860709</v>
      </c>
      <c r="I51" s="189">
        <f t="shared" ref="I51:I70" si="4">C51*G51</f>
        <v>694.36530974071025</v>
      </c>
      <c r="J51" s="189">
        <f t="shared" ref="J51:J70" si="5">C51*H51</f>
        <v>177.98900351409705</v>
      </c>
      <c r="L51" s="235">
        <f>SUM(I37:J51)</f>
        <v>58201.372386879644</v>
      </c>
    </row>
    <row r="52" spans="1:12" ht="15" customHeight="1" x14ac:dyDescent="0.2">
      <c r="A52" s="182">
        <v>34</v>
      </c>
      <c r="B52" s="232" t="s">
        <v>67</v>
      </c>
      <c r="C52" s="184">
        <v>3417.55</v>
      </c>
      <c r="D52" s="191">
        <v>0.05</v>
      </c>
      <c r="E52" s="163">
        <f>'X BDI'!C94</f>
        <v>0.37085107736096701</v>
      </c>
      <c r="F52" s="163">
        <f>'X BDI'!$C$15</f>
        <v>0.24178315301034292</v>
      </c>
      <c r="G52" s="233">
        <f t="shared" si="2"/>
        <v>2.1835387098764474</v>
      </c>
      <c r="H52" s="192">
        <f t="shared" si="3"/>
        <v>0.55971384752860709</v>
      </c>
      <c r="I52" s="189">
        <f t="shared" si="4"/>
        <v>7462.3527179382536</v>
      </c>
      <c r="J52" s="189">
        <f t="shared" si="5"/>
        <v>1912.8500596213912</v>
      </c>
    </row>
    <row r="53" spans="1:12" ht="15" customHeight="1" x14ac:dyDescent="0.2">
      <c r="A53" s="182">
        <v>35</v>
      </c>
      <c r="B53" s="232" t="s">
        <v>68</v>
      </c>
      <c r="C53" s="184">
        <v>1426</v>
      </c>
      <c r="D53" s="191">
        <v>0.05</v>
      </c>
      <c r="E53" s="163">
        <f>'X BDI'!C94</f>
        <v>0.37085107736096701</v>
      </c>
      <c r="F53" s="163">
        <f>'X BDI'!$C$15</f>
        <v>0.24178315301034292</v>
      </c>
      <c r="G53" s="233">
        <f t="shared" si="2"/>
        <v>2.1835387098764474</v>
      </c>
      <c r="H53" s="192">
        <f t="shared" si="3"/>
        <v>0.55971384752860709</v>
      </c>
      <c r="I53" s="189">
        <f t="shared" si="4"/>
        <v>3113.7262002838138</v>
      </c>
      <c r="J53" s="189">
        <f t="shared" si="5"/>
        <v>798.15194657579366</v>
      </c>
    </row>
    <row r="54" spans="1:12" ht="15" customHeight="1" x14ac:dyDescent="0.2">
      <c r="A54" s="182">
        <v>36</v>
      </c>
      <c r="B54" s="232" t="s">
        <v>69</v>
      </c>
      <c r="C54" s="184">
        <v>136</v>
      </c>
      <c r="D54" s="191">
        <v>0.05</v>
      </c>
      <c r="E54" s="163">
        <f>'X BDI'!C94</f>
        <v>0.37085107736096701</v>
      </c>
      <c r="F54" s="163">
        <f>'X BDI'!$C$15</f>
        <v>0.24178315301034292</v>
      </c>
      <c r="G54" s="233">
        <f t="shared" si="2"/>
        <v>2.1835387098764474</v>
      </c>
      <c r="H54" s="192">
        <f t="shared" si="3"/>
        <v>0.55971384752860709</v>
      </c>
      <c r="I54" s="189">
        <f t="shared" si="4"/>
        <v>296.96126454319682</v>
      </c>
      <c r="J54" s="189">
        <f t="shared" si="5"/>
        <v>76.121083263890569</v>
      </c>
    </row>
    <row r="55" spans="1:12" ht="15" customHeight="1" x14ac:dyDescent="0.2">
      <c r="A55" s="182">
        <v>37</v>
      </c>
      <c r="B55" s="232" t="s">
        <v>70</v>
      </c>
      <c r="C55" s="184">
        <v>240</v>
      </c>
      <c r="D55" s="191">
        <v>0.02</v>
      </c>
      <c r="E55" s="163">
        <f>'X BDI'!C42</f>
        <v>0.32507975591318861</v>
      </c>
      <c r="F55" s="163">
        <f>'X BDI'!$C$15</f>
        <v>0.24178315301034292</v>
      </c>
      <c r="G55" s="233">
        <f t="shared" si="2"/>
        <v>2.1106325759907567</v>
      </c>
      <c r="H55" s="192">
        <f t="shared" si="3"/>
        <v>0.55971384752860709</v>
      </c>
      <c r="I55" s="189">
        <f t="shared" si="4"/>
        <v>506.55181823778162</v>
      </c>
      <c r="J55" s="189">
        <f t="shared" si="5"/>
        <v>134.33132340686569</v>
      </c>
    </row>
    <row r="56" spans="1:12" ht="15" customHeight="1" x14ac:dyDescent="0.2">
      <c r="A56" s="182">
        <v>38</v>
      </c>
      <c r="B56" s="232" t="s">
        <v>71</v>
      </c>
      <c r="C56" s="184">
        <v>239</v>
      </c>
      <c r="D56" s="191">
        <v>0.04</v>
      </c>
      <c r="E56" s="163">
        <f>'X BDI'!C81</f>
        <v>0.35524662571200882</v>
      </c>
      <c r="F56" s="163">
        <f>'X BDI'!$C$15</f>
        <v>0.24178315301034292</v>
      </c>
      <c r="G56" s="233">
        <f t="shared" si="2"/>
        <v>2.1586834029911151</v>
      </c>
      <c r="H56" s="192">
        <f t="shared" si="3"/>
        <v>0.55971384752860709</v>
      </c>
      <c r="I56" s="189">
        <f t="shared" si="4"/>
        <v>515.92533331487653</v>
      </c>
      <c r="J56" s="189">
        <f t="shared" si="5"/>
        <v>133.77160955933709</v>
      </c>
    </row>
    <row r="57" spans="1:12" ht="15" customHeight="1" x14ac:dyDescent="0.2">
      <c r="A57" s="182">
        <v>39</v>
      </c>
      <c r="B57" s="232" t="s">
        <v>72</v>
      </c>
      <c r="C57" s="184">
        <v>150</v>
      </c>
      <c r="D57" s="191">
        <v>0.02</v>
      </c>
      <c r="E57" s="163">
        <f>'X BDI'!C42</f>
        <v>0.32507975591318861</v>
      </c>
      <c r="F57" s="163">
        <f>'X BDI'!$C$15</f>
        <v>0.24178315301034292</v>
      </c>
      <c r="G57" s="233">
        <f t="shared" si="2"/>
        <v>2.1106325759907567</v>
      </c>
      <c r="H57" s="192">
        <f t="shared" si="3"/>
        <v>0.55971384752860709</v>
      </c>
      <c r="I57" s="189">
        <f t="shared" si="4"/>
        <v>316.59488639861348</v>
      </c>
      <c r="J57" s="189">
        <f t="shared" si="5"/>
        <v>83.957077129291065</v>
      </c>
    </row>
    <row r="58" spans="1:12" ht="15" customHeight="1" x14ac:dyDescent="0.2">
      <c r="A58" s="182">
        <v>40</v>
      </c>
      <c r="B58" s="232" t="s">
        <v>73</v>
      </c>
      <c r="C58" s="184">
        <v>1037</v>
      </c>
      <c r="D58" s="191">
        <v>0.05</v>
      </c>
      <c r="E58" s="163">
        <f>'X BDI'!C94</f>
        <v>0.37085107736096701</v>
      </c>
      <c r="F58" s="163">
        <f>'X BDI'!$C$15</f>
        <v>0.24178315301034292</v>
      </c>
      <c r="G58" s="233">
        <f t="shared" si="2"/>
        <v>2.1835387098764474</v>
      </c>
      <c r="H58" s="192">
        <f t="shared" si="3"/>
        <v>0.55971384752860709</v>
      </c>
      <c r="I58" s="189">
        <f t="shared" si="4"/>
        <v>2264.3296421418759</v>
      </c>
      <c r="J58" s="189">
        <f t="shared" si="5"/>
        <v>580.4232598871655</v>
      </c>
    </row>
    <row r="59" spans="1:12" ht="15" customHeight="1" x14ac:dyDescent="0.2">
      <c r="A59" s="182">
        <v>41</v>
      </c>
      <c r="B59" s="232" t="s">
        <v>74</v>
      </c>
      <c r="C59" s="184">
        <v>524</v>
      </c>
      <c r="D59" s="191">
        <v>0.03</v>
      </c>
      <c r="E59" s="163">
        <f>'X BDI'!C68</f>
        <v>0.33999342789870557</v>
      </c>
      <c r="F59" s="163">
        <f>'X BDI'!$C$15</f>
        <v>0.24178315301034292</v>
      </c>
      <c r="G59" s="233">
        <f t="shared" si="2"/>
        <v>2.1343875852872198</v>
      </c>
      <c r="H59" s="192">
        <f t="shared" si="3"/>
        <v>0.55971384752860709</v>
      </c>
      <c r="I59" s="189">
        <f t="shared" si="4"/>
        <v>1118.4190946905032</v>
      </c>
      <c r="J59" s="189">
        <f t="shared" si="5"/>
        <v>293.29005610499013</v>
      </c>
    </row>
    <row r="60" spans="1:12" ht="15" customHeight="1" x14ac:dyDescent="0.2">
      <c r="A60" s="182">
        <v>42</v>
      </c>
      <c r="B60" s="232" t="s">
        <v>75</v>
      </c>
      <c r="C60" s="184">
        <v>177</v>
      </c>
      <c r="D60" s="191">
        <v>0.03</v>
      </c>
      <c r="E60" s="163">
        <f>'X BDI'!C68</f>
        <v>0.33999342789870557</v>
      </c>
      <c r="F60" s="163">
        <f>'X BDI'!$C$15</f>
        <v>0.24178315301034292</v>
      </c>
      <c r="G60" s="233">
        <f t="shared" si="2"/>
        <v>2.1343875852872198</v>
      </c>
      <c r="H60" s="192">
        <f t="shared" si="3"/>
        <v>0.55971384752860709</v>
      </c>
      <c r="I60" s="189">
        <f t="shared" si="4"/>
        <v>377.78660259583791</v>
      </c>
      <c r="J60" s="189">
        <f t="shared" si="5"/>
        <v>99.069351012563459</v>
      </c>
    </row>
    <row r="61" spans="1:12" ht="15" customHeight="1" x14ac:dyDescent="0.2">
      <c r="A61" s="182">
        <v>43</v>
      </c>
      <c r="B61" s="232" t="s">
        <v>76</v>
      </c>
      <c r="C61" s="184">
        <v>104</v>
      </c>
      <c r="D61" s="191">
        <v>0.05</v>
      </c>
      <c r="E61" s="163">
        <f>'X BDI'!C94</f>
        <v>0.37085107736096701</v>
      </c>
      <c r="F61" s="163">
        <f>'X BDI'!$C$15</f>
        <v>0.24178315301034292</v>
      </c>
      <c r="G61" s="233">
        <f t="shared" si="2"/>
        <v>2.1835387098764474</v>
      </c>
      <c r="H61" s="192">
        <f t="shared" si="3"/>
        <v>0.55971384752860709</v>
      </c>
      <c r="I61" s="189">
        <f t="shared" si="4"/>
        <v>227.08802582715052</v>
      </c>
      <c r="J61" s="189">
        <f t="shared" si="5"/>
        <v>58.210240142975138</v>
      </c>
    </row>
    <row r="62" spans="1:12" ht="15" customHeight="1" x14ac:dyDescent="0.2">
      <c r="A62" s="182">
        <v>44</v>
      </c>
      <c r="B62" s="232" t="s">
        <v>77</v>
      </c>
      <c r="C62" s="184">
        <v>432</v>
      </c>
      <c r="D62" s="191">
        <v>0.02</v>
      </c>
      <c r="E62" s="163">
        <f>'X BDI'!C42</f>
        <v>0.32507975591318861</v>
      </c>
      <c r="F62" s="163">
        <f>'X BDI'!$C$15</f>
        <v>0.24178315301034292</v>
      </c>
      <c r="G62" s="233">
        <f t="shared" si="2"/>
        <v>2.1106325759907567</v>
      </c>
      <c r="H62" s="192">
        <f t="shared" si="3"/>
        <v>0.55971384752860709</v>
      </c>
      <c r="I62" s="189">
        <f t="shared" si="4"/>
        <v>911.79327282800693</v>
      </c>
      <c r="J62" s="189">
        <f t="shared" si="5"/>
        <v>241.79638213235827</v>
      </c>
    </row>
    <row r="63" spans="1:12" ht="15" customHeight="1" x14ac:dyDescent="0.2">
      <c r="A63" s="182">
        <v>45</v>
      </c>
      <c r="B63" s="232" t="s">
        <v>78</v>
      </c>
      <c r="C63" s="184">
        <v>783.17</v>
      </c>
      <c r="D63" s="191">
        <v>0.02</v>
      </c>
      <c r="E63" s="163">
        <f>'X BDI'!C42</f>
        <v>0.32507975591318861</v>
      </c>
      <c r="F63" s="163">
        <f>'X BDI'!$C$15</f>
        <v>0.24178315301034292</v>
      </c>
      <c r="G63" s="233">
        <f t="shared" si="2"/>
        <v>2.1106325759907567</v>
      </c>
      <c r="H63" s="192">
        <f t="shared" si="3"/>
        <v>0.55971384752860709</v>
      </c>
      <c r="I63" s="189">
        <f t="shared" si="4"/>
        <v>1652.9841145386808</v>
      </c>
      <c r="J63" s="189">
        <f t="shared" si="5"/>
        <v>438.35109396897917</v>
      </c>
    </row>
    <row r="64" spans="1:12" ht="15" customHeight="1" x14ac:dyDescent="0.2">
      <c r="A64" s="182">
        <v>46</v>
      </c>
      <c r="B64" s="232" t="s">
        <v>79</v>
      </c>
      <c r="C64" s="184">
        <v>104</v>
      </c>
      <c r="D64" s="193">
        <v>2.5000000000000001E-2</v>
      </c>
      <c r="E64" s="163">
        <f>'X BDI'!C55</f>
        <v>0.33249486366871839</v>
      </c>
      <c r="F64" s="163">
        <f>'X BDI'!$C$15</f>
        <v>0.24178315301034292</v>
      </c>
      <c r="G64" s="233">
        <f t="shared" si="2"/>
        <v>2.1224436144686005</v>
      </c>
      <c r="H64" s="192">
        <f t="shared" si="3"/>
        <v>0.55971384752860709</v>
      </c>
      <c r="I64" s="189">
        <f t="shared" si="4"/>
        <v>220.73413590473444</v>
      </c>
      <c r="J64" s="189">
        <f t="shared" si="5"/>
        <v>58.210240142975138</v>
      </c>
    </row>
    <row r="65" spans="1:12" ht="15" customHeight="1" x14ac:dyDescent="0.2">
      <c r="A65" s="182">
        <v>47</v>
      </c>
      <c r="B65" s="232" t="s">
        <v>80</v>
      </c>
      <c r="C65" s="184">
        <v>432</v>
      </c>
      <c r="D65" s="191">
        <v>0.05</v>
      </c>
      <c r="E65" s="163">
        <f>'X BDI'!C94</f>
        <v>0.37085107736096701</v>
      </c>
      <c r="F65" s="163">
        <f>'X BDI'!$C$15</f>
        <v>0.24178315301034292</v>
      </c>
      <c r="G65" s="233">
        <f t="shared" si="2"/>
        <v>2.1835387098764474</v>
      </c>
      <c r="H65" s="192">
        <f t="shared" si="3"/>
        <v>0.55971384752860709</v>
      </c>
      <c r="I65" s="189">
        <f t="shared" si="4"/>
        <v>943.28872266662529</v>
      </c>
      <c r="J65" s="189">
        <f t="shared" si="5"/>
        <v>241.79638213235827</v>
      </c>
    </row>
    <row r="66" spans="1:12" ht="15" customHeight="1" x14ac:dyDescent="0.2">
      <c r="A66" s="182">
        <v>48</v>
      </c>
      <c r="B66" s="232" t="s">
        <v>81</v>
      </c>
      <c r="C66" s="184">
        <v>2714</v>
      </c>
      <c r="D66" s="191">
        <v>0.01</v>
      </c>
      <c r="E66" s="163">
        <f>'X BDI'!C29</f>
        <v>0.310494398115575</v>
      </c>
      <c r="F66" s="163">
        <f>'X BDI'!$C$15</f>
        <v>0.24178315301034292</v>
      </c>
      <c r="G66" s="233">
        <f t="shared" si="2"/>
        <v>2.0874005168163947</v>
      </c>
      <c r="H66" s="192">
        <f t="shared" si="3"/>
        <v>0.55971384752860709</v>
      </c>
      <c r="I66" s="189">
        <f t="shared" si="4"/>
        <v>5665.2050026396955</v>
      </c>
      <c r="J66" s="189">
        <f t="shared" si="5"/>
        <v>1519.0633821926397</v>
      </c>
    </row>
    <row r="67" spans="1:12" ht="15" customHeight="1" x14ac:dyDescent="0.2">
      <c r="A67" s="182">
        <v>49</v>
      </c>
      <c r="B67" s="232" t="s">
        <v>82</v>
      </c>
      <c r="C67" s="184">
        <v>762</v>
      </c>
      <c r="D67" s="191">
        <v>0.05</v>
      </c>
      <c r="E67" s="163">
        <f>'X BDI'!C94</f>
        <v>0.37085107736096701</v>
      </c>
      <c r="F67" s="163">
        <f>'X BDI'!$C$15</f>
        <v>0.24178315301034292</v>
      </c>
      <c r="G67" s="233">
        <f t="shared" si="2"/>
        <v>2.1835387098764474</v>
      </c>
      <c r="H67" s="192">
        <f t="shared" si="3"/>
        <v>0.55971384752860709</v>
      </c>
      <c r="I67" s="189">
        <f t="shared" si="4"/>
        <v>1663.856496925853</v>
      </c>
      <c r="J67" s="189">
        <f t="shared" si="5"/>
        <v>426.50195181679862</v>
      </c>
    </row>
    <row r="68" spans="1:12" ht="15" customHeight="1" x14ac:dyDescent="0.2">
      <c r="A68" s="182">
        <v>50</v>
      </c>
      <c r="B68" s="232" t="s">
        <v>83</v>
      </c>
      <c r="C68" s="184">
        <v>99</v>
      </c>
      <c r="D68" s="191">
        <v>0.05</v>
      </c>
      <c r="E68" s="163">
        <f>'X BDI'!C94</f>
        <v>0.37085107736096701</v>
      </c>
      <c r="F68" s="163">
        <f>'X BDI'!$C$15</f>
        <v>0.24178315301034292</v>
      </c>
      <c r="G68" s="233">
        <f t="shared" si="2"/>
        <v>2.1835387098764474</v>
      </c>
      <c r="H68" s="192">
        <f t="shared" si="3"/>
        <v>0.55971384752860709</v>
      </c>
      <c r="I68" s="189">
        <f t="shared" si="4"/>
        <v>216.1703322777683</v>
      </c>
      <c r="J68" s="189">
        <f t="shared" si="5"/>
        <v>55.411670905332102</v>
      </c>
    </row>
    <row r="69" spans="1:12" ht="15" customHeight="1" x14ac:dyDescent="0.2">
      <c r="A69" s="182">
        <v>51</v>
      </c>
      <c r="B69" s="232" t="s">
        <v>84</v>
      </c>
      <c r="C69" s="184">
        <v>2807</v>
      </c>
      <c r="D69" s="191">
        <v>0.03</v>
      </c>
      <c r="E69" s="163">
        <f>'X BDI'!C68</f>
        <v>0.33999342789870557</v>
      </c>
      <c r="F69" s="163">
        <f>'X BDI'!$C$15</f>
        <v>0.24178315301034292</v>
      </c>
      <c r="G69" s="233">
        <f t="shared" si="2"/>
        <v>2.1343875852872198</v>
      </c>
      <c r="H69" s="192">
        <f t="shared" si="3"/>
        <v>0.55971384752860709</v>
      </c>
      <c r="I69" s="189">
        <f t="shared" si="4"/>
        <v>5991.2259519012259</v>
      </c>
      <c r="J69" s="189">
        <f t="shared" si="5"/>
        <v>1571.1167700128001</v>
      </c>
      <c r="L69" s="238" t="s">
        <v>1032</v>
      </c>
    </row>
    <row r="70" spans="1:12" ht="15" customHeight="1" x14ac:dyDescent="0.2">
      <c r="A70" s="182">
        <v>52</v>
      </c>
      <c r="B70" s="232" t="s">
        <v>85</v>
      </c>
      <c r="C70" s="184">
        <v>330</v>
      </c>
      <c r="D70" s="191">
        <v>0.05</v>
      </c>
      <c r="E70" s="163">
        <f>'X BDI'!C94</f>
        <v>0.37085107736096701</v>
      </c>
      <c r="F70" s="163">
        <f>'X BDI'!$C$15</f>
        <v>0.24178315301034292</v>
      </c>
      <c r="G70" s="233">
        <f t="shared" si="2"/>
        <v>2.1835387098764474</v>
      </c>
      <c r="H70" s="192">
        <f t="shared" si="3"/>
        <v>0.55971384752860709</v>
      </c>
      <c r="I70" s="189">
        <f t="shared" si="4"/>
        <v>720.56777425922769</v>
      </c>
      <c r="J70" s="189">
        <f t="shared" si="5"/>
        <v>184.70556968444035</v>
      </c>
      <c r="L70" s="235">
        <f>SUM(I52:J70)</f>
        <v>43092.690839606672</v>
      </c>
    </row>
    <row r="71" spans="1:12" ht="15" customHeight="1" x14ac:dyDescent="0.2">
      <c r="A71" s="282" t="s">
        <v>86</v>
      </c>
      <c r="B71" s="282"/>
      <c r="C71" s="194">
        <f>SUM(C19:C70)</f>
        <v>59637.97</v>
      </c>
      <c r="D71" s="195"/>
      <c r="E71" s="196"/>
      <c r="F71" s="196"/>
      <c r="G71" s="197"/>
      <c r="H71" s="197"/>
      <c r="I71" s="190">
        <f>SUM(I19:I70)</f>
        <v>128887.01724387644</v>
      </c>
      <c r="J71" s="190">
        <f>SUM(J19:J70)</f>
        <v>33380.197647495639</v>
      </c>
    </row>
    <row r="72" spans="1:12" ht="15" customHeight="1" x14ac:dyDescent="0.2">
      <c r="A72" s="282" t="s">
        <v>87</v>
      </c>
      <c r="B72" s="282"/>
      <c r="C72" s="282"/>
      <c r="D72" s="282"/>
      <c r="E72" s="282"/>
      <c r="F72" s="282"/>
      <c r="G72" s="282"/>
      <c r="H72" s="282"/>
      <c r="I72" s="281">
        <f>I71+J71</f>
        <v>162267.21489137207</v>
      </c>
      <c r="J72" s="281"/>
    </row>
    <row r="73" spans="1:12" ht="15" customHeight="1" x14ac:dyDescent="0.2">
      <c r="A73" s="284"/>
      <c r="B73" s="284"/>
      <c r="C73" s="284"/>
      <c r="D73" s="284"/>
      <c r="E73" s="284"/>
      <c r="F73" s="284"/>
      <c r="G73" s="284"/>
      <c r="H73" s="284"/>
      <c r="I73" s="284"/>
      <c r="J73" s="284"/>
    </row>
    <row r="74" spans="1:12" ht="15" customHeight="1" x14ac:dyDescent="0.2">
      <c r="A74" s="273" t="s">
        <v>1047</v>
      </c>
      <c r="B74" s="273"/>
      <c r="C74" s="273"/>
      <c r="D74" s="273"/>
      <c r="E74" s="273"/>
      <c r="F74" s="273"/>
      <c r="G74" s="273"/>
      <c r="H74" s="273"/>
      <c r="I74" s="273"/>
      <c r="J74" s="273"/>
    </row>
    <row r="75" spans="1:12" ht="15" customHeight="1" x14ac:dyDescent="0.2">
      <c r="A75" s="266" t="s">
        <v>2</v>
      </c>
      <c r="B75" s="266" t="s">
        <v>3</v>
      </c>
      <c r="C75" s="266" t="s">
        <v>26</v>
      </c>
      <c r="D75" s="266" t="s">
        <v>27</v>
      </c>
      <c r="E75" s="266" t="s">
        <v>28</v>
      </c>
      <c r="F75" s="266" t="s">
        <v>29</v>
      </c>
      <c r="G75" s="266" t="s">
        <v>30</v>
      </c>
      <c r="H75" s="266" t="s">
        <v>31</v>
      </c>
      <c r="I75" s="266" t="s">
        <v>32</v>
      </c>
      <c r="J75" s="266" t="s">
        <v>33</v>
      </c>
    </row>
    <row r="76" spans="1:12" ht="15" customHeight="1" x14ac:dyDescent="0.2">
      <c r="A76" s="267">
        <v>1</v>
      </c>
      <c r="B76" s="230" t="s">
        <v>1048</v>
      </c>
      <c r="C76" s="270">
        <v>5486.9</v>
      </c>
      <c r="D76" s="191">
        <v>0.03</v>
      </c>
      <c r="E76" s="271">
        <f>'X BDI'!C68</f>
        <v>0.33999342789870557</v>
      </c>
      <c r="F76" s="271">
        <f>'X BDI'!C15</f>
        <v>0.24178315301034292</v>
      </c>
      <c r="G76" s="233">
        <f>(($J$4+'III Deslocamentos'!L117+'III Deslocamentos'!L118)/($C$71+$C$77))*(1+E76)</f>
        <v>1.8275627741656013</v>
      </c>
      <c r="H76" s="192">
        <f>($J$14/($C$71+$C$77))*(1+F76)</f>
        <v>0.55971384752860709</v>
      </c>
      <c r="I76" s="189">
        <f t="shared" ref="I76" si="6">C76*G76</f>
        <v>10027.654185569238</v>
      </c>
      <c r="J76" s="189">
        <f t="shared" ref="J76" si="7">C76*H76</f>
        <v>3071.093910004714</v>
      </c>
    </row>
    <row r="77" spans="1:12" ht="15" customHeight="1" x14ac:dyDescent="0.2">
      <c r="A77" s="282" t="s">
        <v>86</v>
      </c>
      <c r="B77" s="282"/>
      <c r="C77" s="194">
        <f>SUM(C76)</f>
        <v>5486.9</v>
      </c>
      <c r="D77" s="191"/>
      <c r="E77" s="196"/>
      <c r="F77" s="196"/>
      <c r="G77" s="197"/>
      <c r="H77" s="197"/>
      <c r="I77" s="190">
        <f>SUM(I76)</f>
        <v>10027.654185569238</v>
      </c>
      <c r="J77" s="190">
        <f>SUM(J76)</f>
        <v>3071.093910004714</v>
      </c>
    </row>
    <row r="78" spans="1:12" ht="15" customHeight="1" x14ac:dyDescent="0.2">
      <c r="A78" s="282" t="s">
        <v>1049</v>
      </c>
      <c r="B78" s="282"/>
      <c r="C78" s="282"/>
      <c r="D78" s="282"/>
      <c r="E78" s="282"/>
      <c r="F78" s="282"/>
      <c r="G78" s="282"/>
      <c r="H78" s="282"/>
      <c r="I78" s="281">
        <f>I77+J77</f>
        <v>13098.748095573952</v>
      </c>
      <c r="J78" s="281"/>
    </row>
    <row r="79" spans="1:12" x14ac:dyDescent="0.2">
      <c r="A79" s="276"/>
      <c r="B79" s="276"/>
      <c r="C79" s="276"/>
      <c r="D79" s="276"/>
      <c r="E79" s="276"/>
      <c r="F79" s="276"/>
      <c r="G79" s="276"/>
      <c r="H79" s="276"/>
      <c r="I79" s="276"/>
      <c r="J79" s="276"/>
    </row>
    <row r="80" spans="1:12" ht="15" customHeight="1" x14ac:dyDescent="0.2">
      <c r="A80" s="273" t="s">
        <v>88</v>
      </c>
      <c r="B80" s="273"/>
      <c r="C80" s="273"/>
      <c r="D80" s="273"/>
      <c r="E80" s="273"/>
      <c r="F80" s="273"/>
      <c r="G80" s="273"/>
      <c r="H80" s="273"/>
      <c r="I80" s="273"/>
      <c r="J80" s="273"/>
    </row>
    <row r="81" spans="1:10" ht="15" customHeight="1" x14ac:dyDescent="0.2">
      <c r="A81" s="176" t="s">
        <v>2</v>
      </c>
      <c r="B81" s="274" t="s">
        <v>3</v>
      </c>
      <c r="C81" s="274"/>
      <c r="D81" s="274"/>
      <c r="E81" s="274"/>
      <c r="F81" s="274"/>
      <c r="G81" s="274"/>
      <c r="H81" s="274"/>
      <c r="I81" s="176" t="s">
        <v>4</v>
      </c>
      <c r="J81" s="176" t="s">
        <v>86</v>
      </c>
    </row>
    <row r="82" spans="1:10" x14ac:dyDescent="0.2">
      <c r="A82" s="182" t="s">
        <v>89</v>
      </c>
      <c r="B82" s="275" t="s">
        <v>90</v>
      </c>
      <c r="C82" s="275"/>
      <c r="D82" s="275"/>
      <c r="E82" s="275"/>
      <c r="F82" s="275"/>
      <c r="G82" s="275"/>
      <c r="H82" s="275"/>
      <c r="I82" s="166" t="s">
        <v>91</v>
      </c>
      <c r="J82" s="198">
        <f>C71+C77</f>
        <v>65124.87</v>
      </c>
    </row>
    <row r="83" spans="1:10" x14ac:dyDescent="0.2">
      <c r="A83" s="182" t="s">
        <v>92</v>
      </c>
      <c r="B83" s="275" t="s">
        <v>93</v>
      </c>
      <c r="C83" s="275"/>
      <c r="D83" s="275"/>
      <c r="E83" s="275"/>
      <c r="F83" s="275"/>
      <c r="G83" s="275"/>
      <c r="H83" s="275"/>
      <c r="I83" s="182" t="s">
        <v>94</v>
      </c>
      <c r="J83" s="199">
        <f>I72/J82</f>
        <v>2.4916320737587969</v>
      </c>
    </row>
    <row r="84" spans="1:10" ht="15" x14ac:dyDescent="0.2">
      <c r="A84" s="182" t="s">
        <v>95</v>
      </c>
      <c r="B84" s="275" t="s">
        <v>96</v>
      </c>
      <c r="C84" s="275"/>
      <c r="D84" s="275"/>
      <c r="E84" s="275"/>
      <c r="F84" s="275"/>
      <c r="G84" s="275"/>
      <c r="H84" s="275"/>
      <c r="I84" s="182" t="s">
        <v>97</v>
      </c>
      <c r="J84" s="200">
        <f>I72+I78</f>
        <v>175365.96298694602</v>
      </c>
    </row>
    <row r="85" spans="1:10" ht="15" x14ac:dyDescent="0.2">
      <c r="A85" s="182" t="s">
        <v>98</v>
      </c>
      <c r="B85" s="275" t="s">
        <v>99</v>
      </c>
      <c r="C85" s="275"/>
      <c r="D85" s="275"/>
      <c r="E85" s="275"/>
      <c r="F85" s="275"/>
      <c r="G85" s="275"/>
      <c r="H85" s="275"/>
      <c r="I85" s="182" t="s">
        <v>97</v>
      </c>
      <c r="J85" s="200">
        <f>J84*12-0.05</f>
        <v>2104391.5058433525</v>
      </c>
    </row>
  </sheetData>
  <mergeCells count="36">
    <mergeCell ref="B82:H82"/>
    <mergeCell ref="B83:H83"/>
    <mergeCell ref="B84:H84"/>
    <mergeCell ref="B85:H85"/>
    <mergeCell ref="A72:H72"/>
    <mergeCell ref="I72:J72"/>
    <mergeCell ref="A79:J79"/>
    <mergeCell ref="A80:J80"/>
    <mergeCell ref="B81:H81"/>
    <mergeCell ref="B14:I14"/>
    <mergeCell ref="A15:I15"/>
    <mergeCell ref="A16:J16"/>
    <mergeCell ref="A17:J17"/>
    <mergeCell ref="A71:B71"/>
    <mergeCell ref="A74:J74"/>
    <mergeCell ref="A77:B77"/>
    <mergeCell ref="A78:H78"/>
    <mergeCell ref="I78:J78"/>
    <mergeCell ref="A73:J73"/>
    <mergeCell ref="A11:C11"/>
    <mergeCell ref="D11:G11"/>
    <mergeCell ref="H11:J11"/>
    <mergeCell ref="A12:J12"/>
    <mergeCell ref="B13:I13"/>
    <mergeCell ref="B6:F6"/>
    <mergeCell ref="B7:F7"/>
    <mergeCell ref="A8:J8"/>
    <mergeCell ref="A9:J9"/>
    <mergeCell ref="A10:C10"/>
    <mergeCell ref="D10:G10"/>
    <mergeCell ref="H10:J10"/>
    <mergeCell ref="A1:J1"/>
    <mergeCell ref="A2:J2"/>
    <mergeCell ref="B3:F3"/>
    <mergeCell ref="B4:F4"/>
    <mergeCell ref="B5:F5"/>
  </mergeCells>
  <printOptions horizontalCentered="1"/>
  <pageMargins left="0.78740157480314965" right="0.78740157480314965" top="0.9055118110236221" bottom="0.9055118110236221" header="0.51181102362204722" footer="0.51181102362204722"/>
  <pageSetup paperSize="9" scale="44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ignoredErrors>
    <ignoredError sqref="E32:E70" formula="1"/>
  </ignoredErrors>
  <drawing r:id="rId2"/>
  <legacy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  <pageSetUpPr fitToPage="1"/>
  </sheetPr>
  <dimension ref="A1:IT92"/>
  <sheetViews>
    <sheetView view="pageBreakPreview" topLeftCell="B49" zoomScale="90" zoomScaleNormal="100" zoomScalePageLayoutView="90" workbookViewId="0">
      <selection activeCell="D57" sqref="D57"/>
    </sheetView>
  </sheetViews>
  <sheetFormatPr defaultRowHeight="12.75" x14ac:dyDescent="0.2"/>
  <cols>
    <col min="1" max="1" width="5.28515625" customWidth="1"/>
    <col min="2" max="2" width="7.42578125" customWidth="1"/>
    <col min="3" max="3" width="8.28515625" style="110" customWidth="1"/>
    <col min="4" max="4" width="103.85546875" style="111" customWidth="1"/>
    <col min="5" max="5" width="9.42578125" style="110" customWidth="1"/>
    <col min="6" max="6" width="12.7109375" style="110" customWidth="1"/>
    <col min="7" max="8" width="15" style="111" customWidth="1"/>
    <col min="9" max="9" width="12" style="111" customWidth="1"/>
    <col min="10" max="10" width="14.28515625" style="111" customWidth="1"/>
    <col min="11" max="239" width="11.140625" style="111" customWidth="1"/>
    <col min="240" max="254" width="11.140625" style="112" customWidth="1"/>
    <col min="255" max="1026" width="11.140625" customWidth="1"/>
  </cols>
  <sheetData>
    <row r="1" spans="1:10" ht="20.25" customHeight="1" x14ac:dyDescent="0.2">
      <c r="A1" s="336" t="s">
        <v>404</v>
      </c>
      <c r="B1" s="336"/>
      <c r="C1" s="336"/>
      <c r="D1" s="336"/>
      <c r="E1" s="336"/>
      <c r="F1" s="336"/>
      <c r="G1" s="336"/>
      <c r="H1" s="336"/>
      <c r="I1" s="336"/>
      <c r="J1" s="336"/>
    </row>
    <row r="2" spans="1:10" ht="15" customHeight="1" x14ac:dyDescent="0.2">
      <c r="A2" s="322" t="s">
        <v>2</v>
      </c>
      <c r="B2" s="322" t="s">
        <v>176</v>
      </c>
      <c r="C2" s="337" t="s">
        <v>177</v>
      </c>
      <c r="D2" s="337" t="s">
        <v>3</v>
      </c>
      <c r="E2" s="337" t="s">
        <v>4</v>
      </c>
      <c r="F2" s="337" t="s">
        <v>5</v>
      </c>
      <c r="G2" s="337" t="s">
        <v>405</v>
      </c>
      <c r="H2" s="337"/>
      <c r="I2" s="337"/>
      <c r="J2" s="337" t="s">
        <v>406</v>
      </c>
    </row>
    <row r="3" spans="1:10" ht="45" x14ac:dyDescent="0.2">
      <c r="A3" s="322"/>
      <c r="B3" s="322"/>
      <c r="C3" s="337"/>
      <c r="D3" s="337"/>
      <c r="E3" s="337"/>
      <c r="F3" s="337"/>
      <c r="G3" s="187" t="s">
        <v>407</v>
      </c>
      <c r="H3" s="245" t="s">
        <v>1040</v>
      </c>
      <c r="I3" s="187" t="s">
        <v>408</v>
      </c>
      <c r="J3" s="337"/>
    </row>
    <row r="4" spans="1:10" ht="15" x14ac:dyDescent="0.2">
      <c r="A4" s="114">
        <v>1</v>
      </c>
      <c r="B4" s="114"/>
      <c r="C4" s="115"/>
      <c r="D4" s="115" t="s">
        <v>409</v>
      </c>
      <c r="E4" s="115"/>
      <c r="F4" s="115"/>
      <c r="G4" s="115"/>
      <c r="H4" s="115"/>
      <c r="I4" s="115"/>
      <c r="J4" s="116">
        <f>SUM(I5:I74)</f>
        <v>24090.529250235159</v>
      </c>
    </row>
    <row r="5" spans="1:10" ht="15" customHeight="1" x14ac:dyDescent="0.2">
      <c r="A5" s="182" t="s">
        <v>181</v>
      </c>
      <c r="B5" s="182" t="s">
        <v>182</v>
      </c>
      <c r="C5" s="182">
        <v>38399</v>
      </c>
      <c r="D5" s="117" t="s">
        <v>410</v>
      </c>
      <c r="E5" s="177" t="s">
        <v>411</v>
      </c>
      <c r="F5" s="118">
        <v>2</v>
      </c>
      <c r="G5" s="224">
        <v>155.57</v>
      </c>
      <c r="H5" s="262">
        <f>G5*$G$92</f>
        <v>177.39240365484929</v>
      </c>
      <c r="I5" s="119">
        <f>H5*F5</f>
        <v>354.78480730969858</v>
      </c>
      <c r="J5" s="225"/>
    </row>
    <row r="6" spans="1:10" ht="15" customHeight="1" x14ac:dyDescent="0.2">
      <c r="A6" s="182" t="s">
        <v>185</v>
      </c>
      <c r="B6" s="121" t="s">
        <v>182</v>
      </c>
      <c r="C6" s="182">
        <v>38470</v>
      </c>
      <c r="D6" s="117" t="s">
        <v>412</v>
      </c>
      <c r="E6" s="177" t="s">
        <v>411</v>
      </c>
      <c r="F6" s="118">
        <v>8</v>
      </c>
      <c r="G6" s="224">
        <v>41.9</v>
      </c>
      <c r="H6" s="262">
        <f t="shared" ref="H6:H69" si="0">G6*$G$92</f>
        <v>47.777474533253105</v>
      </c>
      <c r="I6" s="119">
        <f t="shared" ref="I6:I69" si="1">H6*F6</f>
        <v>382.21979626602484</v>
      </c>
      <c r="J6" s="225"/>
    </row>
    <row r="7" spans="1:10" ht="15" customHeight="1" x14ac:dyDescent="0.2">
      <c r="A7" s="182" t="s">
        <v>188</v>
      </c>
      <c r="B7" s="182" t="s">
        <v>182</v>
      </c>
      <c r="C7" s="182">
        <v>38384</v>
      </c>
      <c r="D7" s="117" t="s">
        <v>413</v>
      </c>
      <c r="E7" s="177" t="s">
        <v>411</v>
      </c>
      <c r="F7" s="118">
        <v>8</v>
      </c>
      <c r="G7" s="224">
        <v>14.74</v>
      </c>
      <c r="H7" s="262">
        <f t="shared" si="0"/>
        <v>16.807636625779256</v>
      </c>
      <c r="I7" s="119">
        <f t="shared" si="1"/>
        <v>134.46109300623405</v>
      </c>
      <c r="J7" s="225"/>
    </row>
    <row r="8" spans="1:10" ht="15" customHeight="1" x14ac:dyDescent="0.2">
      <c r="A8" s="182" t="s">
        <v>191</v>
      </c>
      <c r="B8" s="182" t="s">
        <v>182</v>
      </c>
      <c r="C8" s="182">
        <v>12</v>
      </c>
      <c r="D8" s="117" t="s">
        <v>414</v>
      </c>
      <c r="E8" s="177" t="s">
        <v>411</v>
      </c>
      <c r="F8" s="269">
        <v>5</v>
      </c>
      <c r="G8" s="224">
        <v>9.73</v>
      </c>
      <c r="H8" s="262">
        <f t="shared" si="0"/>
        <v>11.094864611182643</v>
      </c>
      <c r="I8" s="119">
        <f t="shared" si="1"/>
        <v>55.474323055913217</v>
      </c>
      <c r="J8" s="225"/>
    </row>
    <row r="9" spans="1:10" ht="15" customHeight="1" x14ac:dyDescent="0.2">
      <c r="A9" s="182" t="s">
        <v>193</v>
      </c>
      <c r="B9" s="182" t="s">
        <v>182</v>
      </c>
      <c r="C9" s="182">
        <v>38377</v>
      </c>
      <c r="D9" s="117" t="s">
        <v>415</v>
      </c>
      <c r="E9" s="177" t="s">
        <v>411</v>
      </c>
      <c r="F9" s="269">
        <v>3</v>
      </c>
      <c r="G9" s="224">
        <v>25.31</v>
      </c>
      <c r="H9" s="262">
        <f t="shared" si="0"/>
        <v>28.860331275337376</v>
      </c>
      <c r="I9" s="119">
        <f t="shared" si="1"/>
        <v>86.580993826012133</v>
      </c>
      <c r="J9" s="225"/>
    </row>
    <row r="10" spans="1:10" ht="15" customHeight="1" x14ac:dyDescent="0.2">
      <c r="A10" s="182" t="s">
        <v>195</v>
      </c>
      <c r="B10" s="121" t="s">
        <v>182</v>
      </c>
      <c r="C10" s="182">
        <v>38376</v>
      </c>
      <c r="D10" s="117" t="s">
        <v>416</v>
      </c>
      <c r="E10" s="177" t="s">
        <v>411</v>
      </c>
      <c r="F10" s="269">
        <v>3</v>
      </c>
      <c r="G10" s="224">
        <v>28.85</v>
      </c>
      <c r="H10" s="262">
        <f t="shared" si="0"/>
        <v>32.896900722776898</v>
      </c>
      <c r="I10" s="119">
        <f t="shared" si="1"/>
        <v>98.690702168330688</v>
      </c>
      <c r="J10" s="225"/>
    </row>
    <row r="11" spans="1:10" ht="15" customHeight="1" x14ac:dyDescent="0.2">
      <c r="A11" s="182" t="s">
        <v>197</v>
      </c>
      <c r="B11" s="121" t="s">
        <v>182</v>
      </c>
      <c r="C11" s="182">
        <v>38476</v>
      </c>
      <c r="D11" s="120" t="s">
        <v>417</v>
      </c>
      <c r="E11" s="177" t="s">
        <v>411</v>
      </c>
      <c r="F11" s="118">
        <v>4</v>
      </c>
      <c r="G11" s="224">
        <v>234.4</v>
      </c>
      <c r="H11" s="262">
        <f t="shared" si="0"/>
        <v>267.28019166096726</v>
      </c>
      <c r="I11" s="119">
        <f t="shared" si="1"/>
        <v>1069.120766643869</v>
      </c>
      <c r="J11" s="225"/>
    </row>
    <row r="12" spans="1:10" ht="15" customHeight="1" x14ac:dyDescent="0.2">
      <c r="A12" s="182" t="s">
        <v>199</v>
      </c>
      <c r="B12" s="121" t="s">
        <v>182</v>
      </c>
      <c r="C12" s="182">
        <v>38477</v>
      </c>
      <c r="D12" s="117" t="s">
        <v>418</v>
      </c>
      <c r="E12" s="177" t="s">
        <v>411</v>
      </c>
      <c r="F12" s="269">
        <v>2</v>
      </c>
      <c r="G12" s="224">
        <v>663.84</v>
      </c>
      <c r="H12" s="262">
        <f t="shared" si="0"/>
        <v>756.95939604187936</v>
      </c>
      <c r="I12" s="119">
        <f t="shared" si="1"/>
        <v>1513.9187920837587</v>
      </c>
      <c r="J12" s="225"/>
    </row>
    <row r="13" spans="1:10" ht="14.25" x14ac:dyDescent="0.2">
      <c r="A13" s="182" t="s">
        <v>201</v>
      </c>
      <c r="B13" s="121" t="s">
        <v>182</v>
      </c>
      <c r="C13" s="182">
        <v>38369</v>
      </c>
      <c r="D13" s="120" t="s">
        <v>419</v>
      </c>
      <c r="E13" s="177" t="s">
        <v>411</v>
      </c>
      <c r="F13" s="269">
        <v>3</v>
      </c>
      <c r="G13" s="224">
        <v>12.6</v>
      </c>
      <c r="H13" s="262">
        <f t="shared" si="0"/>
        <v>14.367450575632198</v>
      </c>
      <c r="I13" s="119">
        <f t="shared" si="1"/>
        <v>43.102351726896593</v>
      </c>
      <c r="J13" s="225"/>
    </row>
    <row r="14" spans="1:10" ht="15" customHeight="1" x14ac:dyDescent="0.2">
      <c r="A14" s="182" t="s">
        <v>203</v>
      </c>
      <c r="B14" s="121" t="s">
        <v>182</v>
      </c>
      <c r="C14" s="182">
        <v>38370</v>
      </c>
      <c r="D14" s="120" t="s">
        <v>420</v>
      </c>
      <c r="E14" s="177" t="s">
        <v>411</v>
      </c>
      <c r="F14" s="269">
        <v>3</v>
      </c>
      <c r="G14" s="224">
        <v>12.6</v>
      </c>
      <c r="H14" s="262">
        <f t="shared" si="0"/>
        <v>14.367450575632198</v>
      </c>
      <c r="I14" s="119">
        <f t="shared" si="1"/>
        <v>43.102351726896593</v>
      </c>
      <c r="J14" s="225"/>
    </row>
    <row r="15" spans="1:10" ht="15" customHeight="1" x14ac:dyDescent="0.2">
      <c r="A15" s="182" t="s">
        <v>421</v>
      </c>
      <c r="B15" s="121" t="s">
        <v>182</v>
      </c>
      <c r="C15" s="182">
        <v>38372</v>
      </c>
      <c r="D15" s="120" t="s">
        <v>422</v>
      </c>
      <c r="E15" s="177" t="s">
        <v>411</v>
      </c>
      <c r="F15" s="118">
        <v>2</v>
      </c>
      <c r="G15" s="224">
        <v>14.62</v>
      </c>
      <c r="H15" s="262">
        <f t="shared" si="0"/>
        <v>16.670803763154186</v>
      </c>
      <c r="I15" s="119">
        <f t="shared" si="1"/>
        <v>33.341607526308373</v>
      </c>
      <c r="J15" s="225"/>
    </row>
    <row r="16" spans="1:10" ht="15" customHeight="1" x14ac:dyDescent="0.2">
      <c r="A16" s="182" t="s">
        <v>423</v>
      </c>
      <c r="B16" s="121" t="s">
        <v>182</v>
      </c>
      <c r="C16" s="182">
        <v>38367</v>
      </c>
      <c r="D16" s="117" t="s">
        <v>424</v>
      </c>
      <c r="E16" s="177" t="s">
        <v>411</v>
      </c>
      <c r="F16" s="269">
        <v>3</v>
      </c>
      <c r="G16" s="224">
        <v>12.59</v>
      </c>
      <c r="H16" s="262">
        <f t="shared" si="0"/>
        <v>14.35604783708011</v>
      </c>
      <c r="I16" s="119">
        <f t="shared" si="1"/>
        <v>43.068143511240329</v>
      </c>
      <c r="J16" s="225"/>
    </row>
    <row r="17" spans="1:10" ht="15" customHeight="1" x14ac:dyDescent="0.2">
      <c r="A17" s="182" t="s">
        <v>425</v>
      </c>
      <c r="B17" s="121" t="s">
        <v>182</v>
      </c>
      <c r="C17" s="182">
        <v>38368</v>
      </c>
      <c r="D17" s="117" t="s">
        <v>426</v>
      </c>
      <c r="E17" s="177" t="s">
        <v>411</v>
      </c>
      <c r="F17" s="118">
        <v>2</v>
      </c>
      <c r="G17" s="224">
        <v>5.68</v>
      </c>
      <c r="H17" s="262">
        <f t="shared" si="0"/>
        <v>6.476755497586578</v>
      </c>
      <c r="I17" s="119">
        <f t="shared" si="1"/>
        <v>12.953510995173156</v>
      </c>
      <c r="J17" s="225"/>
    </row>
    <row r="18" spans="1:10" ht="15" customHeight="1" x14ac:dyDescent="0.2">
      <c r="A18" s="182" t="s">
        <v>427</v>
      </c>
      <c r="B18" s="182" t="s">
        <v>182</v>
      </c>
      <c r="C18" s="182">
        <v>38390</v>
      </c>
      <c r="D18" s="117" t="s">
        <v>428</v>
      </c>
      <c r="E18" s="177" t="s">
        <v>411</v>
      </c>
      <c r="F18" s="269">
        <v>5</v>
      </c>
      <c r="G18" s="224">
        <v>25.5</v>
      </c>
      <c r="H18" s="262">
        <f t="shared" si="0"/>
        <v>29.076983307827071</v>
      </c>
      <c r="I18" s="119">
        <f t="shared" si="1"/>
        <v>145.38491653913536</v>
      </c>
      <c r="J18" s="225"/>
    </row>
    <row r="19" spans="1:10" ht="15" customHeight="1" x14ac:dyDescent="0.2">
      <c r="A19" s="182" t="s">
        <v>429</v>
      </c>
      <c r="B19" s="182" t="s">
        <v>182</v>
      </c>
      <c r="C19" s="182">
        <v>38393</v>
      </c>
      <c r="D19" s="117" t="s">
        <v>430</v>
      </c>
      <c r="E19" s="177" t="s">
        <v>411</v>
      </c>
      <c r="F19" s="269">
        <v>5</v>
      </c>
      <c r="G19" s="224">
        <v>11.5</v>
      </c>
      <c r="H19" s="262">
        <f t="shared" si="0"/>
        <v>13.113149334902404</v>
      </c>
      <c r="I19" s="119">
        <f t="shared" si="1"/>
        <v>65.565746674512027</v>
      </c>
      <c r="J19" s="225"/>
    </row>
    <row r="20" spans="1:10" ht="15" customHeight="1" x14ac:dyDescent="0.2">
      <c r="A20" s="182" t="s">
        <v>431</v>
      </c>
      <c r="B20" s="182" t="s">
        <v>182</v>
      </c>
      <c r="C20" s="182">
        <v>13</v>
      </c>
      <c r="D20" s="177" t="s">
        <v>432</v>
      </c>
      <c r="E20" s="177" t="s">
        <v>433</v>
      </c>
      <c r="F20" s="118">
        <v>1.6</v>
      </c>
      <c r="G20" s="224">
        <v>14.98</v>
      </c>
      <c r="H20" s="262">
        <f t="shared" si="0"/>
        <v>17.081302351029393</v>
      </c>
      <c r="I20" s="119">
        <f t="shared" si="1"/>
        <v>27.330083761647032</v>
      </c>
      <c r="J20" s="225"/>
    </row>
    <row r="21" spans="1:10" ht="15" customHeight="1" x14ac:dyDescent="0.2">
      <c r="A21" s="182" t="s">
        <v>434</v>
      </c>
      <c r="B21" s="182" t="s">
        <v>182</v>
      </c>
      <c r="C21" s="182">
        <v>38403</v>
      </c>
      <c r="D21" s="117" t="s">
        <v>435</v>
      </c>
      <c r="E21" s="177" t="s">
        <v>411</v>
      </c>
      <c r="F21" s="269">
        <v>3</v>
      </c>
      <c r="G21" s="224">
        <v>31.19</v>
      </c>
      <c r="H21" s="262">
        <f t="shared" si="0"/>
        <v>35.565141543965737</v>
      </c>
      <c r="I21" s="119">
        <f t="shared" si="1"/>
        <v>106.69542463189721</v>
      </c>
      <c r="J21" s="225"/>
    </row>
    <row r="22" spans="1:10" ht="15" customHeight="1" x14ac:dyDescent="0.2">
      <c r="A22" s="182" t="s">
        <v>436</v>
      </c>
      <c r="B22" s="182" t="s">
        <v>182</v>
      </c>
      <c r="C22" s="182">
        <v>38379</v>
      </c>
      <c r="D22" s="117" t="s">
        <v>437</v>
      </c>
      <c r="E22" s="177" t="s">
        <v>290</v>
      </c>
      <c r="F22" s="269">
        <v>3</v>
      </c>
      <c r="G22" s="224">
        <v>33.86</v>
      </c>
      <c r="H22" s="262">
        <f t="shared" si="0"/>
        <v>38.609672737373515</v>
      </c>
      <c r="I22" s="119">
        <f t="shared" si="1"/>
        <v>115.82901821212054</v>
      </c>
      <c r="J22" s="225"/>
    </row>
    <row r="23" spans="1:10" ht="15" customHeight="1" x14ac:dyDescent="0.2">
      <c r="A23" s="182" t="s">
        <v>438</v>
      </c>
      <c r="B23" s="121" t="s">
        <v>178</v>
      </c>
      <c r="C23" s="182">
        <v>78251</v>
      </c>
      <c r="D23" s="117" t="s">
        <v>439</v>
      </c>
      <c r="E23" s="177" t="s">
        <v>411</v>
      </c>
      <c r="F23" s="269">
        <v>5</v>
      </c>
      <c r="G23" s="224">
        <v>42.5</v>
      </c>
      <c r="H23" s="262">
        <f t="shared" si="0"/>
        <v>48.461638846378449</v>
      </c>
      <c r="I23" s="119">
        <f t="shared" si="1"/>
        <v>242.30819423189223</v>
      </c>
      <c r="J23" s="225"/>
    </row>
    <row r="24" spans="1:10" ht="15" customHeight="1" x14ac:dyDescent="0.2">
      <c r="A24" s="182" t="s">
        <v>440</v>
      </c>
      <c r="B24" s="182" t="s">
        <v>178</v>
      </c>
      <c r="C24" s="182">
        <v>20</v>
      </c>
      <c r="D24" s="117" t="s">
        <v>441</v>
      </c>
      <c r="E24" s="177" t="s">
        <v>411</v>
      </c>
      <c r="F24" s="269">
        <v>9</v>
      </c>
      <c r="G24" s="224">
        <v>27.16</v>
      </c>
      <c r="H24" s="262">
        <f t="shared" si="0"/>
        <v>30.969837907473853</v>
      </c>
      <c r="I24" s="119">
        <f t="shared" si="1"/>
        <v>278.72854116726467</v>
      </c>
      <c r="J24" s="225"/>
    </row>
    <row r="25" spans="1:10" ht="15" customHeight="1" x14ac:dyDescent="0.2">
      <c r="A25" s="182" t="s">
        <v>442</v>
      </c>
      <c r="B25" s="182" t="s">
        <v>178</v>
      </c>
      <c r="C25" s="182">
        <v>7206</v>
      </c>
      <c r="D25" s="117" t="s">
        <v>443</v>
      </c>
      <c r="E25" s="177" t="s">
        <v>411</v>
      </c>
      <c r="F25" s="118">
        <v>4</v>
      </c>
      <c r="G25" s="224">
        <v>15.72</v>
      </c>
      <c r="H25" s="262">
        <f t="shared" si="0"/>
        <v>17.925105003883981</v>
      </c>
      <c r="I25" s="119">
        <f t="shared" si="1"/>
        <v>71.700420015535926</v>
      </c>
      <c r="J25" s="225"/>
    </row>
    <row r="26" spans="1:10" ht="15" customHeight="1" x14ac:dyDescent="0.2">
      <c r="A26" s="182" t="s">
        <v>444</v>
      </c>
      <c r="B26" s="182" t="s">
        <v>178</v>
      </c>
      <c r="C26" s="182">
        <v>31052</v>
      </c>
      <c r="D26" s="117" t="s">
        <v>445</v>
      </c>
      <c r="E26" s="177" t="s">
        <v>411</v>
      </c>
      <c r="F26" s="269">
        <v>5</v>
      </c>
      <c r="G26" s="224">
        <v>26.99</v>
      </c>
      <c r="H26" s="262">
        <f t="shared" si="0"/>
        <v>30.775991352088337</v>
      </c>
      <c r="I26" s="119">
        <f t="shared" si="1"/>
        <v>153.87995676044167</v>
      </c>
      <c r="J26" s="225"/>
    </row>
    <row r="27" spans="1:10" ht="15" customHeight="1" x14ac:dyDescent="0.2">
      <c r="A27" s="182" t="s">
        <v>446</v>
      </c>
      <c r="B27" s="182" t="s">
        <v>178</v>
      </c>
      <c r="C27" s="182">
        <v>7229</v>
      </c>
      <c r="D27" s="117" t="s">
        <v>447</v>
      </c>
      <c r="E27" s="177" t="s">
        <v>411</v>
      </c>
      <c r="F27" s="118">
        <v>4</v>
      </c>
      <c r="G27" s="224">
        <v>13.84</v>
      </c>
      <c r="H27" s="262">
        <f t="shared" si="0"/>
        <v>15.781390156091241</v>
      </c>
      <c r="I27" s="119">
        <f t="shared" si="1"/>
        <v>63.125560624364965</v>
      </c>
      <c r="J27" s="225"/>
    </row>
    <row r="28" spans="1:10" ht="15" customHeight="1" x14ac:dyDescent="0.2">
      <c r="A28" s="182" t="s">
        <v>448</v>
      </c>
      <c r="B28" s="182" t="s">
        <v>178</v>
      </c>
      <c r="C28" s="182">
        <v>12766</v>
      </c>
      <c r="D28" s="117" t="s">
        <v>449</v>
      </c>
      <c r="E28" s="177" t="s">
        <v>411</v>
      </c>
      <c r="F28" s="118">
        <v>4</v>
      </c>
      <c r="G28" s="224">
        <v>10.98</v>
      </c>
      <c r="H28" s="262">
        <f t="shared" si="0"/>
        <v>12.520206930193774</v>
      </c>
      <c r="I28" s="119">
        <f t="shared" si="1"/>
        <v>50.080827720775098</v>
      </c>
      <c r="J28" s="225"/>
    </row>
    <row r="29" spans="1:10" ht="15" customHeight="1" x14ac:dyDescent="0.2">
      <c r="A29" s="182" t="s">
        <v>450</v>
      </c>
      <c r="B29" s="182" t="s">
        <v>178</v>
      </c>
      <c r="C29" s="182">
        <v>12758</v>
      </c>
      <c r="D29" s="117" t="s">
        <v>451</v>
      </c>
      <c r="E29" s="177" t="s">
        <v>411</v>
      </c>
      <c r="F29" s="269">
        <v>5</v>
      </c>
      <c r="G29" s="224">
        <v>11.93</v>
      </c>
      <c r="H29" s="262">
        <f t="shared" si="0"/>
        <v>13.603467092642232</v>
      </c>
      <c r="I29" s="119">
        <f t="shared" si="1"/>
        <v>68.017335463211154</v>
      </c>
      <c r="J29" s="225"/>
    </row>
    <row r="30" spans="1:10" ht="15" customHeight="1" x14ac:dyDescent="0.2">
      <c r="A30" s="182" t="s">
        <v>452</v>
      </c>
      <c r="B30" s="182" t="s">
        <v>178</v>
      </c>
      <c r="C30" s="182">
        <v>449</v>
      </c>
      <c r="D30" s="117" t="s">
        <v>453</v>
      </c>
      <c r="E30" s="177" t="s">
        <v>411</v>
      </c>
      <c r="F30" s="118">
        <v>4</v>
      </c>
      <c r="G30" s="224">
        <v>89.9</v>
      </c>
      <c r="H30" s="262">
        <f t="shared" si="0"/>
        <v>102.51061958328053</v>
      </c>
      <c r="I30" s="119">
        <f t="shared" si="1"/>
        <v>410.04247833312212</v>
      </c>
      <c r="J30" s="225"/>
    </row>
    <row r="31" spans="1:10" ht="15" customHeight="1" x14ac:dyDescent="0.2">
      <c r="A31" s="182" t="s">
        <v>454</v>
      </c>
      <c r="B31" s="182" t="s">
        <v>178</v>
      </c>
      <c r="C31" s="182">
        <v>2499</v>
      </c>
      <c r="D31" s="117" t="s">
        <v>455</v>
      </c>
      <c r="E31" s="177" t="s">
        <v>411</v>
      </c>
      <c r="F31" s="269">
        <v>5</v>
      </c>
      <c r="G31" s="224">
        <v>495.8</v>
      </c>
      <c r="H31" s="262">
        <f t="shared" si="0"/>
        <v>565.34777741257494</v>
      </c>
      <c r="I31" s="119">
        <f t="shared" si="1"/>
        <v>2826.7388870628747</v>
      </c>
      <c r="J31" s="225"/>
    </row>
    <row r="32" spans="1:10" ht="15" customHeight="1" x14ac:dyDescent="0.2">
      <c r="A32" s="182" t="s">
        <v>456</v>
      </c>
      <c r="B32" s="182" t="s">
        <v>178</v>
      </c>
      <c r="C32" s="182">
        <v>44118</v>
      </c>
      <c r="D32" s="117" t="s">
        <v>457</v>
      </c>
      <c r="E32" s="177" t="s">
        <v>411</v>
      </c>
      <c r="F32" s="118">
        <v>4</v>
      </c>
      <c r="G32" s="224">
        <v>60.1</v>
      </c>
      <c r="H32" s="262">
        <f t="shared" si="0"/>
        <v>68.53045869805517</v>
      </c>
      <c r="I32" s="119">
        <f t="shared" si="1"/>
        <v>274.12183479222068</v>
      </c>
      <c r="J32" s="225"/>
    </row>
    <row r="33" spans="1:10" ht="15" customHeight="1" x14ac:dyDescent="0.2">
      <c r="A33" s="182" t="s">
        <v>458</v>
      </c>
      <c r="B33" s="182" t="s">
        <v>178</v>
      </c>
      <c r="C33" s="182">
        <v>19</v>
      </c>
      <c r="D33" s="117" t="s">
        <v>459</v>
      </c>
      <c r="E33" s="177" t="s">
        <v>411</v>
      </c>
      <c r="F33" s="269">
        <v>5</v>
      </c>
      <c r="G33" s="224">
        <v>27.74</v>
      </c>
      <c r="H33" s="262">
        <f t="shared" si="0"/>
        <v>31.631196743495014</v>
      </c>
      <c r="I33" s="119">
        <f t="shared" si="1"/>
        <v>158.15598371747507</v>
      </c>
      <c r="J33" s="225"/>
    </row>
    <row r="34" spans="1:10" ht="15" customHeight="1" x14ac:dyDescent="0.2">
      <c r="A34" s="182" t="s">
        <v>460</v>
      </c>
      <c r="B34" s="182" t="s">
        <v>178</v>
      </c>
      <c r="C34" s="182">
        <v>24</v>
      </c>
      <c r="D34" s="117" t="s">
        <v>461</v>
      </c>
      <c r="E34" s="177" t="s">
        <v>411</v>
      </c>
      <c r="F34" s="269">
        <v>5</v>
      </c>
      <c r="G34" s="224">
        <v>21.52</v>
      </c>
      <c r="H34" s="262">
        <f t="shared" si="0"/>
        <v>24.538693364095629</v>
      </c>
      <c r="I34" s="119">
        <f t="shared" si="1"/>
        <v>122.69346682047814</v>
      </c>
      <c r="J34" s="225"/>
    </row>
    <row r="35" spans="1:10" ht="15" customHeight="1" x14ac:dyDescent="0.2">
      <c r="A35" s="182" t="s">
        <v>462</v>
      </c>
      <c r="B35" s="121" t="s">
        <v>178</v>
      </c>
      <c r="C35" s="182">
        <v>6209</v>
      </c>
      <c r="D35" s="117" t="s">
        <v>463</v>
      </c>
      <c r="E35" s="177" t="s">
        <v>411</v>
      </c>
      <c r="F35" s="118">
        <v>2</v>
      </c>
      <c r="G35" s="224">
        <v>319.91000000000003</v>
      </c>
      <c r="H35" s="262">
        <f t="shared" si="0"/>
        <v>364.7850090198807</v>
      </c>
      <c r="I35" s="119">
        <f t="shared" si="1"/>
        <v>729.57001803976141</v>
      </c>
      <c r="J35" s="225"/>
    </row>
    <row r="36" spans="1:10" ht="15" customHeight="1" x14ac:dyDescent="0.2">
      <c r="A36" s="182" t="s">
        <v>464</v>
      </c>
      <c r="B36" s="121" t="s">
        <v>178</v>
      </c>
      <c r="C36" s="182">
        <v>70581</v>
      </c>
      <c r="D36" s="117" t="s">
        <v>465</v>
      </c>
      <c r="E36" s="177" t="s">
        <v>411</v>
      </c>
      <c r="F36" s="118">
        <v>2</v>
      </c>
      <c r="G36" s="224">
        <v>616.79999999999995</v>
      </c>
      <c r="H36" s="262">
        <f t="shared" si="0"/>
        <v>703.32091389285233</v>
      </c>
      <c r="I36" s="119">
        <f t="shared" si="1"/>
        <v>1406.6418277857047</v>
      </c>
      <c r="J36" s="225"/>
    </row>
    <row r="37" spans="1:10" ht="15" customHeight="1" x14ac:dyDescent="0.2">
      <c r="A37" s="182" t="s">
        <v>466</v>
      </c>
      <c r="B37" s="121" t="s">
        <v>178</v>
      </c>
      <c r="C37" s="182">
        <v>15513</v>
      </c>
      <c r="D37" s="117" t="s">
        <v>467</v>
      </c>
      <c r="E37" s="177" t="s">
        <v>411</v>
      </c>
      <c r="F37" s="118">
        <v>2</v>
      </c>
      <c r="G37" s="224">
        <v>161.41</v>
      </c>
      <c r="H37" s="262">
        <f t="shared" si="0"/>
        <v>184.05160296926931</v>
      </c>
      <c r="I37" s="119">
        <f t="shared" si="1"/>
        <v>368.10320593853862</v>
      </c>
      <c r="J37" s="225"/>
    </row>
    <row r="38" spans="1:10" ht="15" customHeight="1" x14ac:dyDescent="0.2">
      <c r="A38" s="182" t="s">
        <v>468</v>
      </c>
      <c r="B38" s="121" t="s">
        <v>178</v>
      </c>
      <c r="C38" s="182">
        <v>65208</v>
      </c>
      <c r="D38" s="117" t="s">
        <v>469</v>
      </c>
      <c r="E38" s="177" t="s">
        <v>411</v>
      </c>
      <c r="F38" s="118">
        <v>2</v>
      </c>
      <c r="G38" s="224">
        <v>118.66</v>
      </c>
      <c r="H38" s="262">
        <f t="shared" si="0"/>
        <v>135.30489565908863</v>
      </c>
      <c r="I38" s="119">
        <f t="shared" si="1"/>
        <v>270.60979131817726</v>
      </c>
      <c r="J38" s="225"/>
    </row>
    <row r="39" spans="1:10" ht="15" customHeight="1" x14ac:dyDescent="0.2">
      <c r="A39" s="182" t="s">
        <v>470</v>
      </c>
      <c r="B39" s="121" t="s">
        <v>178</v>
      </c>
      <c r="C39" s="182">
        <v>65209</v>
      </c>
      <c r="D39" s="117" t="s">
        <v>471</v>
      </c>
      <c r="E39" s="177" t="s">
        <v>411</v>
      </c>
      <c r="F39" s="118">
        <v>2</v>
      </c>
      <c r="G39" s="224">
        <v>697.18</v>
      </c>
      <c r="H39" s="262">
        <f t="shared" si="0"/>
        <v>794.97612637454415</v>
      </c>
      <c r="I39" s="119">
        <f t="shared" si="1"/>
        <v>1589.9522527490883</v>
      </c>
      <c r="J39" s="225"/>
    </row>
    <row r="40" spans="1:10" ht="15" customHeight="1" x14ac:dyDescent="0.2">
      <c r="A40" s="182" t="s">
        <v>472</v>
      </c>
      <c r="B40" s="182" t="s">
        <v>178</v>
      </c>
      <c r="C40" s="182">
        <v>13129</v>
      </c>
      <c r="D40" s="117" t="s">
        <v>473</v>
      </c>
      <c r="E40" s="177" t="s">
        <v>411</v>
      </c>
      <c r="F40" s="269">
        <v>5</v>
      </c>
      <c r="G40" s="224">
        <v>16.899999999999999</v>
      </c>
      <c r="H40" s="262">
        <f t="shared" si="0"/>
        <v>19.270628153030486</v>
      </c>
      <c r="I40" s="119">
        <f t="shared" si="1"/>
        <v>96.353140765152432</v>
      </c>
      <c r="J40" s="225"/>
    </row>
    <row r="41" spans="1:10" ht="15" customHeight="1" x14ac:dyDescent="0.2">
      <c r="A41" s="182" t="s">
        <v>474</v>
      </c>
      <c r="B41" s="182" t="s">
        <v>178</v>
      </c>
      <c r="C41" s="182">
        <v>13124</v>
      </c>
      <c r="D41" s="117" t="s">
        <v>475</v>
      </c>
      <c r="E41" s="177" t="s">
        <v>411</v>
      </c>
      <c r="F41" s="269">
        <v>5</v>
      </c>
      <c r="G41" s="224">
        <v>5.9</v>
      </c>
      <c r="H41" s="262">
        <f t="shared" si="0"/>
        <v>6.7276157457325381</v>
      </c>
      <c r="I41" s="119">
        <f t="shared" si="1"/>
        <v>33.638078728662691</v>
      </c>
      <c r="J41" s="225"/>
    </row>
    <row r="42" spans="1:10" ht="15" customHeight="1" x14ac:dyDescent="0.2">
      <c r="A42" s="182" t="s">
        <v>476</v>
      </c>
      <c r="B42" s="182" t="s">
        <v>178</v>
      </c>
      <c r="C42" s="182">
        <v>13126</v>
      </c>
      <c r="D42" s="117" t="s">
        <v>477</v>
      </c>
      <c r="E42" s="177" t="s">
        <v>411</v>
      </c>
      <c r="F42" s="269">
        <v>5</v>
      </c>
      <c r="G42" s="224">
        <v>33.9</v>
      </c>
      <c r="H42" s="262">
        <f t="shared" si="0"/>
        <v>38.655283691581865</v>
      </c>
      <c r="I42" s="119">
        <f t="shared" si="1"/>
        <v>193.27641845790933</v>
      </c>
      <c r="J42" s="225"/>
    </row>
    <row r="43" spans="1:10" ht="15" customHeight="1" x14ac:dyDescent="0.2">
      <c r="A43" s="182" t="s">
        <v>478</v>
      </c>
      <c r="B43" s="182" t="s">
        <v>178</v>
      </c>
      <c r="C43" s="182">
        <v>4130</v>
      </c>
      <c r="D43" s="177" t="s">
        <v>479</v>
      </c>
      <c r="E43" s="177" t="s">
        <v>411</v>
      </c>
      <c r="F43" s="118">
        <v>4</v>
      </c>
      <c r="G43" s="224">
        <v>39.590000000000003</v>
      </c>
      <c r="H43" s="262">
        <f t="shared" si="0"/>
        <v>45.143441927720538</v>
      </c>
      <c r="I43" s="119">
        <f t="shared" si="1"/>
        <v>180.57376771088215</v>
      </c>
      <c r="J43" s="225"/>
    </row>
    <row r="44" spans="1:10" ht="15" customHeight="1" x14ac:dyDescent="0.2">
      <c r="A44" s="182" t="s">
        <v>480</v>
      </c>
      <c r="B44" s="182" t="s">
        <v>178</v>
      </c>
      <c r="C44" s="182">
        <v>46121</v>
      </c>
      <c r="D44" s="117" t="s">
        <v>481</v>
      </c>
      <c r="E44" s="177" t="s">
        <v>411</v>
      </c>
      <c r="F44" s="118">
        <v>2</v>
      </c>
      <c r="G44" s="224">
        <v>9.9</v>
      </c>
      <c r="H44" s="262">
        <f t="shared" si="0"/>
        <v>11.288711166568156</v>
      </c>
      <c r="I44" s="119">
        <f t="shared" si="1"/>
        <v>22.577422333136312</v>
      </c>
      <c r="J44" s="225"/>
    </row>
    <row r="45" spans="1:10" ht="15" customHeight="1" x14ac:dyDescent="0.2">
      <c r="A45" s="182" t="s">
        <v>482</v>
      </c>
      <c r="B45" s="182" t="s">
        <v>178</v>
      </c>
      <c r="C45" s="182">
        <v>36991</v>
      </c>
      <c r="D45" s="117" t="s">
        <v>483</v>
      </c>
      <c r="E45" s="177" t="s">
        <v>411</v>
      </c>
      <c r="F45" s="269">
        <v>3</v>
      </c>
      <c r="G45" s="224">
        <v>52.9</v>
      </c>
      <c r="H45" s="262">
        <f t="shared" si="0"/>
        <v>60.320486940551056</v>
      </c>
      <c r="I45" s="119">
        <f t="shared" si="1"/>
        <v>180.96146082165316</v>
      </c>
      <c r="J45" s="225"/>
    </row>
    <row r="46" spans="1:10" ht="15" customHeight="1" x14ac:dyDescent="0.2">
      <c r="A46" s="182" t="s">
        <v>484</v>
      </c>
      <c r="B46" s="182" t="s">
        <v>178</v>
      </c>
      <c r="C46" s="182">
        <v>12764</v>
      </c>
      <c r="D46" s="117" t="s">
        <v>485</v>
      </c>
      <c r="E46" s="177" t="s">
        <v>411</v>
      </c>
      <c r="F46" s="269">
        <v>3</v>
      </c>
      <c r="G46" s="224">
        <v>64.989999999999995</v>
      </c>
      <c r="H46" s="262">
        <f t="shared" si="0"/>
        <v>74.10639785002671</v>
      </c>
      <c r="I46" s="119">
        <f t="shared" si="1"/>
        <v>222.31919355008012</v>
      </c>
      <c r="J46" s="225"/>
    </row>
    <row r="47" spans="1:10" ht="15" customHeight="1" x14ac:dyDescent="0.2">
      <c r="A47" s="182" t="s">
        <v>486</v>
      </c>
      <c r="B47" s="182" t="s">
        <v>178</v>
      </c>
      <c r="C47" s="182">
        <v>26</v>
      </c>
      <c r="D47" s="117" t="s">
        <v>487</v>
      </c>
      <c r="E47" s="177" t="s">
        <v>411</v>
      </c>
      <c r="F47" s="269">
        <v>5</v>
      </c>
      <c r="G47" s="224">
        <v>24.9</v>
      </c>
      <c r="H47" s="262">
        <f t="shared" si="0"/>
        <v>28.392818994701724</v>
      </c>
      <c r="I47" s="119">
        <f t="shared" si="1"/>
        <v>141.96409497350862</v>
      </c>
      <c r="J47" s="225"/>
    </row>
    <row r="48" spans="1:10" ht="15" customHeight="1" x14ac:dyDescent="0.2">
      <c r="A48" s="182" t="s">
        <v>488</v>
      </c>
      <c r="B48" s="182" t="s">
        <v>178</v>
      </c>
      <c r="C48" s="182">
        <v>4127</v>
      </c>
      <c r="D48" s="117" t="s">
        <v>489</v>
      </c>
      <c r="E48" s="177" t="s">
        <v>411</v>
      </c>
      <c r="F48" s="269">
        <v>3</v>
      </c>
      <c r="G48" s="224">
        <v>15.81</v>
      </c>
      <c r="H48" s="262">
        <f t="shared" si="0"/>
        <v>18.027729650852784</v>
      </c>
      <c r="I48" s="119">
        <f t="shared" si="1"/>
        <v>54.083188952558352</v>
      </c>
      <c r="J48" s="225"/>
    </row>
    <row r="49" spans="1:10" ht="15" customHeight="1" x14ac:dyDescent="0.2">
      <c r="A49" s="182" t="s">
        <v>490</v>
      </c>
      <c r="B49" s="182" t="s">
        <v>178</v>
      </c>
      <c r="C49" s="182">
        <v>12757</v>
      </c>
      <c r="D49" s="117" t="s">
        <v>491</v>
      </c>
      <c r="E49" s="177" t="s">
        <v>411</v>
      </c>
      <c r="F49" s="118">
        <v>2</v>
      </c>
      <c r="G49" s="224">
        <v>77.3</v>
      </c>
      <c r="H49" s="262">
        <f t="shared" si="0"/>
        <v>88.143169007648325</v>
      </c>
      <c r="I49" s="119">
        <f t="shared" si="1"/>
        <v>176.28633801529665</v>
      </c>
      <c r="J49" s="225"/>
    </row>
    <row r="50" spans="1:10" ht="15" customHeight="1" x14ac:dyDescent="0.2">
      <c r="A50" s="182" t="s">
        <v>492</v>
      </c>
      <c r="B50" s="182" t="s">
        <v>178</v>
      </c>
      <c r="C50" s="182">
        <v>33019</v>
      </c>
      <c r="D50" s="117" t="s">
        <v>493</v>
      </c>
      <c r="E50" s="177" t="s">
        <v>411</v>
      </c>
      <c r="F50" s="118">
        <v>4</v>
      </c>
      <c r="G50" s="224">
        <v>23.38</v>
      </c>
      <c r="H50" s="262">
        <f t="shared" si="0"/>
        <v>26.65960273478419</v>
      </c>
      <c r="I50" s="119">
        <f t="shared" si="1"/>
        <v>106.63841093913676</v>
      </c>
      <c r="J50" s="225"/>
    </row>
    <row r="51" spans="1:10" ht="15" customHeight="1" x14ac:dyDescent="0.2">
      <c r="A51" s="182" t="s">
        <v>494</v>
      </c>
      <c r="B51" s="182" t="s">
        <v>178</v>
      </c>
      <c r="C51" s="182">
        <v>2559</v>
      </c>
      <c r="D51" s="117" t="s">
        <v>495</v>
      </c>
      <c r="E51" s="177" t="s">
        <v>411</v>
      </c>
      <c r="F51" s="118">
        <v>4</v>
      </c>
      <c r="G51" s="224">
        <v>77.5</v>
      </c>
      <c r="H51" s="262">
        <f t="shared" si="0"/>
        <v>88.371223778690108</v>
      </c>
      <c r="I51" s="119">
        <f t="shared" si="1"/>
        <v>353.48489511476043</v>
      </c>
      <c r="J51" s="225"/>
    </row>
    <row r="52" spans="1:10" ht="15" customHeight="1" x14ac:dyDescent="0.2">
      <c r="A52" s="182" t="s">
        <v>496</v>
      </c>
      <c r="B52" s="121" t="s">
        <v>178</v>
      </c>
      <c r="C52" s="182">
        <v>37128</v>
      </c>
      <c r="D52" s="117" t="s">
        <v>497</v>
      </c>
      <c r="E52" s="177" t="s">
        <v>411</v>
      </c>
      <c r="F52" s="118">
        <v>8</v>
      </c>
      <c r="G52" s="224">
        <v>34.020000000000003</v>
      </c>
      <c r="H52" s="262">
        <f t="shared" si="0"/>
        <v>38.792116554206942</v>
      </c>
      <c r="I52" s="119">
        <f t="shared" si="1"/>
        <v>310.33693243365553</v>
      </c>
      <c r="J52" s="225"/>
    </row>
    <row r="53" spans="1:10" ht="15" customHeight="1" x14ac:dyDescent="0.2">
      <c r="A53" s="182" t="s">
        <v>498</v>
      </c>
      <c r="B53" s="121" t="s">
        <v>178</v>
      </c>
      <c r="C53" s="182">
        <v>7818</v>
      </c>
      <c r="D53" s="117" t="s">
        <v>499</v>
      </c>
      <c r="E53" s="177" t="s">
        <v>411</v>
      </c>
      <c r="F53" s="118">
        <v>4</v>
      </c>
      <c r="G53" s="224">
        <v>109.99</v>
      </c>
      <c r="H53" s="262">
        <f t="shared" si="0"/>
        <v>125.41872133442742</v>
      </c>
      <c r="I53" s="119">
        <f t="shared" si="1"/>
        <v>501.67488533770967</v>
      </c>
      <c r="J53" s="225"/>
    </row>
    <row r="54" spans="1:10" ht="15" customHeight="1" x14ac:dyDescent="0.2">
      <c r="A54" s="182" t="s">
        <v>500</v>
      </c>
      <c r="B54" s="182" t="s">
        <v>501</v>
      </c>
      <c r="C54" s="182">
        <v>1</v>
      </c>
      <c r="D54" s="117" t="s">
        <v>502</v>
      </c>
      <c r="E54" s="177" t="s">
        <v>411</v>
      </c>
      <c r="F54" s="269">
        <v>5</v>
      </c>
      <c r="G54" s="224">
        <v>61</v>
      </c>
      <c r="H54" s="262">
        <f t="shared" si="0"/>
        <v>69.556705167743189</v>
      </c>
      <c r="I54" s="119">
        <f t="shared" si="1"/>
        <v>347.78352583871595</v>
      </c>
      <c r="J54" s="225"/>
    </row>
    <row r="55" spans="1:10" ht="15" customHeight="1" x14ac:dyDescent="0.2">
      <c r="A55" s="182" t="s">
        <v>503</v>
      </c>
      <c r="B55" s="182" t="s">
        <v>501</v>
      </c>
      <c r="C55" s="182">
        <v>2</v>
      </c>
      <c r="D55" s="117" t="s">
        <v>504</v>
      </c>
      <c r="E55" s="177" t="s">
        <v>411</v>
      </c>
      <c r="F55" s="269">
        <v>5</v>
      </c>
      <c r="G55" s="224">
        <v>53.99</v>
      </c>
      <c r="H55" s="262">
        <f t="shared" si="0"/>
        <v>61.563385442728766</v>
      </c>
      <c r="I55" s="119">
        <f t="shared" si="1"/>
        <v>307.81692721364385</v>
      </c>
      <c r="J55" s="225"/>
    </row>
    <row r="56" spans="1:10" ht="15" customHeight="1" x14ac:dyDescent="0.2">
      <c r="A56" s="182" t="s">
        <v>505</v>
      </c>
      <c r="B56" s="182" t="s">
        <v>501</v>
      </c>
      <c r="C56" s="182">
        <v>3</v>
      </c>
      <c r="D56" s="117" t="s">
        <v>506</v>
      </c>
      <c r="E56" s="177" t="s">
        <v>411</v>
      </c>
      <c r="F56" s="269">
        <v>9</v>
      </c>
      <c r="G56" s="224">
        <v>32.68</v>
      </c>
      <c r="H56" s="262">
        <f t="shared" si="0"/>
        <v>37.264149588227006</v>
      </c>
      <c r="I56" s="119">
        <f t="shared" si="1"/>
        <v>335.37734629404304</v>
      </c>
      <c r="J56" s="225"/>
    </row>
    <row r="57" spans="1:10" ht="15" customHeight="1" x14ac:dyDescent="0.2">
      <c r="A57" s="182" t="s">
        <v>507</v>
      </c>
      <c r="B57" s="182" t="s">
        <v>501</v>
      </c>
      <c r="C57" s="182">
        <v>4</v>
      </c>
      <c r="D57" s="117" t="s">
        <v>508</v>
      </c>
      <c r="E57" s="177" t="s">
        <v>411</v>
      </c>
      <c r="F57" s="269">
        <v>5</v>
      </c>
      <c r="G57" s="224">
        <v>34.950000000000003</v>
      </c>
      <c r="H57" s="262">
        <f t="shared" si="0"/>
        <v>39.852571239551224</v>
      </c>
      <c r="I57" s="119">
        <f t="shared" si="1"/>
        <v>199.26285619775612</v>
      </c>
      <c r="J57" s="225"/>
    </row>
    <row r="58" spans="1:10" ht="15" customHeight="1" x14ac:dyDescent="0.2">
      <c r="A58" s="182" t="s">
        <v>509</v>
      </c>
      <c r="B58" s="182" t="s">
        <v>501</v>
      </c>
      <c r="C58" s="182">
        <v>5</v>
      </c>
      <c r="D58" s="117" t="s">
        <v>510</v>
      </c>
      <c r="E58" s="177" t="s">
        <v>411</v>
      </c>
      <c r="F58" s="269">
        <v>3</v>
      </c>
      <c r="G58" s="224">
        <v>46.75</v>
      </c>
      <c r="H58" s="262">
        <f t="shared" si="0"/>
        <v>53.307802731016295</v>
      </c>
      <c r="I58" s="119">
        <f t="shared" si="1"/>
        <v>159.92340819304889</v>
      </c>
      <c r="J58" s="225"/>
    </row>
    <row r="59" spans="1:10" ht="15" customHeight="1" x14ac:dyDescent="0.2">
      <c r="A59" s="182" t="s">
        <v>511</v>
      </c>
      <c r="B59" s="182" t="s">
        <v>501</v>
      </c>
      <c r="C59" s="182">
        <v>6</v>
      </c>
      <c r="D59" s="117" t="s">
        <v>512</v>
      </c>
      <c r="E59" s="177" t="s">
        <v>411</v>
      </c>
      <c r="F59" s="269">
        <v>5</v>
      </c>
      <c r="G59" s="224">
        <v>54.35</v>
      </c>
      <c r="H59" s="262">
        <f t="shared" si="0"/>
        <v>61.973884030603969</v>
      </c>
      <c r="I59" s="119">
        <f t="shared" si="1"/>
        <v>309.86942015301986</v>
      </c>
      <c r="J59" s="225"/>
    </row>
    <row r="60" spans="1:10" ht="15" customHeight="1" x14ac:dyDescent="0.2">
      <c r="A60" s="182" t="s">
        <v>513</v>
      </c>
      <c r="B60" s="182" t="s">
        <v>501</v>
      </c>
      <c r="C60" s="182">
        <v>7</v>
      </c>
      <c r="D60" s="117" t="s">
        <v>514</v>
      </c>
      <c r="E60" s="177" t="s">
        <v>411</v>
      </c>
      <c r="F60" s="269">
        <v>5</v>
      </c>
      <c r="G60" s="224">
        <v>21.9</v>
      </c>
      <c r="H60" s="262">
        <f t="shared" si="0"/>
        <v>24.97199742907501</v>
      </c>
      <c r="I60" s="119">
        <f t="shared" si="1"/>
        <v>124.85998714537504</v>
      </c>
      <c r="J60" s="225"/>
    </row>
    <row r="61" spans="1:10" ht="15" customHeight="1" x14ac:dyDescent="0.2">
      <c r="A61" s="182" t="s">
        <v>515</v>
      </c>
      <c r="B61" s="182" t="s">
        <v>501</v>
      </c>
      <c r="C61" s="182">
        <v>8</v>
      </c>
      <c r="D61" s="117" t="s">
        <v>516</v>
      </c>
      <c r="E61" s="177" t="s">
        <v>411</v>
      </c>
      <c r="F61" s="269">
        <v>5</v>
      </c>
      <c r="G61" s="224">
        <v>56.49</v>
      </c>
      <c r="H61" s="262">
        <f t="shared" si="0"/>
        <v>64.414070080751031</v>
      </c>
      <c r="I61" s="119">
        <f t="shared" si="1"/>
        <v>322.07035040375513</v>
      </c>
      <c r="J61" s="225"/>
    </row>
    <row r="62" spans="1:10" ht="15" customHeight="1" x14ac:dyDescent="0.2">
      <c r="A62" s="182" t="s">
        <v>517</v>
      </c>
      <c r="B62" s="182" t="s">
        <v>501</v>
      </c>
      <c r="C62" s="182">
        <v>9</v>
      </c>
      <c r="D62" s="117" t="s">
        <v>518</v>
      </c>
      <c r="E62" s="177" t="s">
        <v>411</v>
      </c>
      <c r="F62" s="118">
        <v>2</v>
      </c>
      <c r="G62" s="224">
        <v>38.200000000000003</v>
      </c>
      <c r="H62" s="262">
        <f t="shared" si="0"/>
        <v>43.55846126898016</v>
      </c>
      <c r="I62" s="119">
        <f t="shared" si="1"/>
        <v>87.11692253796032</v>
      </c>
      <c r="J62" s="225"/>
    </row>
    <row r="63" spans="1:10" ht="15" customHeight="1" x14ac:dyDescent="0.2">
      <c r="A63" s="182" t="s">
        <v>519</v>
      </c>
      <c r="B63" s="182" t="s">
        <v>501</v>
      </c>
      <c r="C63" s="182">
        <v>10</v>
      </c>
      <c r="D63" s="117" t="s">
        <v>520</v>
      </c>
      <c r="E63" s="177" t="s">
        <v>411</v>
      </c>
      <c r="F63" s="269">
        <v>5</v>
      </c>
      <c r="G63" s="224">
        <v>22.77</v>
      </c>
      <c r="H63" s="262">
        <f t="shared" si="0"/>
        <v>25.964035683106758</v>
      </c>
      <c r="I63" s="119">
        <f t="shared" si="1"/>
        <v>129.8201784155338</v>
      </c>
      <c r="J63" s="225"/>
    </row>
    <row r="64" spans="1:10" ht="15" customHeight="1" x14ac:dyDescent="0.2">
      <c r="A64" s="182" t="s">
        <v>521</v>
      </c>
      <c r="B64" s="182" t="s">
        <v>501</v>
      </c>
      <c r="C64" s="182">
        <v>11</v>
      </c>
      <c r="D64" s="117" t="s">
        <v>522</v>
      </c>
      <c r="E64" s="177" t="s">
        <v>411</v>
      </c>
      <c r="F64" s="269">
        <v>5</v>
      </c>
      <c r="G64" s="224">
        <v>75.88</v>
      </c>
      <c r="H64" s="262">
        <f t="shared" si="0"/>
        <v>86.523980133251683</v>
      </c>
      <c r="I64" s="119">
        <f t="shared" si="1"/>
        <v>432.61990066625845</v>
      </c>
      <c r="J64" s="225"/>
    </row>
    <row r="65" spans="1:254" ht="15" customHeight="1" x14ac:dyDescent="0.2">
      <c r="A65" s="182" t="s">
        <v>523</v>
      </c>
      <c r="B65" s="182" t="s">
        <v>501</v>
      </c>
      <c r="C65" s="182">
        <v>12</v>
      </c>
      <c r="D65" s="117" t="s">
        <v>524</v>
      </c>
      <c r="E65" s="177" t="s">
        <v>411</v>
      </c>
      <c r="F65" s="118">
        <v>4</v>
      </c>
      <c r="G65" s="166">
        <v>13.5</v>
      </c>
      <c r="H65" s="262">
        <f t="shared" si="0"/>
        <v>15.393697045320213</v>
      </c>
      <c r="I65" s="119">
        <f t="shared" si="1"/>
        <v>61.574788181280852</v>
      </c>
      <c r="J65" s="225"/>
    </row>
    <row r="66" spans="1:254" ht="15" customHeight="1" x14ac:dyDescent="0.2">
      <c r="A66" s="182" t="s">
        <v>525</v>
      </c>
      <c r="B66" s="182" t="s">
        <v>501</v>
      </c>
      <c r="C66" s="182">
        <v>13</v>
      </c>
      <c r="D66" s="117" t="s">
        <v>526</v>
      </c>
      <c r="E66" s="177" t="s">
        <v>411</v>
      </c>
      <c r="F66" s="269">
        <v>5</v>
      </c>
      <c r="G66" s="167">
        <v>8.6300000000000008</v>
      </c>
      <c r="H66" s="262">
        <f t="shared" si="0"/>
        <v>9.8405633704528483</v>
      </c>
      <c r="I66" s="119">
        <f t="shared" si="1"/>
        <v>49.202816852264242</v>
      </c>
      <c r="J66" s="225"/>
    </row>
    <row r="67" spans="1:254" ht="15" customHeight="1" x14ac:dyDescent="0.2">
      <c r="A67" s="182" t="s">
        <v>527</v>
      </c>
      <c r="B67" s="182" t="s">
        <v>501</v>
      </c>
      <c r="C67" s="182">
        <v>14</v>
      </c>
      <c r="D67" s="117" t="s">
        <v>528</v>
      </c>
      <c r="E67" s="177" t="s">
        <v>411</v>
      </c>
      <c r="F67" s="118">
        <v>8</v>
      </c>
      <c r="G67" s="166">
        <v>96</v>
      </c>
      <c r="H67" s="262">
        <f t="shared" si="0"/>
        <v>109.46629010005485</v>
      </c>
      <c r="I67" s="119">
        <f t="shared" si="1"/>
        <v>875.73032080043879</v>
      </c>
      <c r="J67" s="225"/>
    </row>
    <row r="68" spans="1:254" ht="15" customHeight="1" x14ac:dyDescent="0.2">
      <c r="A68" s="182" t="s">
        <v>529</v>
      </c>
      <c r="B68" s="182" t="s">
        <v>501</v>
      </c>
      <c r="C68" s="182">
        <v>15</v>
      </c>
      <c r="D68" s="117" t="s">
        <v>530</v>
      </c>
      <c r="E68" s="177" t="s">
        <v>411</v>
      </c>
      <c r="F68" s="269">
        <v>5</v>
      </c>
      <c r="G68" s="166">
        <v>26</v>
      </c>
      <c r="H68" s="262">
        <f t="shared" si="0"/>
        <v>29.647120235431522</v>
      </c>
      <c r="I68" s="119">
        <f t="shared" si="1"/>
        <v>148.2356011771576</v>
      </c>
      <c r="J68" s="225"/>
    </row>
    <row r="69" spans="1:254" ht="14.25" x14ac:dyDescent="0.2">
      <c r="A69" s="182" t="s">
        <v>531</v>
      </c>
      <c r="B69" s="121" t="s">
        <v>501</v>
      </c>
      <c r="C69" s="182">
        <v>16</v>
      </c>
      <c r="D69" s="120" t="s">
        <v>532</v>
      </c>
      <c r="E69" s="177" t="s">
        <v>411</v>
      </c>
      <c r="F69" s="269">
        <v>3</v>
      </c>
      <c r="G69" s="166">
        <v>219.9</v>
      </c>
      <c r="H69" s="262">
        <f t="shared" si="0"/>
        <v>250.74622076043815</v>
      </c>
      <c r="I69" s="119">
        <f t="shared" si="1"/>
        <v>752.23866228131442</v>
      </c>
      <c r="J69" s="225"/>
    </row>
    <row r="70" spans="1:254" ht="15" customHeight="1" x14ac:dyDescent="0.2">
      <c r="A70" s="182" t="s">
        <v>533</v>
      </c>
      <c r="B70" s="121" t="s">
        <v>501</v>
      </c>
      <c r="C70" s="182">
        <v>17</v>
      </c>
      <c r="D70" s="177" t="s">
        <v>534</v>
      </c>
      <c r="E70" s="177" t="s">
        <v>411</v>
      </c>
      <c r="F70" s="269">
        <v>5</v>
      </c>
      <c r="G70" s="166">
        <v>27.62</v>
      </c>
      <c r="H70" s="262">
        <f t="shared" ref="H70:H74" si="2">G70*$G$92</f>
        <v>31.494363880869948</v>
      </c>
      <c r="I70" s="119">
        <f t="shared" ref="I70:I74" si="3">H70*F70</f>
        <v>157.47181940434973</v>
      </c>
      <c r="J70" s="225"/>
    </row>
    <row r="71" spans="1:254" ht="15" customHeight="1" x14ac:dyDescent="0.2">
      <c r="A71" s="182" t="s">
        <v>535</v>
      </c>
      <c r="B71" s="121" t="s">
        <v>501</v>
      </c>
      <c r="C71" s="182">
        <v>18</v>
      </c>
      <c r="D71" s="177" t="s">
        <v>536</v>
      </c>
      <c r="E71" s="177" t="s">
        <v>411</v>
      </c>
      <c r="F71" s="269">
        <v>5</v>
      </c>
      <c r="G71" s="166">
        <v>112.3</v>
      </c>
      <c r="H71" s="262">
        <f t="shared" si="2"/>
        <v>128.05275393995998</v>
      </c>
      <c r="I71" s="119">
        <f t="shared" si="3"/>
        <v>640.26376969979992</v>
      </c>
      <c r="J71" s="225"/>
    </row>
    <row r="72" spans="1:254" ht="15" customHeight="1" x14ac:dyDescent="0.2">
      <c r="A72" s="182" t="s">
        <v>537</v>
      </c>
      <c r="B72" s="182" t="s">
        <v>501</v>
      </c>
      <c r="C72" s="182">
        <v>19</v>
      </c>
      <c r="D72" s="117" t="s">
        <v>538</v>
      </c>
      <c r="E72" s="177" t="s">
        <v>411</v>
      </c>
      <c r="F72" s="118">
        <v>2</v>
      </c>
      <c r="G72" s="166">
        <v>1099.99</v>
      </c>
      <c r="H72" s="262">
        <f t="shared" si="2"/>
        <v>1254.2898379912431</v>
      </c>
      <c r="I72" s="119">
        <f t="shared" si="3"/>
        <v>2508.5796759824862</v>
      </c>
      <c r="J72" s="225"/>
    </row>
    <row r="73" spans="1:254" ht="15" customHeight="1" x14ac:dyDescent="0.2">
      <c r="A73" s="182" t="s">
        <v>539</v>
      </c>
      <c r="B73" s="182" t="s">
        <v>501</v>
      </c>
      <c r="C73" s="182">
        <v>20</v>
      </c>
      <c r="D73" s="117" t="s">
        <v>540</v>
      </c>
      <c r="E73" s="177" t="s">
        <v>411</v>
      </c>
      <c r="F73" s="118">
        <v>2</v>
      </c>
      <c r="G73" s="166">
        <v>8.9700000000000006</v>
      </c>
      <c r="H73" s="262">
        <f t="shared" si="2"/>
        <v>10.228256481223875</v>
      </c>
      <c r="I73" s="119">
        <f t="shared" si="3"/>
        <v>20.45651296244775</v>
      </c>
      <c r="J73" s="225"/>
    </row>
    <row r="74" spans="1:254" ht="15" customHeight="1" x14ac:dyDescent="0.2">
      <c r="A74" s="182" t="s">
        <v>541</v>
      </c>
      <c r="B74" s="182" t="s">
        <v>501</v>
      </c>
      <c r="C74" s="182">
        <v>21</v>
      </c>
      <c r="D74" s="117" t="s">
        <v>542</v>
      </c>
      <c r="E74" s="177" t="s">
        <v>411</v>
      </c>
      <c r="F74" s="269">
        <v>3</v>
      </c>
      <c r="G74" s="166">
        <v>38</v>
      </c>
      <c r="H74" s="262">
        <f t="shared" si="2"/>
        <v>43.330406497938377</v>
      </c>
      <c r="I74" s="119">
        <f t="shared" si="3"/>
        <v>129.99121949381512</v>
      </c>
      <c r="J74" s="225"/>
    </row>
    <row r="75" spans="1:254" s="111" customFormat="1" x14ac:dyDescent="0.2">
      <c r="A75" s="338"/>
      <c r="B75" s="338"/>
      <c r="C75" s="338"/>
      <c r="D75" s="338"/>
      <c r="E75" s="338"/>
      <c r="F75" s="338"/>
      <c r="G75" s="338"/>
      <c r="H75" s="338"/>
      <c r="I75" s="338"/>
      <c r="J75" s="338"/>
      <c r="IF75" s="112"/>
      <c r="IG75" s="112"/>
      <c r="IH75" s="112"/>
      <c r="II75" s="112"/>
      <c r="IJ75" s="112"/>
      <c r="IK75" s="112"/>
      <c r="IL75" s="112"/>
      <c r="IM75" s="112"/>
      <c r="IN75" s="112"/>
      <c r="IO75" s="112"/>
      <c r="IP75" s="112"/>
      <c r="IQ75" s="112"/>
      <c r="IR75" s="112"/>
      <c r="IS75" s="112"/>
      <c r="IT75" s="112"/>
    </row>
    <row r="76" spans="1:254" s="111" customFormat="1" x14ac:dyDescent="0.2">
      <c r="A76" s="339"/>
      <c r="B76" s="339"/>
      <c r="C76" s="339"/>
      <c r="D76" s="339"/>
      <c r="E76" s="339"/>
      <c r="F76" s="339"/>
      <c r="G76" s="339"/>
      <c r="H76" s="339"/>
      <c r="I76" s="339"/>
      <c r="J76" s="339"/>
      <c r="IF76" s="112"/>
      <c r="IG76" s="112"/>
      <c r="IH76" s="112"/>
      <c r="II76" s="112"/>
      <c r="IJ76" s="112"/>
      <c r="IK76" s="112"/>
      <c r="IL76" s="112"/>
      <c r="IM76" s="112"/>
      <c r="IN76" s="112"/>
      <c r="IO76" s="112"/>
      <c r="IP76" s="112"/>
      <c r="IQ76" s="112"/>
      <c r="IR76" s="112"/>
      <c r="IS76" s="112"/>
      <c r="IT76" s="112"/>
    </row>
    <row r="77" spans="1:254" s="111" customFormat="1" ht="15" x14ac:dyDescent="0.2">
      <c r="A77" s="114">
        <v>2</v>
      </c>
      <c r="B77" s="340" t="s">
        <v>543</v>
      </c>
      <c r="C77" s="340"/>
      <c r="D77" s="340"/>
      <c r="E77" s="226"/>
      <c r="F77" s="226"/>
      <c r="G77" s="227">
        <f>I78+I79</f>
        <v>522.76448473010294</v>
      </c>
      <c r="H77" s="227"/>
      <c r="I77" s="227"/>
      <c r="J77" s="114" t="s">
        <v>213</v>
      </c>
      <c r="IF77" s="112"/>
      <c r="IG77" s="112"/>
      <c r="IH77" s="112"/>
      <c r="II77" s="112"/>
      <c r="IJ77" s="112"/>
      <c r="IK77" s="112"/>
      <c r="IL77" s="112"/>
      <c r="IM77" s="112"/>
      <c r="IN77" s="112"/>
      <c r="IO77" s="112"/>
      <c r="IP77" s="112"/>
      <c r="IQ77" s="112"/>
      <c r="IR77" s="112"/>
      <c r="IS77" s="112"/>
      <c r="IT77" s="112"/>
    </row>
    <row r="78" spans="1:254" s="111" customFormat="1" ht="42" customHeight="1" x14ac:dyDescent="0.2">
      <c r="A78" s="182" t="s">
        <v>206</v>
      </c>
      <c r="B78" s="341" t="s">
        <v>544</v>
      </c>
      <c r="C78" s="341"/>
      <c r="D78" s="341"/>
      <c r="E78" s="182" t="s">
        <v>213</v>
      </c>
      <c r="F78" s="164">
        <v>5.0000000000000001E-3</v>
      </c>
      <c r="G78" s="228">
        <f>J4</f>
        <v>24090.529250235159</v>
      </c>
      <c r="H78" s="228"/>
      <c r="I78" s="228">
        <f>F78*G78</f>
        <v>120.45264625117579</v>
      </c>
      <c r="J78" s="164">
        <f>I78/G77</f>
        <v>0.2304147465437788</v>
      </c>
      <c r="IF78" s="112"/>
      <c r="IG78" s="112"/>
      <c r="IH78" s="112"/>
      <c r="II78" s="112"/>
      <c r="IJ78" s="112"/>
      <c r="IK78" s="112"/>
      <c r="IL78" s="112"/>
      <c r="IM78" s="112"/>
      <c r="IN78" s="112"/>
      <c r="IO78" s="112"/>
      <c r="IP78" s="112"/>
      <c r="IQ78" s="112"/>
      <c r="IR78" s="112"/>
      <c r="IS78" s="112"/>
      <c r="IT78" s="112"/>
    </row>
    <row r="79" spans="1:254" s="111" customFormat="1" ht="30.2" customHeight="1" x14ac:dyDescent="0.2">
      <c r="A79" s="182" t="s">
        <v>208</v>
      </c>
      <c r="B79" s="341" t="s">
        <v>545</v>
      </c>
      <c r="C79" s="341"/>
      <c r="D79" s="341"/>
      <c r="E79" s="182" t="s">
        <v>213</v>
      </c>
      <c r="F79" s="164">
        <v>1.67E-2</v>
      </c>
      <c r="G79" s="228">
        <f>J4</f>
        <v>24090.529250235159</v>
      </c>
      <c r="H79" s="228"/>
      <c r="I79" s="228">
        <f>F79*G79</f>
        <v>402.31183847892714</v>
      </c>
      <c r="J79" s="164">
        <f>I79/G77</f>
        <v>0.7695852534562212</v>
      </c>
      <c r="IF79" s="112"/>
      <c r="IG79" s="112"/>
      <c r="IH79" s="112"/>
      <c r="II79" s="112"/>
      <c r="IJ79" s="112"/>
      <c r="IK79" s="112"/>
      <c r="IL79" s="112"/>
      <c r="IM79" s="112"/>
      <c r="IN79" s="112"/>
      <c r="IO79" s="112"/>
      <c r="IP79" s="112"/>
      <c r="IQ79" s="112"/>
      <c r="IR79" s="112"/>
      <c r="IS79" s="112"/>
      <c r="IT79" s="112"/>
    </row>
    <row r="81" spans="6:9" ht="25.5" x14ac:dyDescent="0.2">
      <c r="F81" s="248" t="s">
        <v>1034</v>
      </c>
      <c r="G81" s="12"/>
      <c r="H81" s="12"/>
      <c r="I81" s="12"/>
    </row>
    <row r="82" spans="6:9" x14ac:dyDescent="0.2">
      <c r="F82" s="12"/>
      <c r="G82" s="12"/>
      <c r="H82" s="12"/>
      <c r="I82" s="12"/>
    </row>
    <row r="83" spans="6:9" x14ac:dyDescent="0.2">
      <c r="F83" s="249" t="s">
        <v>1035</v>
      </c>
      <c r="G83"/>
      <c r="H83"/>
      <c r="I83"/>
    </row>
    <row r="84" spans="6:9" x14ac:dyDescent="0.2">
      <c r="F84" s="249" t="s">
        <v>1036</v>
      </c>
      <c r="G84"/>
      <c r="H84"/>
      <c r="I84"/>
    </row>
    <row r="85" spans="6:9" x14ac:dyDescent="0.2">
      <c r="F85" s="249" t="s">
        <v>1043</v>
      </c>
      <c r="G85" s="250" t="s">
        <v>1044</v>
      </c>
      <c r="H85" s="251"/>
      <c r="I85" s="251"/>
    </row>
    <row r="86" spans="6:9" ht="16.5" x14ac:dyDescent="0.3">
      <c r="F86" s="252" t="s">
        <v>1045</v>
      </c>
      <c r="G86" s="253">
        <v>1.26</v>
      </c>
      <c r="H86" s="254"/>
      <c r="I86" s="254"/>
    </row>
    <row r="87" spans="6:9" ht="16.5" x14ac:dyDescent="0.3">
      <c r="F87" s="249" t="s">
        <v>985</v>
      </c>
      <c r="G87" s="255">
        <v>3334.9659000000001</v>
      </c>
      <c r="H87" s="261"/>
      <c r="I87" t="s">
        <v>1041</v>
      </c>
    </row>
    <row r="88" spans="6:9" ht="16.5" x14ac:dyDescent="0.3">
      <c r="F88" s="249" t="s">
        <v>1037</v>
      </c>
      <c r="G88" s="255">
        <v>2924.7060999999999</v>
      </c>
      <c r="H88" s="261"/>
      <c r="I88" t="s">
        <v>1042</v>
      </c>
    </row>
    <row r="89" spans="6:9" ht="16.5" x14ac:dyDescent="0.3">
      <c r="F89" s="249"/>
      <c r="G89" s="253">
        <f>(G86*(G87-G88))/G88</f>
        <v>0.17674505756321993</v>
      </c>
      <c r="H89" s="254"/>
      <c r="I89" s="254"/>
    </row>
    <row r="90" spans="6:9" ht="16.5" x14ac:dyDescent="0.3">
      <c r="F90" s="249" t="s">
        <v>1038</v>
      </c>
      <c r="G90" s="256">
        <f>G86+G89</f>
        <v>1.4367450575632199</v>
      </c>
      <c r="H90" s="257"/>
      <c r="I90" s="257"/>
    </row>
    <row r="91" spans="6:9" ht="16.5" x14ac:dyDescent="0.3">
      <c r="F91"/>
      <c r="G91" s="258"/>
      <c r="H91" s="259"/>
      <c r="I91" s="259"/>
    </row>
    <row r="92" spans="6:9" ht="16.5" x14ac:dyDescent="0.3">
      <c r="F92"/>
      <c r="G92" s="258">
        <f>G90/G86</f>
        <v>1.1402738552089047</v>
      </c>
      <c r="H92" s="259"/>
      <c r="I92" s="259"/>
    </row>
  </sheetData>
  <mergeCells count="14">
    <mergeCell ref="A75:J75"/>
    <mergeCell ref="A76:J76"/>
    <mergeCell ref="B77:D77"/>
    <mergeCell ref="B78:D78"/>
    <mergeCell ref="B79:D79"/>
    <mergeCell ref="A1:J1"/>
    <mergeCell ref="A2:A3"/>
    <mergeCell ref="B2:B3"/>
    <mergeCell ref="C2:C3"/>
    <mergeCell ref="D2:D3"/>
    <mergeCell ref="E2:E3"/>
    <mergeCell ref="F2:F3"/>
    <mergeCell ref="G2:I2"/>
    <mergeCell ref="J2:J3"/>
  </mergeCells>
  <printOptions horizontalCentered="1"/>
  <pageMargins left="0.78740157480314965" right="0.78740157480314965" top="0.9055118110236221" bottom="0.9055118110236221" header="0.51181102362204722" footer="0.51181102362204722"/>
  <pageSetup paperSize="9" scale="44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  <pageSetUpPr fitToPage="1"/>
  </sheetPr>
  <dimension ref="A1:AMK207"/>
  <sheetViews>
    <sheetView view="pageBreakPreview" topLeftCell="B173" zoomScale="90" zoomScaleNormal="60" zoomScalePageLayoutView="90" workbookViewId="0">
      <selection activeCell="G194" sqref="G194"/>
    </sheetView>
  </sheetViews>
  <sheetFormatPr defaultRowHeight="12.75" x14ac:dyDescent="0.2"/>
  <cols>
    <col min="1" max="2" width="7.42578125" style="123" customWidth="1"/>
    <col min="3" max="3" width="8.140625" style="123" customWidth="1"/>
    <col min="4" max="4" width="155.28515625" style="123" customWidth="1"/>
    <col min="5" max="5" width="9.42578125" style="124" customWidth="1"/>
    <col min="6" max="6" width="11.7109375" style="124" customWidth="1"/>
    <col min="7" max="7" width="11.7109375" style="123" customWidth="1"/>
    <col min="8" max="230" width="8.85546875" style="123" customWidth="1"/>
    <col min="231" max="1025" width="8.85546875" style="125" customWidth="1"/>
  </cols>
  <sheetData>
    <row r="1" spans="1:251" ht="20.25" customHeight="1" x14ac:dyDescent="0.2">
      <c r="A1" s="342" t="s">
        <v>546</v>
      </c>
      <c r="B1" s="342"/>
      <c r="C1" s="342"/>
      <c r="D1" s="342"/>
      <c r="E1" s="342"/>
      <c r="F1" s="342"/>
    </row>
    <row r="2" spans="1:251" ht="45" x14ac:dyDescent="0.2">
      <c r="A2" s="62" t="s">
        <v>2</v>
      </c>
      <c r="B2" s="62" t="s">
        <v>176</v>
      </c>
      <c r="C2" s="62" t="s">
        <v>177</v>
      </c>
      <c r="D2" s="3" t="s">
        <v>3</v>
      </c>
      <c r="E2" s="3" t="s">
        <v>4</v>
      </c>
      <c r="F2" s="3" t="s">
        <v>6</v>
      </c>
      <c r="G2" s="247" t="s">
        <v>1039</v>
      </c>
    </row>
    <row r="3" spans="1:251" ht="15" x14ac:dyDescent="0.2">
      <c r="A3" s="4">
        <v>1</v>
      </c>
      <c r="B3" s="4"/>
      <c r="C3" s="4"/>
      <c r="D3" s="126" t="s">
        <v>547</v>
      </c>
      <c r="E3" s="127"/>
      <c r="F3" s="128"/>
    </row>
    <row r="4" spans="1:251" s="123" customFormat="1" ht="14.25" x14ac:dyDescent="0.2">
      <c r="A4" s="129" t="s">
        <v>181</v>
      </c>
      <c r="B4" s="130" t="s">
        <v>178</v>
      </c>
      <c r="C4" s="7">
        <v>20866</v>
      </c>
      <c r="D4" s="131" t="s">
        <v>548</v>
      </c>
      <c r="E4" s="7" t="s">
        <v>411</v>
      </c>
      <c r="F4" s="132">
        <v>107.9</v>
      </c>
      <c r="G4" s="263">
        <f>F4*$F$207</f>
        <v>123.03554897704082</v>
      </c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</row>
    <row r="5" spans="1:251" s="123" customFormat="1" ht="14.25" x14ac:dyDescent="0.2">
      <c r="A5" s="129" t="s">
        <v>185</v>
      </c>
      <c r="B5" s="133" t="s">
        <v>178</v>
      </c>
      <c r="C5" s="134">
        <v>12515</v>
      </c>
      <c r="D5" s="135" t="s">
        <v>549</v>
      </c>
      <c r="E5" s="7" t="s">
        <v>411</v>
      </c>
      <c r="F5" s="132">
        <v>51.9</v>
      </c>
      <c r="G5" s="263">
        <f t="shared" ref="G5:G68" si="0">F5*$F$207</f>
        <v>59.180213085342153</v>
      </c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</row>
    <row r="6" spans="1:251" s="123" customFormat="1" ht="14.25" x14ac:dyDescent="0.2">
      <c r="A6" s="129" t="s">
        <v>188</v>
      </c>
      <c r="B6" s="133" t="s">
        <v>178</v>
      </c>
      <c r="C6" s="134">
        <v>1331</v>
      </c>
      <c r="D6" s="135" t="s">
        <v>550</v>
      </c>
      <c r="E6" s="106" t="s">
        <v>551</v>
      </c>
      <c r="F6" s="132">
        <v>181.9</v>
      </c>
      <c r="G6" s="263">
        <f t="shared" si="0"/>
        <v>207.41581426249977</v>
      </c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</row>
    <row r="7" spans="1:251" s="123" customFormat="1" ht="14.25" x14ac:dyDescent="0.2">
      <c r="A7" s="129" t="s">
        <v>191</v>
      </c>
      <c r="B7" s="133" t="s">
        <v>178</v>
      </c>
      <c r="C7" s="134">
        <v>7034</v>
      </c>
      <c r="D7" s="135" t="s">
        <v>552</v>
      </c>
      <c r="E7" s="106" t="s">
        <v>551</v>
      </c>
      <c r="F7" s="132">
        <v>115.2</v>
      </c>
      <c r="G7" s="263">
        <f t="shared" si="0"/>
        <v>131.35954812006582</v>
      </c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</row>
    <row r="8" spans="1:251" s="123" customFormat="1" ht="14.25" x14ac:dyDescent="0.2">
      <c r="A8" s="129" t="s">
        <v>193</v>
      </c>
      <c r="B8" s="133" t="s">
        <v>178</v>
      </c>
      <c r="C8" s="134">
        <v>28400</v>
      </c>
      <c r="D8" s="135" t="s">
        <v>553</v>
      </c>
      <c r="E8" s="106" t="s">
        <v>551</v>
      </c>
      <c r="F8" s="132">
        <v>154</v>
      </c>
      <c r="G8" s="263">
        <f t="shared" si="0"/>
        <v>175.60217370217131</v>
      </c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</row>
    <row r="9" spans="1:251" s="123" customFormat="1" ht="14.25" x14ac:dyDescent="0.2">
      <c r="A9" s="129" t="s">
        <v>195</v>
      </c>
      <c r="B9" s="130" t="s">
        <v>178</v>
      </c>
      <c r="C9" s="106">
        <v>39007</v>
      </c>
      <c r="D9" s="136" t="s">
        <v>554</v>
      </c>
      <c r="E9" s="106" t="s">
        <v>551</v>
      </c>
      <c r="F9" s="132">
        <v>72</v>
      </c>
      <c r="G9" s="263">
        <f t="shared" si="0"/>
        <v>82.09971757504114</v>
      </c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</row>
    <row r="10" spans="1:251" s="123" customFormat="1" ht="14.25" x14ac:dyDescent="0.2">
      <c r="A10" s="129" t="s">
        <v>197</v>
      </c>
      <c r="B10" s="130" t="s">
        <v>178</v>
      </c>
      <c r="C10" s="106">
        <v>11802</v>
      </c>
      <c r="D10" s="122" t="s">
        <v>555</v>
      </c>
      <c r="E10" s="7" t="s">
        <v>290</v>
      </c>
      <c r="F10" s="132">
        <v>28.89</v>
      </c>
      <c r="G10" s="263">
        <f t="shared" si="0"/>
        <v>32.942511676985255</v>
      </c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</row>
    <row r="11" spans="1:251" s="123" customFormat="1" ht="14.25" x14ac:dyDescent="0.2">
      <c r="A11" s="129" t="s">
        <v>199</v>
      </c>
      <c r="B11" s="133" t="s">
        <v>178</v>
      </c>
      <c r="C11" s="134">
        <v>63005</v>
      </c>
      <c r="D11" s="136" t="s">
        <v>556</v>
      </c>
      <c r="E11" s="106" t="s">
        <v>551</v>
      </c>
      <c r="F11" s="132">
        <v>1.01</v>
      </c>
      <c r="G11" s="263">
        <f t="shared" si="0"/>
        <v>1.1516765937609936</v>
      </c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</row>
    <row r="12" spans="1:251" s="123" customFormat="1" ht="14.25" x14ac:dyDescent="0.2">
      <c r="A12" s="129" t="s">
        <v>201</v>
      </c>
      <c r="B12" s="133" t="s">
        <v>178</v>
      </c>
      <c r="C12" s="137">
        <v>368230</v>
      </c>
      <c r="D12" s="136" t="s">
        <v>557</v>
      </c>
      <c r="E12" s="7" t="s">
        <v>411</v>
      </c>
      <c r="F12" s="132">
        <v>43</v>
      </c>
      <c r="G12" s="263">
        <f t="shared" si="0"/>
        <v>49.031775773982901</v>
      </c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</row>
    <row r="13" spans="1:251" s="123" customFormat="1" ht="14.25" x14ac:dyDescent="0.2">
      <c r="A13" s="129" t="s">
        <v>203</v>
      </c>
      <c r="B13" s="133" t="s">
        <v>178</v>
      </c>
      <c r="C13" s="137">
        <v>368231</v>
      </c>
      <c r="D13" s="136" t="s">
        <v>558</v>
      </c>
      <c r="E13" s="7" t="s">
        <v>411</v>
      </c>
      <c r="F13" s="132">
        <v>43</v>
      </c>
      <c r="G13" s="263">
        <f t="shared" si="0"/>
        <v>49.031775773982901</v>
      </c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</row>
    <row r="14" spans="1:251" s="123" customFormat="1" ht="14.25" x14ac:dyDescent="0.2">
      <c r="A14" s="129" t="s">
        <v>421</v>
      </c>
      <c r="B14" s="130" t="s">
        <v>178</v>
      </c>
      <c r="C14" s="106">
        <v>41119</v>
      </c>
      <c r="D14" s="135" t="s">
        <v>559</v>
      </c>
      <c r="E14" s="106" t="s">
        <v>551</v>
      </c>
      <c r="F14" s="132">
        <v>85.59</v>
      </c>
      <c r="G14" s="263">
        <f t="shared" si="0"/>
        <v>97.596039267330156</v>
      </c>
    </row>
    <row r="15" spans="1:251" s="123" customFormat="1" ht="14.25" x14ac:dyDescent="0.2">
      <c r="A15" s="129" t="s">
        <v>423</v>
      </c>
      <c r="B15" s="130" t="s">
        <v>178</v>
      </c>
      <c r="C15" s="106">
        <v>70110</v>
      </c>
      <c r="D15" s="122" t="s">
        <v>560</v>
      </c>
      <c r="E15" s="106" t="s">
        <v>551</v>
      </c>
      <c r="F15" s="132">
        <v>579.79999999999995</v>
      </c>
      <c r="G15" s="263">
        <f t="shared" si="0"/>
        <v>661.13078125012282</v>
      </c>
    </row>
    <row r="16" spans="1:251" s="123" customFormat="1" ht="14.25" x14ac:dyDescent="0.2">
      <c r="A16" s="129" t="s">
        <v>425</v>
      </c>
      <c r="B16" s="130" t="s">
        <v>178</v>
      </c>
      <c r="C16" s="106">
        <v>70104</v>
      </c>
      <c r="D16" s="135" t="s">
        <v>561</v>
      </c>
      <c r="E16" s="106" t="s">
        <v>551</v>
      </c>
      <c r="F16" s="132">
        <v>387.35</v>
      </c>
      <c r="G16" s="263">
        <f t="shared" si="0"/>
        <v>441.68507781516928</v>
      </c>
    </row>
    <row r="17" spans="1:7" s="123" customFormat="1" ht="14.25" x14ac:dyDescent="0.2">
      <c r="A17" s="129" t="s">
        <v>427</v>
      </c>
      <c r="B17" s="133" t="s">
        <v>562</v>
      </c>
      <c r="C17" s="137">
        <v>10907</v>
      </c>
      <c r="D17" s="136" t="s">
        <v>563</v>
      </c>
      <c r="E17" s="7" t="s">
        <v>290</v>
      </c>
      <c r="F17" s="132">
        <v>16.55</v>
      </c>
      <c r="G17" s="263">
        <f t="shared" si="0"/>
        <v>18.871532303707372</v>
      </c>
    </row>
    <row r="18" spans="1:7" s="123" customFormat="1" ht="14.25" x14ac:dyDescent="0.2">
      <c r="A18" s="129" t="s">
        <v>429</v>
      </c>
      <c r="B18" s="133" t="s">
        <v>562</v>
      </c>
      <c r="C18" s="137">
        <v>8851</v>
      </c>
      <c r="D18" s="136" t="s">
        <v>564</v>
      </c>
      <c r="E18" s="7" t="s">
        <v>290</v>
      </c>
      <c r="F18" s="132">
        <v>33.71</v>
      </c>
      <c r="G18" s="263">
        <f t="shared" si="0"/>
        <v>38.438631659092181</v>
      </c>
    </row>
    <row r="19" spans="1:7" s="123" customFormat="1" ht="14.25" x14ac:dyDescent="0.2">
      <c r="A19" s="129" t="s">
        <v>431</v>
      </c>
      <c r="B19" s="133" t="s">
        <v>562</v>
      </c>
      <c r="C19" s="137">
        <v>10912</v>
      </c>
      <c r="D19" s="136" t="s">
        <v>565</v>
      </c>
      <c r="E19" s="7" t="s">
        <v>290</v>
      </c>
      <c r="F19" s="132">
        <v>50.47</v>
      </c>
      <c r="G19" s="263">
        <f t="shared" si="0"/>
        <v>57.549621472393419</v>
      </c>
    </row>
    <row r="20" spans="1:7" s="123" customFormat="1" ht="14.25" x14ac:dyDescent="0.2">
      <c r="A20" s="129" t="s">
        <v>434</v>
      </c>
      <c r="B20" s="133" t="s">
        <v>178</v>
      </c>
      <c r="C20" s="137">
        <v>12334</v>
      </c>
      <c r="D20" s="136" t="s">
        <v>566</v>
      </c>
      <c r="E20" s="7" t="s">
        <v>411</v>
      </c>
      <c r="F20" s="132">
        <v>300</v>
      </c>
      <c r="G20" s="263">
        <f t="shared" si="0"/>
        <v>342.0821565626714</v>
      </c>
    </row>
    <row r="21" spans="1:7" s="123" customFormat="1" ht="14.25" x14ac:dyDescent="0.2">
      <c r="A21" s="129" t="s">
        <v>436</v>
      </c>
      <c r="B21" s="133" t="s">
        <v>178</v>
      </c>
      <c r="C21" s="137">
        <v>8787</v>
      </c>
      <c r="D21" s="136" t="s">
        <v>567</v>
      </c>
      <c r="E21" s="7" t="s">
        <v>568</v>
      </c>
      <c r="F21" s="132">
        <v>60</v>
      </c>
      <c r="G21" s="263">
        <f t="shared" si="0"/>
        <v>68.416431312534286</v>
      </c>
    </row>
    <row r="22" spans="1:7" s="123" customFormat="1" ht="14.25" x14ac:dyDescent="0.2">
      <c r="A22" s="129" t="s">
        <v>438</v>
      </c>
      <c r="B22" s="133" t="s">
        <v>501</v>
      </c>
      <c r="C22" s="137">
        <v>1</v>
      </c>
      <c r="D22" s="136" t="s">
        <v>569</v>
      </c>
      <c r="E22" s="7" t="s">
        <v>411</v>
      </c>
      <c r="F22" s="132">
        <v>12</v>
      </c>
      <c r="G22" s="263">
        <f t="shared" si="0"/>
        <v>13.683286262506856</v>
      </c>
    </row>
    <row r="23" spans="1:7" s="123" customFormat="1" ht="14.25" x14ac:dyDescent="0.2">
      <c r="A23" s="129" t="s">
        <v>440</v>
      </c>
      <c r="B23" s="133" t="s">
        <v>501</v>
      </c>
      <c r="C23" s="137">
        <v>2</v>
      </c>
      <c r="D23" s="136" t="s">
        <v>570</v>
      </c>
      <c r="E23" s="7" t="s">
        <v>411</v>
      </c>
      <c r="F23" s="132">
        <v>21</v>
      </c>
      <c r="G23" s="263">
        <f t="shared" si="0"/>
        <v>23.945750959386999</v>
      </c>
    </row>
    <row r="24" spans="1:7" s="123" customFormat="1" ht="14.25" x14ac:dyDescent="0.2">
      <c r="A24" s="129" t="s">
        <v>442</v>
      </c>
      <c r="B24" s="133" t="s">
        <v>501</v>
      </c>
      <c r="C24" s="137">
        <v>3</v>
      </c>
      <c r="D24" s="136" t="s">
        <v>571</v>
      </c>
      <c r="E24" s="7" t="s">
        <v>411</v>
      </c>
      <c r="F24" s="132">
        <v>30</v>
      </c>
      <c r="G24" s="263">
        <f t="shared" si="0"/>
        <v>34.208215656267143</v>
      </c>
    </row>
    <row r="25" spans="1:7" s="123" customFormat="1" ht="15" x14ac:dyDescent="0.2">
      <c r="A25" s="4">
        <v>2</v>
      </c>
      <c r="B25" s="4"/>
      <c r="C25" s="4"/>
      <c r="D25" s="126" t="s">
        <v>572</v>
      </c>
      <c r="E25" s="127"/>
      <c r="F25" s="128"/>
      <c r="G25" s="263">
        <f t="shared" si="0"/>
        <v>0</v>
      </c>
    </row>
    <row r="26" spans="1:7" s="123" customFormat="1" ht="14.25" x14ac:dyDescent="0.2">
      <c r="A26" s="129" t="s">
        <v>206</v>
      </c>
      <c r="B26" s="138" t="s">
        <v>562</v>
      </c>
      <c r="C26" s="138">
        <v>492</v>
      </c>
      <c r="D26" s="57" t="s">
        <v>573</v>
      </c>
      <c r="E26" s="139" t="s">
        <v>290</v>
      </c>
      <c r="F26" s="132">
        <v>2</v>
      </c>
      <c r="G26" s="263">
        <f t="shared" si="0"/>
        <v>2.2805477104178093</v>
      </c>
    </row>
    <row r="27" spans="1:7" s="123" customFormat="1" ht="14.25" x14ac:dyDescent="0.2">
      <c r="A27" s="129" t="s">
        <v>208</v>
      </c>
      <c r="B27" s="138" t="s">
        <v>562</v>
      </c>
      <c r="C27" s="138">
        <v>505</v>
      </c>
      <c r="D27" s="57" t="s">
        <v>574</v>
      </c>
      <c r="E27" s="139" t="s">
        <v>290</v>
      </c>
      <c r="F27" s="132">
        <v>1.65</v>
      </c>
      <c r="G27" s="263">
        <f t="shared" si="0"/>
        <v>1.8814518610946926</v>
      </c>
    </row>
    <row r="28" spans="1:7" s="123" customFormat="1" ht="14.25" x14ac:dyDescent="0.2">
      <c r="A28" s="129" t="s">
        <v>346</v>
      </c>
      <c r="B28" s="138" t="s">
        <v>562</v>
      </c>
      <c r="C28" s="138">
        <v>506</v>
      </c>
      <c r="D28" s="140" t="s">
        <v>575</v>
      </c>
      <c r="E28" s="139" t="s">
        <v>290</v>
      </c>
      <c r="F28" s="132">
        <v>9.9499999999999993</v>
      </c>
      <c r="G28" s="263">
        <f t="shared" si="0"/>
        <v>11.3457248593286</v>
      </c>
    </row>
    <row r="29" spans="1:7" s="123" customFormat="1" ht="14.25" x14ac:dyDescent="0.2">
      <c r="A29" s="129" t="s">
        <v>576</v>
      </c>
      <c r="B29" s="138" t="s">
        <v>562</v>
      </c>
      <c r="C29" s="138">
        <v>3659</v>
      </c>
      <c r="D29" s="140" t="s">
        <v>577</v>
      </c>
      <c r="E29" s="139" t="s">
        <v>411</v>
      </c>
      <c r="F29" s="132">
        <v>1.9</v>
      </c>
      <c r="G29" s="263">
        <f t="shared" si="0"/>
        <v>2.1665203248969189</v>
      </c>
    </row>
    <row r="30" spans="1:7" s="123" customFormat="1" ht="14.25" x14ac:dyDescent="0.2">
      <c r="A30" s="129" t="s">
        <v>578</v>
      </c>
      <c r="B30" s="138" t="s">
        <v>562</v>
      </c>
      <c r="C30" s="138">
        <v>3641</v>
      </c>
      <c r="D30" s="140" t="s">
        <v>579</v>
      </c>
      <c r="E30" s="139" t="s">
        <v>411</v>
      </c>
      <c r="F30" s="132">
        <v>0.8</v>
      </c>
      <c r="G30" s="263">
        <f t="shared" si="0"/>
        <v>0.91221908416712383</v>
      </c>
    </row>
    <row r="31" spans="1:7" s="123" customFormat="1" ht="14.25" x14ac:dyDescent="0.2">
      <c r="A31" s="129" t="s">
        <v>580</v>
      </c>
      <c r="B31" s="138" t="s">
        <v>562</v>
      </c>
      <c r="C31" s="138">
        <v>3643</v>
      </c>
      <c r="D31" s="140" t="s">
        <v>581</v>
      </c>
      <c r="E31" s="139" t="s">
        <v>411</v>
      </c>
      <c r="F31" s="132">
        <v>0.6</v>
      </c>
      <c r="G31" s="263">
        <f t="shared" si="0"/>
        <v>0.68416431312534276</v>
      </c>
    </row>
    <row r="32" spans="1:7" s="123" customFormat="1" ht="14.25" x14ac:dyDescent="0.2">
      <c r="A32" s="129" t="s">
        <v>582</v>
      </c>
      <c r="B32" s="138" t="s">
        <v>562</v>
      </c>
      <c r="C32" s="138">
        <v>3642</v>
      </c>
      <c r="D32" s="140" t="s">
        <v>583</v>
      </c>
      <c r="E32" s="139" t="s">
        <v>411</v>
      </c>
      <c r="F32" s="132">
        <v>0.6</v>
      </c>
      <c r="G32" s="263">
        <f t="shared" si="0"/>
        <v>0.68416431312534276</v>
      </c>
    </row>
    <row r="33" spans="1:7" s="123" customFormat="1" ht="14.25" x14ac:dyDescent="0.2">
      <c r="A33" s="129" t="s">
        <v>584</v>
      </c>
      <c r="B33" s="138" t="s">
        <v>562</v>
      </c>
      <c r="C33" s="138">
        <v>3652</v>
      </c>
      <c r="D33" s="140" t="s">
        <v>585</v>
      </c>
      <c r="E33" s="139" t="s">
        <v>411</v>
      </c>
      <c r="F33" s="132">
        <v>0.44</v>
      </c>
      <c r="G33" s="263">
        <f t="shared" si="0"/>
        <v>0.50172049629191806</v>
      </c>
    </row>
    <row r="34" spans="1:7" s="123" customFormat="1" ht="14.25" x14ac:dyDescent="0.2">
      <c r="A34" s="129" t="s">
        <v>586</v>
      </c>
      <c r="B34" s="138" t="s">
        <v>562</v>
      </c>
      <c r="C34" s="138">
        <v>3645</v>
      </c>
      <c r="D34" s="140" t="s">
        <v>587</v>
      </c>
      <c r="E34" s="139" t="s">
        <v>411</v>
      </c>
      <c r="F34" s="132">
        <v>3.24</v>
      </c>
      <c r="G34" s="263">
        <f t="shared" si="0"/>
        <v>3.6944872908768516</v>
      </c>
    </row>
    <row r="35" spans="1:7" s="123" customFormat="1" ht="14.25" x14ac:dyDescent="0.2">
      <c r="A35" s="129" t="s">
        <v>588</v>
      </c>
      <c r="B35" s="138" t="s">
        <v>562</v>
      </c>
      <c r="C35" s="138">
        <v>3644</v>
      </c>
      <c r="D35" s="140" t="s">
        <v>589</v>
      </c>
      <c r="E35" s="139" t="s">
        <v>411</v>
      </c>
      <c r="F35" s="132">
        <v>3.24</v>
      </c>
      <c r="G35" s="263">
        <f t="shared" si="0"/>
        <v>3.6944872908768516</v>
      </c>
    </row>
    <row r="36" spans="1:7" s="123" customFormat="1" ht="14.25" x14ac:dyDescent="0.2">
      <c r="A36" s="129" t="s">
        <v>590</v>
      </c>
      <c r="B36" s="138" t="s">
        <v>562</v>
      </c>
      <c r="C36" s="138">
        <v>3655</v>
      </c>
      <c r="D36" s="140" t="s">
        <v>591</v>
      </c>
      <c r="E36" s="139" t="s">
        <v>411</v>
      </c>
      <c r="F36" s="132">
        <v>9.6999999999999993</v>
      </c>
      <c r="G36" s="263">
        <f t="shared" si="0"/>
        <v>11.060656395526374</v>
      </c>
    </row>
    <row r="37" spans="1:7" s="123" customFormat="1" ht="14.25" x14ac:dyDescent="0.2">
      <c r="A37" s="129" t="s">
        <v>592</v>
      </c>
      <c r="B37" s="138" t="s">
        <v>562</v>
      </c>
      <c r="C37" s="138">
        <v>3653</v>
      </c>
      <c r="D37" s="140" t="s">
        <v>593</v>
      </c>
      <c r="E37" s="139" t="s">
        <v>411</v>
      </c>
      <c r="F37" s="132">
        <v>2.5499999999999998</v>
      </c>
      <c r="G37" s="263">
        <f t="shared" si="0"/>
        <v>2.9076983307827069</v>
      </c>
    </row>
    <row r="38" spans="1:7" s="123" customFormat="1" ht="14.25" x14ac:dyDescent="0.2">
      <c r="A38" s="129" t="s">
        <v>594</v>
      </c>
      <c r="B38" s="138" t="s">
        <v>562</v>
      </c>
      <c r="C38" s="138">
        <v>3657</v>
      </c>
      <c r="D38" s="140" t="s">
        <v>595</v>
      </c>
      <c r="E38" s="139" t="s">
        <v>411</v>
      </c>
      <c r="F38" s="132">
        <v>2.48</v>
      </c>
      <c r="G38" s="263">
        <f t="shared" si="0"/>
        <v>2.8278791609180836</v>
      </c>
    </row>
    <row r="39" spans="1:7" s="123" customFormat="1" ht="14.25" x14ac:dyDescent="0.2">
      <c r="A39" s="129" t="s">
        <v>596</v>
      </c>
      <c r="B39" s="138" t="s">
        <v>562</v>
      </c>
      <c r="C39" s="138">
        <v>3632</v>
      </c>
      <c r="D39" s="140" t="s">
        <v>597</v>
      </c>
      <c r="E39" s="139" t="s">
        <v>411</v>
      </c>
      <c r="F39" s="132">
        <v>35</v>
      </c>
      <c r="G39" s="263">
        <f t="shared" si="0"/>
        <v>39.909584932311667</v>
      </c>
    </row>
    <row r="40" spans="1:7" s="123" customFormat="1" ht="14.25" x14ac:dyDescent="0.2">
      <c r="A40" s="129" t="s">
        <v>598</v>
      </c>
      <c r="B40" s="138" t="s">
        <v>562</v>
      </c>
      <c r="C40" s="138">
        <v>3635</v>
      </c>
      <c r="D40" s="140" t="s">
        <v>599</v>
      </c>
      <c r="E40" s="139" t="s">
        <v>411</v>
      </c>
      <c r="F40" s="132">
        <v>81.099999999999994</v>
      </c>
      <c r="G40" s="263">
        <f t="shared" si="0"/>
        <v>92.476209657442169</v>
      </c>
    </row>
    <row r="41" spans="1:7" s="123" customFormat="1" ht="14.25" x14ac:dyDescent="0.2">
      <c r="A41" s="129" t="s">
        <v>600</v>
      </c>
      <c r="B41" s="138" t="s">
        <v>562</v>
      </c>
      <c r="C41" s="138">
        <v>8311</v>
      </c>
      <c r="D41" s="140" t="s">
        <v>601</v>
      </c>
      <c r="E41" s="139" t="s">
        <v>411</v>
      </c>
      <c r="F41" s="132">
        <v>20.85</v>
      </c>
      <c r="G41" s="263">
        <f t="shared" si="0"/>
        <v>23.774709881105665</v>
      </c>
    </row>
    <row r="42" spans="1:7" s="123" customFormat="1" ht="14.25" x14ac:dyDescent="0.2">
      <c r="A42" s="129" t="s">
        <v>602</v>
      </c>
      <c r="B42" s="138" t="s">
        <v>562</v>
      </c>
      <c r="C42" s="138">
        <v>4014</v>
      </c>
      <c r="D42" s="140" t="s">
        <v>603</v>
      </c>
      <c r="E42" s="139" t="s">
        <v>411</v>
      </c>
      <c r="F42" s="132">
        <v>15.3</v>
      </c>
      <c r="G42" s="263">
        <f t="shared" si="0"/>
        <v>17.446189984696243</v>
      </c>
    </row>
    <row r="43" spans="1:7" s="123" customFormat="1" ht="14.25" x14ac:dyDescent="0.2">
      <c r="A43" s="129" t="s">
        <v>604</v>
      </c>
      <c r="B43" s="138" t="s">
        <v>562</v>
      </c>
      <c r="C43" s="138">
        <v>4018</v>
      </c>
      <c r="D43" s="140" t="s">
        <v>605</v>
      </c>
      <c r="E43" s="139" t="s">
        <v>411</v>
      </c>
      <c r="F43" s="132">
        <v>41.2</v>
      </c>
      <c r="G43" s="263">
        <f t="shared" si="0"/>
        <v>46.979282834606877</v>
      </c>
    </row>
    <row r="44" spans="1:7" s="123" customFormat="1" ht="14.25" x14ac:dyDescent="0.2">
      <c r="A44" s="129" t="s">
        <v>606</v>
      </c>
      <c r="B44" s="138" t="s">
        <v>562</v>
      </c>
      <c r="C44" s="138">
        <v>12351</v>
      </c>
      <c r="D44" s="140" t="s">
        <v>607</v>
      </c>
      <c r="E44" s="139" t="s">
        <v>411</v>
      </c>
      <c r="F44" s="132">
        <v>13.79</v>
      </c>
      <c r="G44" s="263">
        <f t="shared" si="0"/>
        <v>15.724376463330794</v>
      </c>
    </row>
    <row r="45" spans="1:7" s="123" customFormat="1" ht="14.25" x14ac:dyDescent="0.2">
      <c r="A45" s="129" t="s">
        <v>608</v>
      </c>
      <c r="B45" s="138" t="s">
        <v>562</v>
      </c>
      <c r="C45" s="138">
        <v>4217</v>
      </c>
      <c r="D45" s="140" t="s">
        <v>609</v>
      </c>
      <c r="E45" s="139" t="s">
        <v>411</v>
      </c>
      <c r="F45" s="132">
        <v>16.36</v>
      </c>
      <c r="G45" s="263">
        <f t="shared" si="0"/>
        <v>18.654880271217682</v>
      </c>
    </row>
    <row r="46" spans="1:7" s="123" customFormat="1" ht="14.25" x14ac:dyDescent="0.2">
      <c r="A46" s="129" t="s">
        <v>610</v>
      </c>
      <c r="B46" s="138" t="s">
        <v>562</v>
      </c>
      <c r="C46" s="138">
        <v>3999</v>
      </c>
      <c r="D46" s="140" t="s">
        <v>611</v>
      </c>
      <c r="E46" s="139" t="s">
        <v>411</v>
      </c>
      <c r="F46" s="132">
        <v>24.2</v>
      </c>
      <c r="G46" s="263">
        <f t="shared" si="0"/>
        <v>27.594627296055492</v>
      </c>
    </row>
    <row r="47" spans="1:7" s="123" customFormat="1" ht="14.25" x14ac:dyDescent="0.2">
      <c r="A47" s="129" t="s">
        <v>612</v>
      </c>
      <c r="B47" s="138" t="s">
        <v>562</v>
      </c>
      <c r="C47" s="138">
        <v>4011</v>
      </c>
      <c r="D47" s="140" t="s">
        <v>613</v>
      </c>
      <c r="E47" s="139" t="s">
        <v>411</v>
      </c>
      <c r="F47" s="132">
        <v>43.4</v>
      </c>
      <c r="G47" s="263">
        <f t="shared" si="0"/>
        <v>49.48788531606646</v>
      </c>
    </row>
    <row r="48" spans="1:7" s="123" customFormat="1" ht="14.25" x14ac:dyDescent="0.2">
      <c r="A48" s="129" t="s">
        <v>614</v>
      </c>
      <c r="B48" s="138" t="s">
        <v>562</v>
      </c>
      <c r="C48" s="138">
        <v>4005</v>
      </c>
      <c r="D48" s="140" t="s">
        <v>615</v>
      </c>
      <c r="E48" s="139" t="s">
        <v>411</v>
      </c>
      <c r="F48" s="132">
        <v>37</v>
      </c>
      <c r="G48" s="263">
        <f t="shared" si="0"/>
        <v>42.190132642729473</v>
      </c>
    </row>
    <row r="49" spans="1:7" s="123" customFormat="1" ht="14.25" x14ac:dyDescent="0.2">
      <c r="A49" s="129" t="s">
        <v>616</v>
      </c>
      <c r="B49" s="138" t="s">
        <v>562</v>
      </c>
      <c r="C49" s="138">
        <v>4040</v>
      </c>
      <c r="D49" s="140" t="s">
        <v>617</v>
      </c>
      <c r="E49" s="139" t="s">
        <v>411</v>
      </c>
      <c r="F49" s="132">
        <v>19</v>
      </c>
      <c r="G49" s="263">
        <f t="shared" si="0"/>
        <v>21.665203248969188</v>
      </c>
    </row>
    <row r="50" spans="1:7" s="123" customFormat="1" ht="14.25" x14ac:dyDescent="0.2">
      <c r="A50" s="129" t="s">
        <v>618</v>
      </c>
      <c r="B50" s="138" t="s">
        <v>562</v>
      </c>
      <c r="C50" s="138">
        <v>4042</v>
      </c>
      <c r="D50" s="140" t="s">
        <v>619</v>
      </c>
      <c r="E50" s="139" t="s">
        <v>411</v>
      </c>
      <c r="F50" s="132">
        <v>31.86</v>
      </c>
      <c r="G50" s="263">
        <f t="shared" si="0"/>
        <v>36.329125026955701</v>
      </c>
    </row>
    <row r="51" spans="1:7" s="123" customFormat="1" ht="14.25" x14ac:dyDescent="0.2">
      <c r="A51" s="129" t="s">
        <v>620</v>
      </c>
      <c r="B51" s="138" t="s">
        <v>562</v>
      </c>
      <c r="C51" s="138">
        <v>4049</v>
      </c>
      <c r="D51" s="140" t="s">
        <v>621</v>
      </c>
      <c r="E51" s="139" t="s">
        <v>411</v>
      </c>
      <c r="F51" s="132">
        <v>18</v>
      </c>
      <c r="G51" s="263">
        <f t="shared" si="0"/>
        <v>20.524929393760285</v>
      </c>
    </row>
    <row r="52" spans="1:7" s="123" customFormat="1" ht="14.25" x14ac:dyDescent="0.2">
      <c r="A52" s="129" t="s">
        <v>622</v>
      </c>
      <c r="B52" s="138" t="s">
        <v>562</v>
      </c>
      <c r="C52" s="138">
        <v>4051</v>
      </c>
      <c r="D52" s="140" t="s">
        <v>623</v>
      </c>
      <c r="E52" s="139" t="s">
        <v>411</v>
      </c>
      <c r="F52" s="132">
        <v>35.25</v>
      </c>
      <c r="G52" s="263">
        <f t="shared" si="0"/>
        <v>40.194653396113893</v>
      </c>
    </row>
    <row r="53" spans="1:7" s="123" customFormat="1" ht="14.25" x14ac:dyDescent="0.2">
      <c r="A53" s="129" t="s">
        <v>624</v>
      </c>
      <c r="B53" s="138" t="s">
        <v>562</v>
      </c>
      <c r="C53" s="138">
        <v>4032</v>
      </c>
      <c r="D53" s="140" t="s">
        <v>625</v>
      </c>
      <c r="E53" s="139" t="s">
        <v>411</v>
      </c>
      <c r="F53" s="132">
        <v>2.2999999999999998</v>
      </c>
      <c r="G53" s="263">
        <f t="shared" si="0"/>
        <v>2.6226298669804806</v>
      </c>
    </row>
    <row r="54" spans="1:7" s="123" customFormat="1" ht="14.25" x14ac:dyDescent="0.2">
      <c r="A54" s="129" t="s">
        <v>626</v>
      </c>
      <c r="B54" s="138" t="s">
        <v>562</v>
      </c>
      <c r="C54" s="138">
        <v>4037</v>
      </c>
      <c r="D54" s="140" t="s">
        <v>627</v>
      </c>
      <c r="E54" s="139" t="s">
        <v>411</v>
      </c>
      <c r="F54" s="132">
        <v>4.99</v>
      </c>
      <c r="G54" s="263">
        <f t="shared" si="0"/>
        <v>5.6899665374924346</v>
      </c>
    </row>
    <row r="55" spans="1:7" s="123" customFormat="1" ht="14.25" x14ac:dyDescent="0.2">
      <c r="A55" s="129" t="s">
        <v>628</v>
      </c>
      <c r="B55" s="138" t="s">
        <v>562</v>
      </c>
      <c r="C55" s="138">
        <v>6913</v>
      </c>
      <c r="D55" s="140" t="s">
        <v>629</v>
      </c>
      <c r="E55" s="139" t="s">
        <v>411</v>
      </c>
      <c r="F55" s="132">
        <v>7.85</v>
      </c>
      <c r="G55" s="263">
        <f t="shared" si="0"/>
        <v>8.9511497633899015</v>
      </c>
    </row>
    <row r="56" spans="1:7" s="123" customFormat="1" ht="14.25" x14ac:dyDescent="0.2">
      <c r="A56" s="129" t="s">
        <v>630</v>
      </c>
      <c r="B56" s="138" t="s">
        <v>562</v>
      </c>
      <c r="C56" s="138">
        <v>4107</v>
      </c>
      <c r="D56" s="140" t="s">
        <v>631</v>
      </c>
      <c r="E56" s="139" t="s">
        <v>411</v>
      </c>
      <c r="F56" s="132">
        <v>9.3000000000000007</v>
      </c>
      <c r="G56" s="263">
        <f t="shared" si="0"/>
        <v>10.604546853442814</v>
      </c>
    </row>
    <row r="57" spans="1:7" s="123" customFormat="1" ht="14.25" x14ac:dyDescent="0.2">
      <c r="A57" s="129" t="s">
        <v>632</v>
      </c>
      <c r="B57" s="138" t="s">
        <v>562</v>
      </c>
      <c r="C57" s="138">
        <v>4078</v>
      </c>
      <c r="D57" s="140" t="s">
        <v>633</v>
      </c>
      <c r="E57" s="139" t="s">
        <v>411</v>
      </c>
      <c r="F57" s="132">
        <v>16.989999999999998</v>
      </c>
      <c r="G57" s="263">
        <f t="shared" si="0"/>
        <v>19.373252799999289</v>
      </c>
    </row>
    <row r="58" spans="1:7" s="123" customFormat="1" ht="14.25" x14ac:dyDescent="0.2">
      <c r="A58" s="129" t="s">
        <v>634</v>
      </c>
      <c r="B58" s="138" t="s">
        <v>562</v>
      </c>
      <c r="C58" s="138">
        <v>4057</v>
      </c>
      <c r="D58" s="140" t="s">
        <v>635</v>
      </c>
      <c r="E58" s="139" t="s">
        <v>411</v>
      </c>
      <c r="F58" s="132">
        <v>57</v>
      </c>
      <c r="G58" s="263">
        <f t="shared" si="0"/>
        <v>64.995609746907562</v>
      </c>
    </row>
    <row r="59" spans="1:7" s="123" customFormat="1" ht="14.25" x14ac:dyDescent="0.2">
      <c r="A59" s="129" t="s">
        <v>636</v>
      </c>
      <c r="B59" s="138" t="s">
        <v>562</v>
      </c>
      <c r="C59" s="138">
        <v>4065</v>
      </c>
      <c r="D59" s="140" t="s">
        <v>637</v>
      </c>
      <c r="E59" s="139" t="s">
        <v>411</v>
      </c>
      <c r="F59" s="132">
        <v>57</v>
      </c>
      <c r="G59" s="263">
        <f t="shared" si="0"/>
        <v>64.995609746907562</v>
      </c>
    </row>
    <row r="60" spans="1:7" s="123" customFormat="1" ht="14.25" x14ac:dyDescent="0.2">
      <c r="A60" s="129" t="s">
        <v>638</v>
      </c>
      <c r="B60" s="138" t="s">
        <v>562</v>
      </c>
      <c r="C60" s="138">
        <v>3637</v>
      </c>
      <c r="D60" s="140" t="s">
        <v>639</v>
      </c>
      <c r="E60" s="139" t="s">
        <v>411</v>
      </c>
      <c r="F60" s="132">
        <v>2.5</v>
      </c>
      <c r="G60" s="263">
        <f t="shared" si="0"/>
        <v>2.8506846380222619</v>
      </c>
    </row>
    <row r="61" spans="1:7" s="123" customFormat="1" ht="14.25" x14ac:dyDescent="0.2">
      <c r="A61" s="129" t="s">
        <v>640</v>
      </c>
      <c r="B61" s="138" t="s">
        <v>562</v>
      </c>
      <c r="C61" s="138">
        <v>3640</v>
      </c>
      <c r="D61" s="140" t="s">
        <v>641</v>
      </c>
      <c r="E61" s="139" t="s">
        <v>411</v>
      </c>
      <c r="F61" s="132">
        <v>5.35</v>
      </c>
      <c r="G61" s="263">
        <f t="shared" si="0"/>
        <v>6.1004651253676396</v>
      </c>
    </row>
    <row r="62" spans="1:7" s="123" customFormat="1" ht="14.25" x14ac:dyDescent="0.2">
      <c r="A62" s="129" t="s">
        <v>642</v>
      </c>
      <c r="B62" s="138" t="s">
        <v>562</v>
      </c>
      <c r="C62" s="138">
        <v>4095</v>
      </c>
      <c r="D62" s="140" t="s">
        <v>643</v>
      </c>
      <c r="E62" s="139" t="s">
        <v>411</v>
      </c>
      <c r="F62" s="132">
        <v>15.99</v>
      </c>
      <c r="G62" s="263">
        <f t="shared" si="0"/>
        <v>18.232978944790386</v>
      </c>
    </row>
    <row r="63" spans="1:7" s="123" customFormat="1" ht="14.25" x14ac:dyDescent="0.2">
      <c r="A63" s="129" t="s">
        <v>644</v>
      </c>
      <c r="B63" s="138" t="s">
        <v>562</v>
      </c>
      <c r="C63" s="138">
        <v>12158</v>
      </c>
      <c r="D63" s="140" t="s">
        <v>645</v>
      </c>
      <c r="E63" s="139" t="s">
        <v>411</v>
      </c>
      <c r="F63" s="132">
        <v>48.28</v>
      </c>
      <c r="G63" s="263">
        <f t="shared" si="0"/>
        <v>55.052421729485921</v>
      </c>
    </row>
    <row r="64" spans="1:7" s="123" customFormat="1" ht="14.25" x14ac:dyDescent="0.2">
      <c r="A64" s="129" t="s">
        <v>646</v>
      </c>
      <c r="B64" s="138" t="s">
        <v>562</v>
      </c>
      <c r="C64" s="138">
        <v>4086</v>
      </c>
      <c r="D64" s="140" t="s">
        <v>647</v>
      </c>
      <c r="E64" s="139" t="s">
        <v>411</v>
      </c>
      <c r="F64" s="132">
        <v>22.5</v>
      </c>
      <c r="G64" s="263">
        <f t="shared" si="0"/>
        <v>25.656161742200354</v>
      </c>
    </row>
    <row r="65" spans="1:7" s="123" customFormat="1" ht="14.25" x14ac:dyDescent="0.2">
      <c r="A65" s="129" t="s">
        <v>648</v>
      </c>
      <c r="B65" s="138" t="s">
        <v>562</v>
      </c>
      <c r="C65" s="138">
        <v>12159</v>
      </c>
      <c r="D65" s="140" t="s">
        <v>649</v>
      </c>
      <c r="E65" s="139" t="s">
        <v>411</v>
      </c>
      <c r="F65" s="132">
        <v>42.56</v>
      </c>
      <c r="G65" s="263">
        <f t="shared" si="0"/>
        <v>48.530055277690984</v>
      </c>
    </row>
    <row r="66" spans="1:7" s="123" customFormat="1" ht="14.25" x14ac:dyDescent="0.2">
      <c r="A66" s="129" t="s">
        <v>650</v>
      </c>
      <c r="B66" s="138" t="s">
        <v>562</v>
      </c>
      <c r="C66" s="138">
        <v>3624</v>
      </c>
      <c r="D66" s="140" t="s">
        <v>651</v>
      </c>
      <c r="E66" s="139" t="s">
        <v>411</v>
      </c>
      <c r="F66" s="132">
        <v>55.75</v>
      </c>
      <c r="G66" s="263">
        <f t="shared" si="0"/>
        <v>63.570267427896432</v>
      </c>
    </row>
    <row r="67" spans="1:7" s="123" customFormat="1" ht="14.25" x14ac:dyDescent="0.2">
      <c r="A67" s="129" t="s">
        <v>652</v>
      </c>
      <c r="B67" s="138" t="s">
        <v>562</v>
      </c>
      <c r="C67" s="138">
        <v>12352</v>
      </c>
      <c r="D67" s="140" t="s">
        <v>653</v>
      </c>
      <c r="E67" s="139" t="s">
        <v>411</v>
      </c>
      <c r="F67" s="132">
        <v>1.75</v>
      </c>
      <c r="G67" s="263">
        <f t="shared" si="0"/>
        <v>1.9954792466155831</v>
      </c>
    </row>
    <row r="68" spans="1:7" s="123" customFormat="1" ht="14.25" x14ac:dyDescent="0.2">
      <c r="A68" s="129" t="s">
        <v>654</v>
      </c>
      <c r="B68" s="138" t="s">
        <v>562</v>
      </c>
      <c r="C68" s="138">
        <v>3630</v>
      </c>
      <c r="D68" s="140" t="s">
        <v>655</v>
      </c>
      <c r="E68" s="139" t="s">
        <v>411</v>
      </c>
      <c r="F68" s="132">
        <v>2.8</v>
      </c>
      <c r="G68" s="263">
        <f t="shared" si="0"/>
        <v>3.1927667945849327</v>
      </c>
    </row>
    <row r="69" spans="1:7" s="123" customFormat="1" ht="14.25" x14ac:dyDescent="0.2">
      <c r="A69" s="129" t="s">
        <v>656</v>
      </c>
      <c r="B69" s="138" t="s">
        <v>562</v>
      </c>
      <c r="C69" s="138">
        <v>3628</v>
      </c>
      <c r="D69" s="140" t="s">
        <v>657</v>
      </c>
      <c r="E69" s="139" t="s">
        <v>411</v>
      </c>
      <c r="F69" s="132">
        <v>3.2</v>
      </c>
      <c r="G69" s="263">
        <f t="shared" ref="G69:G132" si="1">F69*$F$207</f>
        <v>3.6488763366684953</v>
      </c>
    </row>
    <row r="70" spans="1:7" s="123" customFormat="1" ht="14.25" x14ac:dyDescent="0.2">
      <c r="A70" s="129" t="s">
        <v>658</v>
      </c>
      <c r="B70" s="138" t="s">
        <v>562</v>
      </c>
      <c r="C70" s="138">
        <v>3629</v>
      </c>
      <c r="D70" s="140" t="s">
        <v>659</v>
      </c>
      <c r="E70" s="139" t="s">
        <v>411</v>
      </c>
      <c r="F70" s="132">
        <v>4.5</v>
      </c>
      <c r="G70" s="263">
        <f t="shared" si="1"/>
        <v>5.1312323484400713</v>
      </c>
    </row>
    <row r="71" spans="1:7" s="123" customFormat="1" ht="14.25" x14ac:dyDescent="0.2">
      <c r="A71" s="129" t="s">
        <v>660</v>
      </c>
      <c r="B71" s="138" t="s">
        <v>562</v>
      </c>
      <c r="C71" s="138">
        <v>3631</v>
      </c>
      <c r="D71" s="140" t="s">
        <v>661</v>
      </c>
      <c r="E71" s="139" t="s">
        <v>411</v>
      </c>
      <c r="F71" s="132">
        <v>1.8</v>
      </c>
      <c r="G71" s="263">
        <f t="shared" si="1"/>
        <v>2.0524929393760285</v>
      </c>
    </row>
    <row r="72" spans="1:7" s="123" customFormat="1" ht="14.25" x14ac:dyDescent="0.2">
      <c r="A72" s="129" t="s">
        <v>662</v>
      </c>
      <c r="B72" s="138" t="s">
        <v>562</v>
      </c>
      <c r="C72" s="138">
        <v>10046</v>
      </c>
      <c r="D72" s="140" t="s">
        <v>663</v>
      </c>
      <c r="E72" s="139" t="s">
        <v>411</v>
      </c>
      <c r="F72" s="132">
        <v>3.18</v>
      </c>
      <c r="G72" s="263">
        <f t="shared" si="1"/>
        <v>3.626070859564317</v>
      </c>
    </row>
    <row r="73" spans="1:7" s="123" customFormat="1" ht="14.25" x14ac:dyDescent="0.2">
      <c r="A73" s="129" t="s">
        <v>664</v>
      </c>
      <c r="B73" s="138" t="s">
        <v>562</v>
      </c>
      <c r="C73" s="138">
        <v>13378</v>
      </c>
      <c r="D73" s="140" t="s">
        <v>665</v>
      </c>
      <c r="E73" s="139" t="s">
        <v>411</v>
      </c>
      <c r="F73" s="132">
        <v>2.1</v>
      </c>
      <c r="G73" s="263">
        <f t="shared" si="1"/>
        <v>2.3945750959386998</v>
      </c>
    </row>
    <row r="74" spans="1:7" s="123" customFormat="1" ht="14.25" x14ac:dyDescent="0.2">
      <c r="A74" s="129" t="s">
        <v>666</v>
      </c>
      <c r="B74" s="138" t="s">
        <v>562</v>
      </c>
      <c r="C74" s="138">
        <v>3625</v>
      </c>
      <c r="D74" s="140" t="s">
        <v>667</v>
      </c>
      <c r="E74" s="139" t="s">
        <v>411</v>
      </c>
      <c r="F74" s="132">
        <v>1.65</v>
      </c>
      <c r="G74" s="263">
        <f t="shared" si="1"/>
        <v>1.8814518610946926</v>
      </c>
    </row>
    <row r="75" spans="1:7" s="123" customFormat="1" ht="14.25" x14ac:dyDescent="0.2">
      <c r="A75" s="129" t="s">
        <v>668</v>
      </c>
      <c r="B75" s="138" t="s">
        <v>562</v>
      </c>
      <c r="C75" s="138">
        <v>3626</v>
      </c>
      <c r="D75" s="140" t="s">
        <v>669</v>
      </c>
      <c r="E75" s="139" t="s">
        <v>411</v>
      </c>
      <c r="F75" s="132">
        <v>2.2999999999999998</v>
      </c>
      <c r="G75" s="263">
        <f t="shared" si="1"/>
        <v>2.6226298669804806</v>
      </c>
    </row>
    <row r="76" spans="1:7" s="123" customFormat="1" ht="14.25" x14ac:dyDescent="0.2">
      <c r="A76" s="129" t="s">
        <v>670</v>
      </c>
      <c r="B76" s="138" t="s">
        <v>562</v>
      </c>
      <c r="C76" s="138">
        <v>13369</v>
      </c>
      <c r="D76" s="140" t="s">
        <v>671</v>
      </c>
      <c r="E76" s="139" t="s">
        <v>411</v>
      </c>
      <c r="F76" s="132">
        <v>17</v>
      </c>
      <c r="G76" s="263">
        <f t="shared" si="1"/>
        <v>19.384655538551378</v>
      </c>
    </row>
    <row r="77" spans="1:7" s="123" customFormat="1" ht="14.25" x14ac:dyDescent="0.2">
      <c r="A77" s="129" t="s">
        <v>672</v>
      </c>
      <c r="B77" s="138" t="s">
        <v>562</v>
      </c>
      <c r="C77" s="138">
        <v>9860</v>
      </c>
      <c r="D77" s="140" t="s">
        <v>673</v>
      </c>
      <c r="E77" s="139" t="s">
        <v>290</v>
      </c>
      <c r="F77" s="132">
        <v>6.31</v>
      </c>
      <c r="G77" s="263">
        <f t="shared" si="1"/>
        <v>7.195128026368188</v>
      </c>
    </row>
    <row r="78" spans="1:7" s="123" customFormat="1" ht="14.25" x14ac:dyDescent="0.2">
      <c r="A78" s="129" t="s">
        <v>674</v>
      </c>
      <c r="B78" s="138" t="s">
        <v>501</v>
      </c>
      <c r="C78" s="138">
        <v>4</v>
      </c>
      <c r="D78" s="140" t="s">
        <v>675</v>
      </c>
      <c r="E78" s="139" t="s">
        <v>411</v>
      </c>
      <c r="F78" s="132">
        <v>54.9</v>
      </c>
      <c r="G78" s="263">
        <f t="shared" si="1"/>
        <v>62.601034650968863</v>
      </c>
    </row>
    <row r="79" spans="1:7" s="123" customFormat="1" ht="14.25" x14ac:dyDescent="0.2">
      <c r="A79" s="129" t="s">
        <v>676</v>
      </c>
      <c r="B79" s="138" t="s">
        <v>501</v>
      </c>
      <c r="C79" s="138">
        <v>5</v>
      </c>
      <c r="D79" s="140" t="s">
        <v>677</v>
      </c>
      <c r="E79" s="139" t="s">
        <v>411</v>
      </c>
      <c r="F79" s="132">
        <v>77.62</v>
      </c>
      <c r="G79" s="263">
        <f t="shared" si="1"/>
        <v>88.508056641315193</v>
      </c>
    </row>
    <row r="80" spans="1:7" s="123" customFormat="1" ht="14.25" x14ac:dyDescent="0.2">
      <c r="A80" s="129" t="s">
        <v>678</v>
      </c>
      <c r="B80" s="138" t="s">
        <v>562</v>
      </c>
      <c r="C80" s="138">
        <v>4885</v>
      </c>
      <c r="D80" s="140" t="s">
        <v>679</v>
      </c>
      <c r="E80" s="139" t="s">
        <v>411</v>
      </c>
      <c r="F80" s="132">
        <v>19.079999999999998</v>
      </c>
      <c r="G80" s="263">
        <f t="shared" si="1"/>
        <v>21.756425157385898</v>
      </c>
    </row>
    <row r="81" spans="1:7" s="123" customFormat="1" ht="14.25" x14ac:dyDescent="0.2">
      <c r="A81" s="129" t="s">
        <v>680</v>
      </c>
      <c r="B81" s="138" t="s">
        <v>562</v>
      </c>
      <c r="C81" s="138">
        <v>1969</v>
      </c>
      <c r="D81" s="140" t="s">
        <v>681</v>
      </c>
      <c r="E81" s="139" t="s">
        <v>411</v>
      </c>
      <c r="F81" s="132">
        <v>19.5</v>
      </c>
      <c r="G81" s="263">
        <f t="shared" si="1"/>
        <v>22.23534017657364</v>
      </c>
    </row>
    <row r="82" spans="1:7" s="123" customFormat="1" ht="14.25" x14ac:dyDescent="0.2">
      <c r="A82" s="129" t="s">
        <v>682</v>
      </c>
      <c r="B82" s="138" t="s">
        <v>178</v>
      </c>
      <c r="C82" s="138">
        <v>1566</v>
      </c>
      <c r="D82" s="140" t="s">
        <v>683</v>
      </c>
      <c r="E82" s="139" t="s">
        <v>290</v>
      </c>
      <c r="F82" s="132">
        <v>17.18</v>
      </c>
      <c r="G82" s="263">
        <f t="shared" si="1"/>
        <v>19.589904832488983</v>
      </c>
    </row>
    <row r="83" spans="1:7" s="123" customFormat="1" ht="14.25" x14ac:dyDescent="0.2">
      <c r="A83" s="129" t="s">
        <v>684</v>
      </c>
      <c r="B83" s="138" t="s">
        <v>178</v>
      </c>
      <c r="C83" s="138">
        <v>1567</v>
      </c>
      <c r="D83" s="140" t="s">
        <v>685</v>
      </c>
      <c r="E83" s="139" t="s">
        <v>290</v>
      </c>
      <c r="F83" s="132">
        <v>25.03</v>
      </c>
      <c r="G83" s="263">
        <f t="shared" si="1"/>
        <v>28.541054595878887</v>
      </c>
    </row>
    <row r="84" spans="1:7" s="123" customFormat="1" ht="14.25" x14ac:dyDescent="0.2">
      <c r="A84" s="129" t="s">
        <v>686</v>
      </c>
      <c r="B84" s="138" t="s">
        <v>178</v>
      </c>
      <c r="C84" s="138">
        <v>5073</v>
      </c>
      <c r="D84" s="140" t="s">
        <v>687</v>
      </c>
      <c r="E84" s="139" t="s">
        <v>290</v>
      </c>
      <c r="F84" s="132">
        <v>33.04</v>
      </c>
      <c r="G84" s="263">
        <f t="shared" si="1"/>
        <v>37.67464817610221</v>
      </c>
    </row>
    <row r="85" spans="1:7" s="123" customFormat="1" ht="14.25" x14ac:dyDescent="0.2">
      <c r="A85" s="129" t="s">
        <v>688</v>
      </c>
      <c r="B85" s="138" t="s">
        <v>178</v>
      </c>
      <c r="C85" s="138">
        <v>5219</v>
      </c>
      <c r="D85" s="140" t="s">
        <v>689</v>
      </c>
      <c r="E85" s="139" t="s">
        <v>290</v>
      </c>
      <c r="F85" s="132">
        <v>39.83</v>
      </c>
      <c r="G85" s="263">
        <f t="shared" si="1"/>
        <v>45.417107652970671</v>
      </c>
    </row>
    <row r="86" spans="1:7" s="123" customFormat="1" ht="14.25" x14ac:dyDescent="0.2">
      <c r="A86" s="129" t="s">
        <v>690</v>
      </c>
      <c r="B86" s="138" t="s">
        <v>178</v>
      </c>
      <c r="C86" s="138">
        <v>4048</v>
      </c>
      <c r="D86" s="140" t="s">
        <v>691</v>
      </c>
      <c r="E86" s="139" t="s">
        <v>290</v>
      </c>
      <c r="F86" s="132">
        <v>45.99</v>
      </c>
      <c r="G86" s="263">
        <f t="shared" si="1"/>
        <v>52.441194601057525</v>
      </c>
    </row>
    <row r="87" spans="1:7" s="123" customFormat="1" ht="14.25" x14ac:dyDescent="0.2">
      <c r="A87" s="129" t="s">
        <v>692</v>
      </c>
      <c r="B87" s="138" t="s">
        <v>178</v>
      </c>
      <c r="C87" s="138">
        <v>1035</v>
      </c>
      <c r="D87" s="140" t="s">
        <v>693</v>
      </c>
      <c r="E87" s="139" t="s">
        <v>290</v>
      </c>
      <c r="F87" s="132">
        <v>59.66</v>
      </c>
      <c r="G87" s="263">
        <f t="shared" si="1"/>
        <v>68.028738201763247</v>
      </c>
    </row>
    <row r="88" spans="1:7" s="123" customFormat="1" ht="14.25" x14ac:dyDescent="0.2">
      <c r="A88" s="129" t="s">
        <v>694</v>
      </c>
      <c r="B88" s="138" t="s">
        <v>178</v>
      </c>
      <c r="C88" s="138">
        <v>517</v>
      </c>
      <c r="D88" s="140" t="s">
        <v>695</v>
      </c>
      <c r="E88" s="139" t="s">
        <v>290</v>
      </c>
      <c r="F88" s="132">
        <v>83.75</v>
      </c>
      <c r="G88" s="263">
        <f t="shared" si="1"/>
        <v>95.497935373745761</v>
      </c>
    </row>
    <row r="89" spans="1:7" s="123" customFormat="1" ht="14.25" x14ac:dyDescent="0.2">
      <c r="A89" s="129" t="s">
        <v>696</v>
      </c>
      <c r="B89" s="138" t="s">
        <v>178</v>
      </c>
      <c r="C89" s="138">
        <v>515</v>
      </c>
      <c r="D89" s="140" t="s">
        <v>697</v>
      </c>
      <c r="E89" s="139" t="s">
        <v>290</v>
      </c>
      <c r="F89" s="132">
        <v>101.25</v>
      </c>
      <c r="G89" s="263">
        <f t="shared" si="1"/>
        <v>115.4527278399016</v>
      </c>
    </row>
    <row r="90" spans="1:7" s="123" customFormat="1" ht="14.25" x14ac:dyDescent="0.2">
      <c r="A90" s="129" t="s">
        <v>698</v>
      </c>
      <c r="B90" s="138" t="s">
        <v>501</v>
      </c>
      <c r="C90" s="138">
        <v>6</v>
      </c>
      <c r="D90" s="140" t="s">
        <v>699</v>
      </c>
      <c r="E90" s="138" t="s">
        <v>411</v>
      </c>
      <c r="F90" s="132">
        <v>21.9</v>
      </c>
      <c r="G90" s="263">
        <f t="shared" si="1"/>
        <v>24.97199742907501</v>
      </c>
    </row>
    <row r="91" spans="1:7" s="123" customFormat="1" ht="14.25" x14ac:dyDescent="0.2">
      <c r="A91" s="129" t="s">
        <v>700</v>
      </c>
      <c r="B91" s="138" t="s">
        <v>501</v>
      </c>
      <c r="C91" s="138">
        <v>7</v>
      </c>
      <c r="D91" s="140" t="s">
        <v>701</v>
      </c>
      <c r="E91" s="138" t="s">
        <v>411</v>
      </c>
      <c r="F91" s="132">
        <v>22.9</v>
      </c>
      <c r="G91" s="263">
        <f t="shared" si="1"/>
        <v>26.112271284283917</v>
      </c>
    </row>
    <row r="92" spans="1:7" s="123" customFormat="1" ht="14.25" x14ac:dyDescent="0.2">
      <c r="A92" s="129" t="s">
        <v>702</v>
      </c>
      <c r="B92" s="138" t="s">
        <v>703</v>
      </c>
      <c r="C92" s="138">
        <v>48004</v>
      </c>
      <c r="D92" s="57" t="s">
        <v>704</v>
      </c>
      <c r="E92" s="139" t="s">
        <v>411</v>
      </c>
      <c r="F92" s="132">
        <v>119.79</v>
      </c>
      <c r="G92" s="263">
        <f t="shared" si="1"/>
        <v>136.5934051154747</v>
      </c>
    </row>
    <row r="93" spans="1:7" s="123" customFormat="1" ht="14.25" x14ac:dyDescent="0.2">
      <c r="A93" s="129" t="s">
        <v>705</v>
      </c>
      <c r="B93" s="138" t="s">
        <v>703</v>
      </c>
      <c r="C93" s="138">
        <v>48784</v>
      </c>
      <c r="D93" s="57" t="s">
        <v>706</v>
      </c>
      <c r="E93" s="139" t="s">
        <v>411</v>
      </c>
      <c r="F93" s="132">
        <v>147.66</v>
      </c>
      <c r="G93" s="263">
        <f t="shared" si="1"/>
        <v>168.37283746014685</v>
      </c>
    </row>
    <row r="94" spans="1:7" s="123" customFormat="1" ht="14.25" x14ac:dyDescent="0.2">
      <c r="A94" s="129" t="s">
        <v>707</v>
      </c>
      <c r="B94" s="138" t="s">
        <v>703</v>
      </c>
      <c r="C94" s="138">
        <v>48038</v>
      </c>
      <c r="D94" s="57" t="s">
        <v>708</v>
      </c>
      <c r="E94" s="139" t="s">
        <v>411</v>
      </c>
      <c r="F94" s="132">
        <v>11.14</v>
      </c>
      <c r="G94" s="263">
        <f t="shared" si="1"/>
        <v>12.702650747027199</v>
      </c>
    </row>
    <row r="95" spans="1:7" s="123" customFormat="1" ht="14.25" x14ac:dyDescent="0.2">
      <c r="A95" s="129" t="s">
        <v>709</v>
      </c>
      <c r="B95" s="138" t="s">
        <v>703</v>
      </c>
      <c r="C95" s="138">
        <v>39515</v>
      </c>
      <c r="D95" s="57" t="s">
        <v>710</v>
      </c>
      <c r="E95" s="139" t="s">
        <v>411</v>
      </c>
      <c r="F95" s="132">
        <v>8.2100000000000009</v>
      </c>
      <c r="G95" s="263">
        <f t="shared" si="1"/>
        <v>9.3616483512651083</v>
      </c>
    </row>
    <row r="96" spans="1:7" s="123" customFormat="1" ht="14.25" x14ac:dyDescent="0.2">
      <c r="A96" s="129" t="s">
        <v>711</v>
      </c>
      <c r="B96" s="138" t="s">
        <v>703</v>
      </c>
      <c r="C96" s="138">
        <v>48064</v>
      </c>
      <c r="D96" s="57" t="s">
        <v>712</v>
      </c>
      <c r="E96" s="139" t="s">
        <v>411</v>
      </c>
      <c r="F96" s="132">
        <v>12.46</v>
      </c>
      <c r="G96" s="263">
        <f t="shared" si="1"/>
        <v>14.207812235902953</v>
      </c>
    </row>
    <row r="97" spans="1:7" s="123" customFormat="1" ht="14.25" x14ac:dyDescent="0.2">
      <c r="A97" s="129" t="s">
        <v>713</v>
      </c>
      <c r="B97" s="138" t="s">
        <v>703</v>
      </c>
      <c r="C97" s="138">
        <v>48120</v>
      </c>
      <c r="D97" s="57" t="s">
        <v>714</v>
      </c>
      <c r="E97" s="139" t="s">
        <v>411</v>
      </c>
      <c r="F97" s="132">
        <v>8.32</v>
      </c>
      <c r="G97" s="263">
        <f t="shared" si="1"/>
        <v>9.4870784753380875</v>
      </c>
    </row>
    <row r="98" spans="1:7" s="123" customFormat="1" ht="14.25" x14ac:dyDescent="0.2">
      <c r="A98" s="129" t="s">
        <v>715</v>
      </c>
      <c r="B98" s="138" t="s">
        <v>562</v>
      </c>
      <c r="C98" s="138">
        <v>6659</v>
      </c>
      <c r="D98" s="57" t="s">
        <v>716</v>
      </c>
      <c r="E98" s="139" t="s">
        <v>411</v>
      </c>
      <c r="F98" s="132">
        <v>36.270000000000003</v>
      </c>
      <c r="G98" s="263">
        <f t="shared" si="1"/>
        <v>41.357732728426974</v>
      </c>
    </row>
    <row r="99" spans="1:7" s="123" customFormat="1" ht="14.25" x14ac:dyDescent="0.2">
      <c r="A99" s="129" t="s">
        <v>717</v>
      </c>
      <c r="B99" s="138" t="s">
        <v>703</v>
      </c>
      <c r="C99" s="138">
        <v>48070</v>
      </c>
      <c r="D99" s="57" t="s">
        <v>718</v>
      </c>
      <c r="E99" s="139" t="s">
        <v>411</v>
      </c>
      <c r="F99" s="132">
        <v>1.1200000000000001</v>
      </c>
      <c r="G99" s="263">
        <f t="shared" si="1"/>
        <v>1.2771067178339734</v>
      </c>
    </row>
    <row r="100" spans="1:7" s="123" customFormat="1" ht="14.25" x14ac:dyDescent="0.2">
      <c r="A100" s="129" t="s">
        <v>719</v>
      </c>
      <c r="B100" s="138" t="s">
        <v>703</v>
      </c>
      <c r="C100" s="138">
        <v>48067</v>
      </c>
      <c r="D100" s="57" t="s">
        <v>720</v>
      </c>
      <c r="E100" s="139" t="s">
        <v>411</v>
      </c>
      <c r="F100" s="132">
        <v>1.53</v>
      </c>
      <c r="G100" s="263">
        <f t="shared" si="1"/>
        <v>1.7446189984696241</v>
      </c>
    </row>
    <row r="101" spans="1:7" s="123" customFormat="1" ht="14.25" x14ac:dyDescent="0.2">
      <c r="A101" s="129" t="s">
        <v>721</v>
      </c>
      <c r="B101" s="138" t="s">
        <v>703</v>
      </c>
      <c r="C101" s="138">
        <v>29094</v>
      </c>
      <c r="D101" s="57" t="s">
        <v>722</v>
      </c>
      <c r="E101" s="139" t="s">
        <v>411</v>
      </c>
      <c r="F101" s="132">
        <v>19.440000000000001</v>
      </c>
      <c r="G101" s="263">
        <f t="shared" si="1"/>
        <v>22.166923745261109</v>
      </c>
    </row>
    <row r="102" spans="1:7" s="123" customFormat="1" ht="14.25" x14ac:dyDescent="0.2">
      <c r="A102" s="129" t="s">
        <v>723</v>
      </c>
      <c r="B102" s="138" t="s">
        <v>562</v>
      </c>
      <c r="C102" s="138">
        <v>8243</v>
      </c>
      <c r="D102" s="57" t="s">
        <v>724</v>
      </c>
      <c r="E102" s="139" t="s">
        <v>411</v>
      </c>
      <c r="F102" s="132">
        <v>0.9</v>
      </c>
      <c r="G102" s="263">
        <f t="shared" si="1"/>
        <v>1.0262464696880143</v>
      </c>
    </row>
    <row r="103" spans="1:7" s="123" customFormat="1" ht="14.25" x14ac:dyDescent="0.2">
      <c r="A103" s="129" t="s">
        <v>725</v>
      </c>
      <c r="B103" s="138" t="s">
        <v>703</v>
      </c>
      <c r="C103" s="138">
        <v>48794</v>
      </c>
      <c r="D103" s="57" t="s">
        <v>726</v>
      </c>
      <c r="E103" s="139" t="s">
        <v>411</v>
      </c>
      <c r="F103" s="132">
        <v>27.52</v>
      </c>
      <c r="G103" s="263">
        <f t="shared" si="1"/>
        <v>31.380336495349056</v>
      </c>
    </row>
    <row r="104" spans="1:7" s="123" customFormat="1" ht="14.25" x14ac:dyDescent="0.2">
      <c r="A104" s="129" t="s">
        <v>727</v>
      </c>
      <c r="B104" s="138" t="s">
        <v>703</v>
      </c>
      <c r="C104" s="138">
        <v>48701</v>
      </c>
      <c r="D104" s="57" t="s">
        <v>728</v>
      </c>
      <c r="E104" s="139" t="s">
        <v>290</v>
      </c>
      <c r="F104" s="132">
        <v>8.0500000000000007</v>
      </c>
      <c r="G104" s="263">
        <f t="shared" si="1"/>
        <v>9.1792045344316833</v>
      </c>
    </row>
    <row r="105" spans="1:7" s="123" customFormat="1" ht="14.25" x14ac:dyDescent="0.2">
      <c r="A105" s="129" t="s">
        <v>729</v>
      </c>
      <c r="B105" s="138" t="s">
        <v>703</v>
      </c>
      <c r="C105" s="138">
        <v>40401</v>
      </c>
      <c r="D105" s="57" t="s">
        <v>730</v>
      </c>
      <c r="E105" s="139" t="s">
        <v>411</v>
      </c>
      <c r="F105" s="132">
        <v>6.45</v>
      </c>
      <c r="G105" s="263">
        <f t="shared" si="1"/>
        <v>7.3547663660974356</v>
      </c>
    </row>
    <row r="106" spans="1:7" s="123" customFormat="1" ht="14.25" x14ac:dyDescent="0.2">
      <c r="A106" s="129" t="s">
        <v>731</v>
      </c>
      <c r="B106" s="138" t="s">
        <v>562</v>
      </c>
      <c r="C106" s="138">
        <v>11513</v>
      </c>
      <c r="D106" s="57" t="s">
        <v>732</v>
      </c>
      <c r="E106" s="139" t="s">
        <v>411</v>
      </c>
      <c r="F106" s="132">
        <v>61.15</v>
      </c>
      <c r="G106" s="263">
        <f t="shared" si="1"/>
        <v>69.727746246024523</v>
      </c>
    </row>
    <row r="107" spans="1:7" s="123" customFormat="1" ht="14.25" x14ac:dyDescent="0.2">
      <c r="A107" s="129" t="s">
        <v>733</v>
      </c>
      <c r="B107" s="138" t="s">
        <v>703</v>
      </c>
      <c r="C107" s="138">
        <v>54010</v>
      </c>
      <c r="D107" s="57" t="s">
        <v>734</v>
      </c>
      <c r="E107" s="139" t="s">
        <v>411</v>
      </c>
      <c r="F107" s="132">
        <v>19.53</v>
      </c>
      <c r="G107" s="263">
        <f t="shared" si="1"/>
        <v>22.269548392229911</v>
      </c>
    </row>
    <row r="108" spans="1:7" s="123" customFormat="1" ht="14.25" x14ac:dyDescent="0.2">
      <c r="A108" s="129" t="s">
        <v>735</v>
      </c>
      <c r="B108" s="138" t="s">
        <v>703</v>
      </c>
      <c r="C108" s="138">
        <v>48053</v>
      </c>
      <c r="D108" s="57" t="s">
        <v>736</v>
      </c>
      <c r="E108" s="139" t="s">
        <v>411</v>
      </c>
      <c r="F108" s="132">
        <v>18.41</v>
      </c>
      <c r="G108" s="263">
        <f t="shared" si="1"/>
        <v>20.992441674395934</v>
      </c>
    </row>
    <row r="109" spans="1:7" s="123" customFormat="1" ht="14.25" x14ac:dyDescent="0.2">
      <c r="A109" s="129" t="s">
        <v>737</v>
      </c>
      <c r="B109" s="138" t="s">
        <v>703</v>
      </c>
      <c r="C109" s="138">
        <v>48763</v>
      </c>
      <c r="D109" s="57" t="s">
        <v>738</v>
      </c>
      <c r="E109" s="139" t="s">
        <v>411</v>
      </c>
      <c r="F109" s="132">
        <v>18.62</v>
      </c>
      <c r="G109" s="263">
        <f t="shared" si="1"/>
        <v>21.231899183989807</v>
      </c>
    </row>
    <row r="110" spans="1:7" s="123" customFormat="1" ht="14.25" x14ac:dyDescent="0.2">
      <c r="A110" s="129" t="s">
        <v>739</v>
      </c>
      <c r="B110" s="138" t="s">
        <v>703</v>
      </c>
      <c r="C110" s="138">
        <v>48790</v>
      </c>
      <c r="D110" s="57" t="s">
        <v>740</v>
      </c>
      <c r="E110" s="139" t="s">
        <v>411</v>
      </c>
      <c r="F110" s="132">
        <v>349.62</v>
      </c>
      <c r="G110" s="263">
        <f t="shared" si="1"/>
        <v>398.66254525813724</v>
      </c>
    </row>
    <row r="111" spans="1:7" s="123" customFormat="1" ht="14.25" x14ac:dyDescent="0.2">
      <c r="A111" s="129" t="s">
        <v>741</v>
      </c>
      <c r="B111" s="138" t="s">
        <v>703</v>
      </c>
      <c r="C111" s="138">
        <v>47862</v>
      </c>
      <c r="D111" s="57" t="s">
        <v>742</v>
      </c>
      <c r="E111" s="139" t="s">
        <v>411</v>
      </c>
      <c r="F111" s="132">
        <v>147.69</v>
      </c>
      <c r="G111" s="263">
        <f t="shared" si="1"/>
        <v>168.40704567580312</v>
      </c>
    </row>
    <row r="112" spans="1:7" s="123" customFormat="1" ht="14.25" x14ac:dyDescent="0.2">
      <c r="A112" s="129" t="s">
        <v>743</v>
      </c>
      <c r="B112" s="138" t="s">
        <v>744</v>
      </c>
      <c r="C112" s="138">
        <v>57610</v>
      </c>
      <c r="D112" s="57" t="s">
        <v>745</v>
      </c>
      <c r="E112" s="139" t="s">
        <v>411</v>
      </c>
      <c r="F112" s="132">
        <v>98.33</v>
      </c>
      <c r="G112" s="263">
        <f t="shared" si="1"/>
        <v>112.1231281826916</v>
      </c>
    </row>
    <row r="113" spans="1:7" s="123" customFormat="1" ht="14.25" x14ac:dyDescent="0.2">
      <c r="A113" s="129" t="s">
        <v>746</v>
      </c>
      <c r="B113" s="138" t="s">
        <v>744</v>
      </c>
      <c r="C113" s="138">
        <v>57611</v>
      </c>
      <c r="D113" s="57" t="s">
        <v>747</v>
      </c>
      <c r="E113" s="139" t="s">
        <v>411</v>
      </c>
      <c r="F113" s="132">
        <v>123.11</v>
      </c>
      <c r="G113" s="263">
        <f t="shared" si="1"/>
        <v>140.37911431476826</v>
      </c>
    </row>
    <row r="114" spans="1:7" s="123" customFormat="1" ht="14.25" x14ac:dyDescent="0.2">
      <c r="A114" s="129" t="s">
        <v>748</v>
      </c>
      <c r="B114" s="138" t="s">
        <v>744</v>
      </c>
      <c r="C114" s="138">
        <v>58020</v>
      </c>
      <c r="D114" s="57" t="s">
        <v>749</v>
      </c>
      <c r="E114" s="139" t="s">
        <v>411</v>
      </c>
      <c r="F114" s="132">
        <v>33.36</v>
      </c>
      <c r="G114" s="263">
        <f t="shared" si="1"/>
        <v>38.039535809769056</v>
      </c>
    </row>
    <row r="115" spans="1:7" s="123" customFormat="1" ht="14.25" x14ac:dyDescent="0.2">
      <c r="A115" s="129" t="s">
        <v>750</v>
      </c>
      <c r="B115" s="138" t="s">
        <v>562</v>
      </c>
      <c r="C115" s="138">
        <v>9723</v>
      </c>
      <c r="D115" s="57" t="s">
        <v>751</v>
      </c>
      <c r="E115" s="139" t="s">
        <v>411</v>
      </c>
      <c r="F115" s="132">
        <v>114.22</v>
      </c>
      <c r="G115" s="263">
        <f t="shared" si="1"/>
        <v>130.24207974196108</v>
      </c>
    </row>
    <row r="116" spans="1:7" s="123" customFormat="1" ht="14.25" x14ac:dyDescent="0.2">
      <c r="A116" s="129" t="s">
        <v>752</v>
      </c>
      <c r="B116" s="138" t="s">
        <v>562</v>
      </c>
      <c r="C116" s="138">
        <v>9720</v>
      </c>
      <c r="D116" s="57" t="s">
        <v>753</v>
      </c>
      <c r="E116" s="139" t="s">
        <v>411</v>
      </c>
      <c r="F116" s="132">
        <v>29.99</v>
      </c>
      <c r="G116" s="263">
        <f t="shared" si="1"/>
        <v>34.19681291771505</v>
      </c>
    </row>
    <row r="117" spans="1:7" s="123" customFormat="1" ht="14.25" x14ac:dyDescent="0.2">
      <c r="A117" s="129" t="s">
        <v>754</v>
      </c>
      <c r="B117" s="138" t="s">
        <v>562</v>
      </c>
      <c r="C117" s="138">
        <v>9716</v>
      </c>
      <c r="D117" s="57" t="s">
        <v>755</v>
      </c>
      <c r="E117" s="139" t="s">
        <v>411</v>
      </c>
      <c r="F117" s="132">
        <v>5.65</v>
      </c>
      <c r="G117" s="263">
        <f t="shared" si="1"/>
        <v>6.4425472819303122</v>
      </c>
    </row>
    <row r="118" spans="1:7" s="123" customFormat="1" ht="14.25" x14ac:dyDescent="0.2">
      <c r="A118" s="129" t="s">
        <v>756</v>
      </c>
      <c r="B118" s="138" t="s">
        <v>562</v>
      </c>
      <c r="C118" s="138">
        <v>11379</v>
      </c>
      <c r="D118" s="57" t="s">
        <v>757</v>
      </c>
      <c r="E118" s="139" t="s">
        <v>411</v>
      </c>
      <c r="F118" s="132">
        <v>19.47</v>
      </c>
      <c r="G118" s="263">
        <f t="shared" si="1"/>
        <v>22.201131960917373</v>
      </c>
    </row>
    <row r="119" spans="1:7" s="123" customFormat="1" ht="14.25" x14ac:dyDescent="0.2">
      <c r="A119" s="129" t="s">
        <v>758</v>
      </c>
      <c r="B119" s="133" t="s">
        <v>178</v>
      </c>
      <c r="C119" s="137">
        <v>599</v>
      </c>
      <c r="D119" s="136" t="s">
        <v>759</v>
      </c>
      <c r="E119" s="7" t="s">
        <v>184</v>
      </c>
      <c r="F119" s="132">
        <v>32.6</v>
      </c>
      <c r="G119" s="263">
        <f t="shared" si="1"/>
        <v>37.172927679810293</v>
      </c>
    </row>
    <row r="120" spans="1:7" s="123" customFormat="1" ht="15" x14ac:dyDescent="0.2">
      <c r="A120" s="4">
        <v>3</v>
      </c>
      <c r="B120" s="4"/>
      <c r="C120" s="4"/>
      <c r="D120" s="126" t="s">
        <v>760</v>
      </c>
      <c r="E120" s="127"/>
      <c r="F120" s="128"/>
      <c r="G120" s="263">
        <f t="shared" si="1"/>
        <v>0</v>
      </c>
    </row>
    <row r="121" spans="1:7" s="123" customFormat="1" ht="15" customHeight="1" x14ac:dyDescent="0.2">
      <c r="A121" s="129" t="s">
        <v>761</v>
      </c>
      <c r="B121" s="129" t="s">
        <v>501</v>
      </c>
      <c r="C121" s="129">
        <v>8</v>
      </c>
      <c r="D121" s="122" t="s">
        <v>762</v>
      </c>
      <c r="E121" s="7" t="s">
        <v>411</v>
      </c>
      <c r="F121" s="132">
        <v>0.5</v>
      </c>
      <c r="G121" s="263">
        <f t="shared" si="1"/>
        <v>0.57013692760445234</v>
      </c>
    </row>
    <row r="122" spans="1:7" s="123" customFormat="1" ht="15" customHeight="1" x14ac:dyDescent="0.2">
      <c r="A122" s="129" t="s">
        <v>763</v>
      </c>
      <c r="B122" s="129" t="s">
        <v>501</v>
      </c>
      <c r="C122" s="129">
        <v>9</v>
      </c>
      <c r="D122" s="122" t="s">
        <v>764</v>
      </c>
      <c r="E122" s="7" t="s">
        <v>411</v>
      </c>
      <c r="F122" s="132">
        <v>4</v>
      </c>
      <c r="G122" s="263">
        <f t="shared" si="1"/>
        <v>4.5610954208356187</v>
      </c>
    </row>
    <row r="123" spans="1:7" s="123" customFormat="1" ht="14.65" customHeight="1" x14ac:dyDescent="0.2">
      <c r="A123" s="129" t="s">
        <v>765</v>
      </c>
      <c r="B123" s="133" t="s">
        <v>178</v>
      </c>
      <c r="C123" s="134">
        <v>54698</v>
      </c>
      <c r="D123" s="136" t="s">
        <v>766</v>
      </c>
      <c r="E123" s="7" t="s">
        <v>411</v>
      </c>
      <c r="F123" s="132">
        <v>18.899999999999999</v>
      </c>
      <c r="G123" s="263">
        <f t="shared" si="1"/>
        <v>21.551175863448297</v>
      </c>
    </row>
    <row r="124" spans="1:7" s="123" customFormat="1" ht="14.65" customHeight="1" x14ac:dyDescent="0.2">
      <c r="A124" s="129" t="s">
        <v>767</v>
      </c>
      <c r="B124" s="133" t="s">
        <v>178</v>
      </c>
      <c r="C124" s="134">
        <v>54699</v>
      </c>
      <c r="D124" s="136" t="s">
        <v>768</v>
      </c>
      <c r="E124" s="7" t="s">
        <v>411</v>
      </c>
      <c r="F124" s="132">
        <v>16.649999999999999</v>
      </c>
      <c r="G124" s="263">
        <f t="shared" si="1"/>
        <v>18.985559689228261</v>
      </c>
    </row>
    <row r="125" spans="1:7" s="123" customFormat="1" ht="15" customHeight="1" x14ac:dyDescent="0.2">
      <c r="A125" s="129" t="s">
        <v>769</v>
      </c>
      <c r="B125" s="133" t="s">
        <v>562</v>
      </c>
      <c r="C125" s="134">
        <v>7532</v>
      </c>
      <c r="D125" s="136" t="s">
        <v>770</v>
      </c>
      <c r="E125" s="7" t="s">
        <v>411</v>
      </c>
      <c r="F125" s="132">
        <v>20.85</v>
      </c>
      <c r="G125" s="263">
        <f t="shared" si="1"/>
        <v>23.774709881105665</v>
      </c>
    </row>
    <row r="126" spans="1:7" s="123" customFormat="1" ht="15" customHeight="1" x14ac:dyDescent="0.2">
      <c r="A126" s="129" t="s">
        <v>771</v>
      </c>
      <c r="B126" s="141" t="s">
        <v>562</v>
      </c>
      <c r="C126" s="141">
        <v>11098</v>
      </c>
      <c r="D126" s="142" t="s">
        <v>772</v>
      </c>
      <c r="E126" s="141" t="s">
        <v>411</v>
      </c>
      <c r="F126" s="143">
        <v>140.4</v>
      </c>
      <c r="G126" s="263">
        <f t="shared" si="1"/>
        <v>160.09444927133023</v>
      </c>
    </row>
    <row r="127" spans="1:7" s="123" customFormat="1" ht="14.65" customHeight="1" x14ac:dyDescent="0.2">
      <c r="A127" s="129" t="s">
        <v>773</v>
      </c>
      <c r="B127" s="141" t="s">
        <v>562</v>
      </c>
      <c r="C127" s="141">
        <v>6766</v>
      </c>
      <c r="D127" s="142" t="s">
        <v>774</v>
      </c>
      <c r="E127" s="141" t="s">
        <v>411</v>
      </c>
      <c r="F127" s="143">
        <v>21.15</v>
      </c>
      <c r="G127" s="263">
        <f t="shared" si="1"/>
        <v>24.116792037668333</v>
      </c>
    </row>
    <row r="128" spans="1:7" s="123" customFormat="1" ht="14.65" customHeight="1" x14ac:dyDescent="0.2">
      <c r="A128" s="129" t="s">
        <v>775</v>
      </c>
      <c r="B128" s="141" t="s">
        <v>562</v>
      </c>
      <c r="C128" s="144">
        <v>12114</v>
      </c>
      <c r="D128" s="145" t="s">
        <v>776</v>
      </c>
      <c r="E128" s="141" t="s">
        <v>411</v>
      </c>
      <c r="F128" s="143">
        <v>1.99</v>
      </c>
      <c r="G128" s="263">
        <f t="shared" si="1"/>
        <v>2.2691449718657202</v>
      </c>
    </row>
    <row r="129" spans="1:251" s="123" customFormat="1" ht="14.65" customHeight="1" x14ac:dyDescent="0.2">
      <c r="A129" s="129" t="s">
        <v>777</v>
      </c>
      <c r="B129" s="133" t="s">
        <v>178</v>
      </c>
      <c r="C129" s="60">
        <v>37487</v>
      </c>
      <c r="D129" s="108" t="s">
        <v>778</v>
      </c>
      <c r="E129" s="60" t="s">
        <v>779</v>
      </c>
      <c r="F129" s="132">
        <v>15</v>
      </c>
      <c r="G129" s="263">
        <f t="shared" si="1"/>
        <v>17.104107828133571</v>
      </c>
    </row>
    <row r="130" spans="1:251" s="123" customFormat="1" ht="14.65" customHeight="1" x14ac:dyDescent="0.2">
      <c r="A130" s="129" t="s">
        <v>780</v>
      </c>
      <c r="B130" s="133" t="s">
        <v>178</v>
      </c>
      <c r="C130" s="60">
        <v>2191</v>
      </c>
      <c r="D130" s="108" t="s">
        <v>781</v>
      </c>
      <c r="E130" s="60" t="s">
        <v>411</v>
      </c>
      <c r="F130" s="132">
        <v>19.89</v>
      </c>
      <c r="G130" s="263">
        <f t="shared" si="1"/>
        <v>22.680046980105114</v>
      </c>
    </row>
    <row r="131" spans="1:251" s="123" customFormat="1" ht="14.65" customHeight="1" x14ac:dyDescent="0.2">
      <c r="A131" s="129" t="s">
        <v>782</v>
      </c>
      <c r="B131" s="133" t="s">
        <v>562</v>
      </c>
      <c r="C131" s="60">
        <v>7531</v>
      </c>
      <c r="D131" s="117" t="s">
        <v>783</v>
      </c>
      <c r="E131" s="60" t="s">
        <v>411</v>
      </c>
      <c r="F131" s="132">
        <v>41.26</v>
      </c>
      <c r="G131" s="263">
        <f t="shared" si="1"/>
        <v>47.047699265919405</v>
      </c>
    </row>
    <row r="132" spans="1:251" ht="15" x14ac:dyDescent="0.2">
      <c r="A132" s="4">
        <v>4</v>
      </c>
      <c r="B132" s="4"/>
      <c r="C132" s="4"/>
      <c r="D132" s="126" t="s">
        <v>784</v>
      </c>
      <c r="E132" s="127"/>
      <c r="F132" s="128"/>
      <c r="G132" s="263">
        <f t="shared" si="1"/>
        <v>0</v>
      </c>
    </row>
    <row r="133" spans="1:251" s="123" customFormat="1" ht="14.25" x14ac:dyDescent="0.2">
      <c r="A133" s="129" t="s">
        <v>363</v>
      </c>
      <c r="B133" s="133" t="s">
        <v>178</v>
      </c>
      <c r="C133" s="137">
        <v>65246</v>
      </c>
      <c r="D133" s="136" t="s">
        <v>785</v>
      </c>
      <c r="E133" s="7" t="s">
        <v>411</v>
      </c>
      <c r="F133" s="132">
        <v>467.9</v>
      </c>
      <c r="G133" s="263">
        <f t="shared" ref="G133:G194" si="2">F133*$F$207</f>
        <v>533.53413685224643</v>
      </c>
      <c r="HW133" s="125"/>
      <c r="HX133" s="125"/>
      <c r="HY133" s="125"/>
      <c r="HZ133" s="125"/>
      <c r="IA133" s="125"/>
      <c r="IB133" s="125"/>
      <c r="IC133" s="125"/>
      <c r="ID133" s="125"/>
      <c r="IE133" s="125"/>
      <c r="IF133" s="125"/>
      <c r="IG133" s="125"/>
      <c r="IH133" s="125"/>
      <c r="II133" s="125"/>
      <c r="IJ133" s="125"/>
      <c r="IK133" s="125"/>
      <c r="IL133" s="125"/>
      <c r="IM133" s="125"/>
      <c r="IN133" s="125"/>
      <c r="IO133" s="125"/>
      <c r="IP133" s="125"/>
      <c r="IQ133" s="125"/>
    </row>
    <row r="134" spans="1:251" s="123" customFormat="1" ht="14.25" x14ac:dyDescent="0.2">
      <c r="A134" s="129" t="s">
        <v>372</v>
      </c>
      <c r="B134" s="133" t="s">
        <v>178</v>
      </c>
      <c r="C134" s="137">
        <v>8652</v>
      </c>
      <c r="D134" s="136" t="s">
        <v>786</v>
      </c>
      <c r="E134" s="7" t="s">
        <v>411</v>
      </c>
      <c r="F134" s="132">
        <v>261.01</v>
      </c>
      <c r="G134" s="263">
        <f t="shared" si="2"/>
        <v>297.62287894807622</v>
      </c>
      <c r="HW134" s="125"/>
      <c r="HX134" s="125"/>
      <c r="HY134" s="125"/>
      <c r="HZ134" s="125"/>
      <c r="IA134" s="125"/>
      <c r="IB134" s="125"/>
      <c r="IC134" s="125"/>
      <c r="ID134" s="125"/>
      <c r="IE134" s="125"/>
      <c r="IF134" s="125"/>
      <c r="IG134" s="125"/>
      <c r="IH134" s="125"/>
      <c r="II134" s="125"/>
      <c r="IJ134" s="125"/>
      <c r="IK134" s="125"/>
      <c r="IL134" s="125"/>
      <c r="IM134" s="125"/>
      <c r="IN134" s="125"/>
      <c r="IO134" s="125"/>
      <c r="IP134" s="125"/>
      <c r="IQ134" s="125"/>
    </row>
    <row r="135" spans="1:251" s="123" customFormat="1" ht="14.25" x14ac:dyDescent="0.2">
      <c r="A135" s="129" t="s">
        <v>787</v>
      </c>
      <c r="B135" s="133" t="s">
        <v>178</v>
      </c>
      <c r="C135" s="137">
        <v>9744</v>
      </c>
      <c r="D135" s="135" t="s">
        <v>788</v>
      </c>
      <c r="E135" s="7" t="s">
        <v>411</v>
      </c>
      <c r="F135" s="132">
        <v>90.93</v>
      </c>
      <c r="G135" s="263">
        <f t="shared" si="2"/>
        <v>103.68510165414571</v>
      </c>
      <c r="HW135" s="125"/>
      <c r="HX135" s="125"/>
      <c r="HY135" s="125"/>
      <c r="HZ135" s="125"/>
      <c r="IA135" s="125"/>
      <c r="IB135" s="125"/>
      <c r="IC135" s="125"/>
      <c r="ID135" s="125"/>
      <c r="IE135" s="125"/>
      <c r="IF135" s="125"/>
      <c r="IG135" s="125"/>
      <c r="IH135" s="125"/>
      <c r="II135" s="125"/>
      <c r="IJ135" s="125"/>
      <c r="IK135" s="125"/>
      <c r="IL135" s="125"/>
      <c r="IM135" s="125"/>
      <c r="IN135" s="125"/>
      <c r="IO135" s="125"/>
      <c r="IP135" s="125"/>
      <c r="IQ135" s="125"/>
    </row>
    <row r="136" spans="1:251" s="123" customFormat="1" ht="14.25" x14ac:dyDescent="0.2">
      <c r="A136" s="129" t="s">
        <v>789</v>
      </c>
      <c r="B136" s="133" t="s">
        <v>178</v>
      </c>
      <c r="C136" s="137">
        <v>6100</v>
      </c>
      <c r="D136" s="135" t="s">
        <v>790</v>
      </c>
      <c r="E136" s="7" t="s">
        <v>411</v>
      </c>
      <c r="F136" s="132">
        <v>52.9</v>
      </c>
      <c r="G136" s="263">
        <f t="shared" si="2"/>
        <v>60.320486940551056</v>
      </c>
      <c r="HW136" s="125"/>
      <c r="HX136" s="125"/>
      <c r="HY136" s="125"/>
      <c r="HZ136" s="125"/>
      <c r="IA136" s="125"/>
      <c r="IB136" s="125"/>
      <c r="IC136" s="125"/>
      <c r="ID136" s="125"/>
      <c r="IE136" s="125"/>
      <c r="IF136" s="125"/>
      <c r="IG136" s="125"/>
      <c r="IH136" s="125"/>
      <c r="II136" s="125"/>
      <c r="IJ136" s="125"/>
      <c r="IK136" s="125"/>
      <c r="IL136" s="125"/>
      <c r="IM136" s="125"/>
      <c r="IN136" s="125"/>
      <c r="IO136" s="125"/>
      <c r="IP136" s="125"/>
      <c r="IQ136" s="125"/>
    </row>
    <row r="137" spans="1:251" s="123" customFormat="1" ht="14.25" x14ac:dyDescent="0.2">
      <c r="A137" s="129" t="s">
        <v>791</v>
      </c>
      <c r="B137" s="133" t="s">
        <v>703</v>
      </c>
      <c r="C137" s="134">
        <v>69753</v>
      </c>
      <c r="D137" s="136" t="s">
        <v>792</v>
      </c>
      <c r="E137" s="7" t="s">
        <v>411</v>
      </c>
      <c r="F137" s="132">
        <v>40.67</v>
      </c>
      <c r="G137" s="263">
        <f t="shared" si="2"/>
        <v>46.374937691346155</v>
      </c>
      <c r="HW137" s="125"/>
      <c r="HX137" s="125"/>
      <c r="HY137" s="125"/>
      <c r="HZ137" s="125"/>
      <c r="IA137" s="125"/>
      <c r="IB137" s="125"/>
      <c r="IC137" s="125"/>
      <c r="ID137" s="125"/>
      <c r="IE137" s="125"/>
      <c r="IF137" s="125"/>
      <c r="IG137" s="125"/>
      <c r="IH137" s="125"/>
      <c r="II137" s="125"/>
      <c r="IJ137" s="125"/>
      <c r="IK137" s="125"/>
      <c r="IL137" s="125"/>
      <c r="IM137" s="125"/>
      <c r="IN137" s="125"/>
      <c r="IO137" s="125"/>
      <c r="IP137" s="125"/>
      <c r="IQ137" s="125"/>
    </row>
    <row r="138" spans="1:251" s="123" customFormat="1" ht="14.25" x14ac:dyDescent="0.2">
      <c r="A138" s="129" t="s">
        <v>793</v>
      </c>
      <c r="B138" s="133" t="s">
        <v>178</v>
      </c>
      <c r="C138" s="134">
        <v>8980</v>
      </c>
      <c r="D138" s="135" t="s">
        <v>794</v>
      </c>
      <c r="E138" s="7" t="s">
        <v>411</v>
      </c>
      <c r="F138" s="132">
        <v>389.79</v>
      </c>
      <c r="G138" s="263">
        <f t="shared" si="2"/>
        <v>444.467346021879</v>
      </c>
      <c r="HW138" s="125"/>
      <c r="HX138" s="125"/>
      <c r="HY138" s="125"/>
      <c r="HZ138" s="125"/>
      <c r="IA138" s="125"/>
      <c r="IB138" s="125"/>
      <c r="IC138" s="125"/>
      <c r="ID138" s="125"/>
      <c r="IE138" s="125"/>
      <c r="IF138" s="125"/>
      <c r="IG138" s="125"/>
      <c r="IH138" s="125"/>
      <c r="II138" s="125"/>
      <c r="IJ138" s="125"/>
      <c r="IK138" s="125"/>
      <c r="IL138" s="125"/>
      <c r="IM138" s="125"/>
      <c r="IN138" s="125"/>
      <c r="IO138" s="125"/>
      <c r="IP138" s="125"/>
      <c r="IQ138" s="125"/>
    </row>
    <row r="139" spans="1:251" s="123" customFormat="1" ht="14.25" x14ac:dyDescent="0.2">
      <c r="A139" s="129" t="s">
        <v>795</v>
      </c>
      <c r="B139" s="133" t="s">
        <v>178</v>
      </c>
      <c r="C139" s="134">
        <v>25829</v>
      </c>
      <c r="D139" s="135" t="s">
        <v>796</v>
      </c>
      <c r="E139" s="7" t="s">
        <v>411</v>
      </c>
      <c r="F139" s="132">
        <v>499.97</v>
      </c>
      <c r="G139" s="263">
        <f t="shared" si="2"/>
        <v>570.10271938879612</v>
      </c>
      <c r="HW139" s="125"/>
      <c r="HX139" s="125"/>
      <c r="HY139" s="125"/>
      <c r="HZ139" s="125"/>
      <c r="IA139" s="125"/>
      <c r="IB139" s="125"/>
      <c r="IC139" s="125"/>
      <c r="ID139" s="125"/>
      <c r="IE139" s="125"/>
      <c r="IF139" s="125"/>
      <c r="IG139" s="125"/>
      <c r="IH139" s="125"/>
      <c r="II139" s="125"/>
      <c r="IJ139" s="125"/>
      <c r="IK139" s="125"/>
      <c r="IL139" s="125"/>
      <c r="IM139" s="125"/>
      <c r="IN139" s="125"/>
      <c r="IO139" s="125"/>
      <c r="IP139" s="125"/>
      <c r="IQ139" s="125"/>
    </row>
    <row r="140" spans="1:251" s="123" customFormat="1" ht="14.25" x14ac:dyDescent="0.2">
      <c r="A140" s="129" t="s">
        <v>797</v>
      </c>
      <c r="B140" s="133" t="s">
        <v>178</v>
      </c>
      <c r="C140" s="134">
        <v>3839</v>
      </c>
      <c r="D140" s="131" t="s">
        <v>798</v>
      </c>
      <c r="E140" s="7" t="s">
        <v>411</v>
      </c>
      <c r="F140" s="132">
        <v>531.66</v>
      </c>
      <c r="G140" s="263">
        <f t="shared" si="2"/>
        <v>606.23799786036625</v>
      </c>
      <c r="HW140" s="125"/>
      <c r="HX140" s="125"/>
      <c r="HY140" s="125"/>
      <c r="HZ140" s="125"/>
      <c r="IA140" s="125"/>
      <c r="IB140" s="125"/>
      <c r="IC140" s="125"/>
      <c r="ID140" s="125"/>
      <c r="IE140" s="125"/>
      <c r="IF140" s="125"/>
      <c r="IG140" s="125"/>
      <c r="IH140" s="125"/>
      <c r="II140" s="125"/>
      <c r="IJ140" s="125"/>
      <c r="IK140" s="125"/>
      <c r="IL140" s="125"/>
      <c r="IM140" s="125"/>
      <c r="IN140" s="125"/>
      <c r="IO140" s="125"/>
      <c r="IP140" s="125"/>
      <c r="IQ140" s="125"/>
    </row>
    <row r="141" spans="1:251" s="123" customFormat="1" ht="14.25" x14ac:dyDescent="0.2">
      <c r="A141" s="129" t="s">
        <v>799</v>
      </c>
      <c r="B141" s="133" t="s">
        <v>178</v>
      </c>
      <c r="C141" s="134">
        <v>65247</v>
      </c>
      <c r="D141" s="131" t="s">
        <v>800</v>
      </c>
      <c r="E141" s="7" t="s">
        <v>411</v>
      </c>
      <c r="F141" s="132">
        <v>91.44</v>
      </c>
      <c r="G141" s="263">
        <f t="shared" si="2"/>
        <v>104.26664132030224</v>
      </c>
      <c r="HW141" s="125"/>
      <c r="HX141" s="125"/>
      <c r="HY141" s="125"/>
      <c r="HZ141" s="125"/>
      <c r="IA141" s="125"/>
      <c r="IB141" s="125"/>
      <c r="IC141" s="125"/>
      <c r="ID141" s="125"/>
      <c r="IE141" s="125"/>
      <c r="IF141" s="125"/>
      <c r="IG141" s="125"/>
      <c r="IH141" s="125"/>
      <c r="II141" s="125"/>
      <c r="IJ141" s="125"/>
      <c r="IK141" s="125"/>
      <c r="IL141" s="125"/>
      <c r="IM141" s="125"/>
      <c r="IN141" s="125"/>
      <c r="IO141" s="125"/>
      <c r="IP141" s="125"/>
      <c r="IQ141" s="125"/>
    </row>
    <row r="142" spans="1:251" s="123" customFormat="1" ht="14.25" x14ac:dyDescent="0.2">
      <c r="A142" s="129" t="s">
        <v>801</v>
      </c>
      <c r="B142" s="133" t="s">
        <v>178</v>
      </c>
      <c r="C142" s="134">
        <v>8396</v>
      </c>
      <c r="D142" s="131" t="s">
        <v>802</v>
      </c>
      <c r="E142" s="7" t="s">
        <v>411</v>
      </c>
      <c r="F142" s="132">
        <v>375.9</v>
      </c>
      <c r="G142" s="263">
        <f t="shared" si="2"/>
        <v>428.62894217302727</v>
      </c>
      <c r="HW142" s="125"/>
      <c r="HX142" s="125"/>
      <c r="HY142" s="125"/>
      <c r="HZ142" s="125"/>
      <c r="IA142" s="125"/>
      <c r="IB142" s="125"/>
      <c r="IC142" s="125"/>
      <c r="ID142" s="125"/>
      <c r="IE142" s="125"/>
      <c r="IF142" s="125"/>
      <c r="IG142" s="125"/>
      <c r="IH142" s="125"/>
      <c r="II142" s="125"/>
      <c r="IJ142" s="125"/>
      <c r="IK142" s="125"/>
      <c r="IL142" s="125"/>
      <c r="IM142" s="125"/>
      <c r="IN142" s="125"/>
      <c r="IO142" s="125"/>
      <c r="IP142" s="125"/>
      <c r="IQ142" s="125"/>
    </row>
    <row r="143" spans="1:251" s="123" customFormat="1" ht="14.25" x14ac:dyDescent="0.2">
      <c r="A143" s="129" t="s">
        <v>803</v>
      </c>
      <c r="B143" s="133" t="s">
        <v>178</v>
      </c>
      <c r="C143" s="7">
        <v>3693</v>
      </c>
      <c r="D143" s="135" t="s">
        <v>804</v>
      </c>
      <c r="E143" s="7" t="s">
        <v>411</v>
      </c>
      <c r="F143" s="132">
        <v>63.95</v>
      </c>
      <c r="G143" s="263">
        <f t="shared" si="2"/>
        <v>72.920513040609464</v>
      </c>
      <c r="HW143" s="125"/>
      <c r="HX143" s="125"/>
      <c r="HY143" s="125"/>
      <c r="HZ143" s="125"/>
      <c r="IA143" s="125"/>
      <c r="IB143" s="125"/>
      <c r="IC143" s="125"/>
      <c r="ID143" s="125"/>
      <c r="IE143" s="125"/>
      <c r="IF143" s="125"/>
      <c r="IG143" s="125"/>
      <c r="IH143" s="125"/>
      <c r="II143" s="125"/>
      <c r="IJ143" s="125"/>
      <c r="IK143" s="125"/>
      <c r="IL143" s="125"/>
      <c r="IM143" s="125"/>
      <c r="IN143" s="125"/>
      <c r="IO143" s="125"/>
      <c r="IP143" s="125"/>
      <c r="IQ143" s="125"/>
    </row>
    <row r="144" spans="1:251" s="123" customFormat="1" ht="14.25" x14ac:dyDescent="0.2">
      <c r="A144" s="129" t="s">
        <v>805</v>
      </c>
      <c r="B144" s="130" t="s">
        <v>178</v>
      </c>
      <c r="C144" s="137">
        <v>43712</v>
      </c>
      <c r="D144" s="135" t="s">
        <v>806</v>
      </c>
      <c r="E144" s="7" t="s">
        <v>411</v>
      </c>
      <c r="F144" s="132">
        <v>9.49</v>
      </c>
      <c r="G144" s="263">
        <f t="shared" si="2"/>
        <v>10.821198885932505</v>
      </c>
      <c r="HW144" s="125"/>
      <c r="HX144" s="125"/>
      <c r="HY144" s="125"/>
      <c r="HZ144" s="125"/>
      <c r="IA144" s="125"/>
      <c r="IB144" s="125"/>
      <c r="IC144" s="125"/>
      <c r="ID144" s="125"/>
      <c r="IE144" s="125"/>
      <c r="IF144" s="125"/>
      <c r="IG144" s="125"/>
      <c r="IH144" s="125"/>
      <c r="II144" s="125"/>
      <c r="IJ144" s="125"/>
      <c r="IK144" s="125"/>
      <c r="IL144" s="125"/>
      <c r="IM144" s="125"/>
      <c r="IN144" s="125"/>
      <c r="IO144" s="125"/>
      <c r="IP144" s="125"/>
      <c r="IQ144" s="125"/>
    </row>
    <row r="145" spans="1:251" s="123" customFormat="1" ht="14.25" x14ac:dyDescent="0.2">
      <c r="A145" s="129" t="s">
        <v>807</v>
      </c>
      <c r="B145" s="130" t="s">
        <v>178</v>
      </c>
      <c r="C145" s="137">
        <v>43708</v>
      </c>
      <c r="D145" s="135" t="s">
        <v>808</v>
      </c>
      <c r="E145" s="7" t="s">
        <v>411</v>
      </c>
      <c r="F145" s="132">
        <v>4.49</v>
      </c>
      <c r="G145" s="263">
        <f t="shared" si="2"/>
        <v>5.1198296098879821</v>
      </c>
      <c r="HW145" s="125"/>
      <c r="HX145" s="125"/>
      <c r="HY145" s="125"/>
      <c r="HZ145" s="125"/>
      <c r="IA145" s="125"/>
      <c r="IB145" s="125"/>
      <c r="IC145" s="125"/>
      <c r="ID145" s="125"/>
      <c r="IE145" s="125"/>
      <c r="IF145" s="125"/>
      <c r="IG145" s="125"/>
      <c r="IH145" s="125"/>
      <c r="II145" s="125"/>
      <c r="IJ145" s="125"/>
      <c r="IK145" s="125"/>
      <c r="IL145" s="125"/>
      <c r="IM145" s="125"/>
      <c r="IN145" s="125"/>
      <c r="IO145" s="125"/>
      <c r="IP145" s="125"/>
      <c r="IQ145" s="125"/>
    </row>
    <row r="146" spans="1:251" s="123" customFormat="1" ht="14.25" x14ac:dyDescent="0.2">
      <c r="A146" s="129" t="s">
        <v>809</v>
      </c>
      <c r="B146" s="133" t="s">
        <v>178</v>
      </c>
      <c r="C146" s="137">
        <v>6049</v>
      </c>
      <c r="D146" s="136" t="s">
        <v>810</v>
      </c>
      <c r="E146" s="7" t="s">
        <v>411</v>
      </c>
      <c r="F146" s="132">
        <v>52.78</v>
      </c>
      <c r="G146" s="263">
        <f t="shared" si="2"/>
        <v>60.183654077925993</v>
      </c>
      <c r="HW146" s="125"/>
      <c r="HX146" s="125"/>
      <c r="HY146" s="125"/>
      <c r="HZ146" s="125"/>
      <c r="IA146" s="125"/>
      <c r="IB146" s="125"/>
      <c r="IC146" s="125"/>
      <c r="ID146" s="125"/>
      <c r="IE146" s="125"/>
      <c r="IF146" s="125"/>
      <c r="IG146" s="125"/>
      <c r="IH146" s="125"/>
      <c r="II146" s="125"/>
      <c r="IJ146" s="125"/>
      <c r="IK146" s="125"/>
      <c r="IL146" s="125"/>
      <c r="IM146" s="125"/>
      <c r="IN146" s="125"/>
      <c r="IO146" s="125"/>
      <c r="IP146" s="125"/>
      <c r="IQ146" s="125"/>
    </row>
    <row r="147" spans="1:251" s="123" customFormat="1" ht="14.25" x14ac:dyDescent="0.2">
      <c r="A147" s="129" t="s">
        <v>811</v>
      </c>
      <c r="B147" s="130" t="s">
        <v>501</v>
      </c>
      <c r="C147" s="137">
        <v>10</v>
      </c>
      <c r="D147" s="122" t="s">
        <v>812</v>
      </c>
      <c r="E147" s="7" t="s">
        <v>411</v>
      </c>
      <c r="F147" s="132">
        <v>116.55</v>
      </c>
      <c r="G147" s="263">
        <f t="shared" si="2"/>
        <v>132.89891782459785</v>
      </c>
      <c r="HW147" s="125"/>
      <c r="HX147" s="125"/>
      <c r="HY147" s="125"/>
      <c r="HZ147" s="125"/>
      <c r="IA147" s="125"/>
      <c r="IB147" s="125"/>
      <c r="IC147" s="125"/>
      <c r="ID147" s="125"/>
      <c r="IE147" s="125"/>
      <c r="IF147" s="125"/>
      <c r="IG147" s="125"/>
      <c r="IH147" s="125"/>
      <c r="II147" s="125"/>
      <c r="IJ147" s="125"/>
      <c r="IK147" s="125"/>
      <c r="IL147" s="125"/>
      <c r="IM147" s="125"/>
      <c r="IN147" s="125"/>
      <c r="IO147" s="125"/>
      <c r="IP147" s="125"/>
      <c r="IQ147" s="125"/>
    </row>
    <row r="148" spans="1:251" s="123" customFormat="1" ht="14.25" x14ac:dyDescent="0.2">
      <c r="A148" s="129" t="s">
        <v>813</v>
      </c>
      <c r="B148" s="133" t="s">
        <v>501</v>
      </c>
      <c r="C148" s="137">
        <v>11</v>
      </c>
      <c r="D148" s="136" t="s">
        <v>814</v>
      </c>
      <c r="E148" s="7" t="s">
        <v>411</v>
      </c>
      <c r="F148" s="132">
        <v>27.9</v>
      </c>
      <c r="G148" s="263">
        <f t="shared" si="2"/>
        <v>31.813640560328437</v>
      </c>
      <c r="HW148" s="125"/>
      <c r="HX148" s="125"/>
      <c r="HY148" s="125"/>
      <c r="HZ148" s="125"/>
      <c r="IA148" s="125"/>
      <c r="IB148" s="125"/>
      <c r="IC148" s="125"/>
      <c r="ID148" s="125"/>
      <c r="IE148" s="125"/>
      <c r="IF148" s="125"/>
      <c r="IG148" s="125"/>
      <c r="IH148" s="125"/>
      <c r="II148" s="125"/>
      <c r="IJ148" s="125"/>
      <c r="IK148" s="125"/>
      <c r="IL148" s="125"/>
      <c r="IM148" s="125"/>
      <c r="IN148" s="125"/>
      <c r="IO148" s="125"/>
      <c r="IP148" s="125"/>
      <c r="IQ148" s="125"/>
    </row>
    <row r="149" spans="1:251" ht="15" x14ac:dyDescent="0.2">
      <c r="A149" s="4">
        <v>5</v>
      </c>
      <c r="B149" s="4"/>
      <c r="C149" s="4"/>
      <c r="D149" s="126" t="s">
        <v>815</v>
      </c>
      <c r="E149" s="127"/>
      <c r="F149" s="128"/>
      <c r="G149" s="263">
        <f t="shared" si="2"/>
        <v>0</v>
      </c>
    </row>
    <row r="150" spans="1:251" s="123" customFormat="1" ht="14.25" customHeight="1" x14ac:dyDescent="0.2">
      <c r="A150" s="129" t="s">
        <v>816</v>
      </c>
      <c r="B150" s="133" t="s">
        <v>817</v>
      </c>
      <c r="C150" s="137">
        <v>67043</v>
      </c>
      <c r="D150" s="122" t="s">
        <v>818</v>
      </c>
      <c r="E150" s="7" t="s">
        <v>411</v>
      </c>
      <c r="F150" s="132">
        <f>2.78*10</f>
        <v>27.799999999999997</v>
      </c>
      <c r="G150" s="263">
        <f t="shared" si="2"/>
        <v>31.699613174807546</v>
      </c>
      <c r="HW150" s="125"/>
      <c r="HX150" s="125"/>
      <c r="HY150" s="125"/>
      <c r="HZ150" s="125"/>
      <c r="IA150" s="125"/>
      <c r="IB150" s="125"/>
      <c r="IC150" s="125"/>
      <c r="ID150" s="125"/>
      <c r="IE150" s="125"/>
      <c r="IF150" s="125"/>
      <c r="IG150" s="125"/>
      <c r="IH150" s="125"/>
      <c r="II150" s="125"/>
      <c r="IJ150" s="125"/>
      <c r="IK150" s="125"/>
      <c r="IL150" s="125"/>
    </row>
    <row r="151" spans="1:251" s="123" customFormat="1" ht="14.25" x14ac:dyDescent="0.2">
      <c r="A151" s="129" t="s">
        <v>819</v>
      </c>
      <c r="B151" s="133" t="s">
        <v>817</v>
      </c>
      <c r="C151" s="137">
        <v>67044</v>
      </c>
      <c r="D151" s="136" t="s">
        <v>820</v>
      </c>
      <c r="E151" s="7" t="s">
        <v>411</v>
      </c>
      <c r="F151" s="132">
        <f>9.95*4</f>
        <v>39.799999999999997</v>
      </c>
      <c r="G151" s="263">
        <f t="shared" si="2"/>
        <v>45.3828994373144</v>
      </c>
      <c r="HW151" s="125"/>
      <c r="HX151" s="125"/>
      <c r="HY151" s="125"/>
      <c r="HZ151" s="125"/>
      <c r="IA151" s="125"/>
      <c r="IB151" s="125"/>
      <c r="IC151" s="125"/>
      <c r="ID151" s="125"/>
      <c r="IE151" s="125"/>
      <c r="IF151" s="125"/>
      <c r="IG151" s="125"/>
      <c r="IH151" s="125"/>
      <c r="II151" s="125"/>
      <c r="IJ151" s="125"/>
      <c r="IK151" s="125"/>
      <c r="IL151" s="125"/>
    </row>
    <row r="152" spans="1:251" s="123" customFormat="1" ht="14.25" x14ac:dyDescent="0.2">
      <c r="A152" s="129" t="s">
        <v>821</v>
      </c>
      <c r="B152" s="133" t="s">
        <v>817</v>
      </c>
      <c r="C152" s="137">
        <v>67044</v>
      </c>
      <c r="D152" s="136" t="s">
        <v>822</v>
      </c>
      <c r="E152" s="7" t="s">
        <v>411</v>
      </c>
      <c r="F152" s="132">
        <f>9.95*6</f>
        <v>59.699999999999996</v>
      </c>
      <c r="G152" s="263">
        <f t="shared" si="2"/>
        <v>68.074349155971603</v>
      </c>
      <c r="HW152" s="125"/>
      <c r="HX152" s="125"/>
      <c r="HY152" s="125"/>
      <c r="HZ152" s="125"/>
      <c r="IA152" s="125"/>
      <c r="IB152" s="125"/>
      <c r="IC152" s="125"/>
      <c r="ID152" s="125"/>
      <c r="IE152" s="125"/>
      <c r="IF152" s="125"/>
      <c r="IG152" s="125"/>
      <c r="IH152" s="125"/>
      <c r="II152" s="125"/>
      <c r="IJ152" s="125"/>
      <c r="IK152" s="125"/>
      <c r="IL152" s="125"/>
    </row>
    <row r="153" spans="1:251" s="123" customFormat="1" ht="14.25" customHeight="1" x14ac:dyDescent="0.2">
      <c r="A153" s="129" t="s">
        <v>823</v>
      </c>
      <c r="B153" s="133" t="s">
        <v>817</v>
      </c>
      <c r="C153" s="137">
        <v>67042</v>
      </c>
      <c r="D153" s="136" t="s">
        <v>824</v>
      </c>
      <c r="E153" s="7" t="s">
        <v>411</v>
      </c>
      <c r="F153" s="146">
        <f>8.67*4</f>
        <v>34.68</v>
      </c>
      <c r="G153" s="263">
        <f t="shared" si="2"/>
        <v>39.544697298644813</v>
      </c>
      <c r="HW153" s="125"/>
      <c r="HX153" s="125"/>
      <c r="HY153" s="125"/>
      <c r="HZ153" s="125"/>
      <c r="IA153" s="125"/>
      <c r="IB153" s="125"/>
      <c r="IC153" s="125"/>
      <c r="ID153" s="125"/>
      <c r="IE153" s="125"/>
      <c r="IF153" s="125"/>
      <c r="IG153" s="125"/>
      <c r="IH153" s="125"/>
      <c r="II153" s="125"/>
      <c r="IJ153" s="125"/>
      <c r="IK153" s="125"/>
      <c r="IL153" s="125"/>
    </row>
    <row r="154" spans="1:251" s="123" customFormat="1" ht="14.25" customHeight="1" x14ac:dyDescent="0.2">
      <c r="A154" s="129" t="s">
        <v>825</v>
      </c>
      <c r="B154" s="133" t="s">
        <v>817</v>
      </c>
      <c r="C154" s="137">
        <v>67042</v>
      </c>
      <c r="D154" s="136" t="s">
        <v>826</v>
      </c>
      <c r="E154" s="7" t="s">
        <v>411</v>
      </c>
      <c r="F154" s="132">
        <f>8.67*6</f>
        <v>52.019999999999996</v>
      </c>
      <c r="G154" s="263">
        <f t="shared" si="2"/>
        <v>59.317045947967216</v>
      </c>
      <c r="HW154" s="125"/>
      <c r="HX154" s="125"/>
      <c r="HY154" s="125"/>
      <c r="HZ154" s="125"/>
      <c r="IA154" s="125"/>
      <c r="IB154" s="125"/>
      <c r="IC154" s="125"/>
      <c r="ID154" s="125"/>
      <c r="IE154" s="125"/>
      <c r="IF154" s="125"/>
      <c r="IG154" s="125"/>
      <c r="IH154" s="125"/>
      <c r="II154" s="125"/>
      <c r="IJ154" s="125"/>
      <c r="IK154" s="125"/>
      <c r="IL154" s="125"/>
    </row>
    <row r="155" spans="1:251" s="123" customFormat="1" ht="14.25" customHeight="1" x14ac:dyDescent="0.2">
      <c r="A155" s="129" t="s">
        <v>827</v>
      </c>
      <c r="B155" s="133" t="s">
        <v>817</v>
      </c>
      <c r="C155" s="137">
        <v>67042</v>
      </c>
      <c r="D155" s="136" t="s">
        <v>828</v>
      </c>
      <c r="E155" s="7" t="s">
        <v>411</v>
      </c>
      <c r="F155" s="132">
        <f>8.67*8</f>
        <v>69.36</v>
      </c>
      <c r="G155" s="263">
        <f t="shared" si="2"/>
        <v>79.089394597289626</v>
      </c>
      <c r="HW155" s="125"/>
      <c r="HX155" s="125"/>
      <c r="HY155" s="125"/>
      <c r="HZ155" s="125"/>
      <c r="IA155" s="125"/>
      <c r="IB155" s="125"/>
      <c r="IC155" s="125"/>
      <c r="ID155" s="125"/>
      <c r="IE155" s="125"/>
      <c r="IF155" s="125"/>
      <c r="IG155" s="125"/>
      <c r="IH155" s="125"/>
      <c r="II155" s="125"/>
      <c r="IJ155" s="125"/>
      <c r="IK155" s="125"/>
      <c r="IL155" s="125"/>
    </row>
    <row r="156" spans="1:251" s="123" customFormat="1" ht="14.25" customHeight="1" x14ac:dyDescent="0.2">
      <c r="A156" s="129" t="s">
        <v>829</v>
      </c>
      <c r="B156" s="133" t="s">
        <v>817</v>
      </c>
      <c r="C156" s="137">
        <v>67042</v>
      </c>
      <c r="D156" s="136" t="s">
        <v>830</v>
      </c>
      <c r="E156" s="7" t="s">
        <v>411</v>
      </c>
      <c r="F156" s="132">
        <f>8.67*12</f>
        <v>104.03999999999999</v>
      </c>
      <c r="G156" s="263">
        <f t="shared" si="2"/>
        <v>118.63409189593443</v>
      </c>
      <c r="HW156" s="125"/>
      <c r="HX156" s="125"/>
      <c r="HY156" s="125"/>
      <c r="HZ156" s="125"/>
      <c r="IA156" s="125"/>
      <c r="IB156" s="125"/>
      <c r="IC156" s="125"/>
      <c r="ID156" s="125"/>
      <c r="IE156" s="125"/>
      <c r="IF156" s="125"/>
      <c r="IG156" s="125"/>
      <c r="IH156" s="125"/>
      <c r="II156" s="125"/>
      <c r="IJ156" s="125"/>
      <c r="IK156" s="125"/>
      <c r="IL156" s="125"/>
    </row>
    <row r="157" spans="1:251" s="123" customFormat="1" ht="14.25" customHeight="1" x14ac:dyDescent="0.2">
      <c r="A157" s="129" t="s">
        <v>831</v>
      </c>
      <c r="B157" s="133" t="s">
        <v>562</v>
      </c>
      <c r="C157" s="137">
        <v>13177</v>
      </c>
      <c r="D157" s="136" t="s">
        <v>832</v>
      </c>
      <c r="E157" s="7" t="s">
        <v>411</v>
      </c>
      <c r="F157" s="132">
        <v>74.489999999999995</v>
      </c>
      <c r="G157" s="263">
        <f t="shared" si="2"/>
        <v>84.938999474511306</v>
      </c>
      <c r="HW157" s="125"/>
      <c r="HX157" s="125"/>
      <c r="HY157" s="125"/>
      <c r="HZ157" s="125"/>
      <c r="IA157" s="125"/>
      <c r="IB157" s="125"/>
      <c r="IC157" s="125"/>
      <c r="ID157" s="125"/>
      <c r="IE157" s="125"/>
      <c r="IF157" s="125"/>
      <c r="IG157" s="125"/>
      <c r="IH157" s="125"/>
      <c r="II157" s="125"/>
      <c r="IJ157" s="125"/>
      <c r="IK157" s="125"/>
      <c r="IL157" s="125"/>
    </row>
    <row r="158" spans="1:251" s="123" customFormat="1" ht="14.25" x14ac:dyDescent="0.2">
      <c r="A158" s="129" t="s">
        <v>833</v>
      </c>
      <c r="B158" s="133" t="s">
        <v>562</v>
      </c>
      <c r="C158" s="137">
        <v>13178</v>
      </c>
      <c r="D158" s="136" t="s">
        <v>834</v>
      </c>
      <c r="E158" s="7" t="s">
        <v>411</v>
      </c>
      <c r="F158" s="132">
        <v>84.82</v>
      </c>
      <c r="G158" s="263">
        <f t="shared" si="2"/>
        <v>96.718028398819285</v>
      </c>
      <c r="HW158" s="125"/>
      <c r="HX158" s="125"/>
      <c r="HY158" s="125"/>
      <c r="HZ158" s="125"/>
      <c r="IA158" s="125"/>
      <c r="IB158" s="125"/>
      <c r="IC158" s="125"/>
      <c r="ID158" s="125"/>
      <c r="IE158" s="125"/>
      <c r="IF158" s="125"/>
      <c r="IG158" s="125"/>
      <c r="IH158" s="125"/>
      <c r="II158" s="125"/>
      <c r="IJ158" s="125"/>
      <c r="IK158" s="125"/>
      <c r="IL158" s="125"/>
    </row>
    <row r="159" spans="1:251" s="123" customFormat="1" ht="14.25" x14ac:dyDescent="0.2">
      <c r="A159" s="129" t="s">
        <v>835</v>
      </c>
      <c r="B159" s="106" t="s">
        <v>178</v>
      </c>
      <c r="C159" s="106">
        <v>1772</v>
      </c>
      <c r="D159" s="117" t="s">
        <v>836</v>
      </c>
      <c r="E159" s="7" t="s">
        <v>411</v>
      </c>
      <c r="F159" s="132">
        <v>128.32</v>
      </c>
      <c r="G159" s="263">
        <f t="shared" si="2"/>
        <v>146.31994110040665</v>
      </c>
      <c r="HW159" s="125"/>
      <c r="HX159" s="125"/>
      <c r="HY159" s="125"/>
      <c r="HZ159" s="125"/>
      <c r="IA159" s="125"/>
      <c r="IB159" s="125"/>
      <c r="IC159" s="125"/>
      <c r="ID159" s="125"/>
      <c r="IE159" s="125"/>
      <c r="IF159" s="125"/>
      <c r="IG159" s="125"/>
      <c r="IH159" s="125"/>
      <c r="II159" s="125"/>
      <c r="IJ159" s="125"/>
      <c r="IK159" s="125"/>
      <c r="IL159" s="125"/>
    </row>
    <row r="160" spans="1:251" s="123" customFormat="1" ht="14.25" x14ac:dyDescent="0.2">
      <c r="A160" s="129" t="s">
        <v>837</v>
      </c>
      <c r="B160" s="106" t="s">
        <v>178</v>
      </c>
      <c r="C160" s="106">
        <v>63010</v>
      </c>
      <c r="D160" s="117" t="s">
        <v>838</v>
      </c>
      <c r="E160" s="7" t="s">
        <v>411</v>
      </c>
      <c r="F160" s="132">
        <v>152</v>
      </c>
      <c r="G160" s="263">
        <f t="shared" si="2"/>
        <v>173.32162599175351</v>
      </c>
      <c r="HW160" s="125"/>
      <c r="HX160" s="125"/>
      <c r="HY160" s="125"/>
      <c r="HZ160" s="125"/>
      <c r="IA160" s="125"/>
      <c r="IB160" s="125"/>
      <c r="IC160" s="125"/>
      <c r="ID160" s="125"/>
      <c r="IE160" s="125"/>
      <c r="IF160" s="125"/>
      <c r="IG160" s="125"/>
      <c r="IH160" s="125"/>
      <c r="II160" s="125"/>
      <c r="IJ160" s="125"/>
      <c r="IK160" s="125"/>
      <c r="IL160" s="125"/>
    </row>
    <row r="161" spans="1:7" ht="14.25" x14ac:dyDescent="0.2">
      <c r="A161" s="129" t="s">
        <v>839</v>
      </c>
      <c r="B161" s="133" t="s">
        <v>178</v>
      </c>
      <c r="C161" s="137">
        <v>44112</v>
      </c>
      <c r="D161" s="136" t="s">
        <v>840</v>
      </c>
      <c r="E161" s="7" t="s">
        <v>411</v>
      </c>
      <c r="F161" s="132">
        <v>12</v>
      </c>
      <c r="G161" s="263">
        <f t="shared" si="2"/>
        <v>13.683286262506856</v>
      </c>
    </row>
    <row r="162" spans="1:7" ht="14.25" x14ac:dyDescent="0.2">
      <c r="A162" s="129" t="s">
        <v>841</v>
      </c>
      <c r="B162" s="133" t="s">
        <v>178</v>
      </c>
      <c r="C162" s="137">
        <v>151516</v>
      </c>
      <c r="D162" s="136" t="s">
        <v>842</v>
      </c>
      <c r="E162" s="7" t="s">
        <v>411</v>
      </c>
      <c r="F162" s="132">
        <v>18</v>
      </c>
      <c r="G162" s="263">
        <f t="shared" si="2"/>
        <v>20.524929393760285</v>
      </c>
    </row>
    <row r="163" spans="1:7" ht="14.25" x14ac:dyDescent="0.2">
      <c r="A163" s="129" t="s">
        <v>843</v>
      </c>
      <c r="B163" s="133" t="s">
        <v>817</v>
      </c>
      <c r="C163" s="137">
        <v>67048</v>
      </c>
      <c r="D163" s="136" t="s">
        <v>844</v>
      </c>
      <c r="E163" s="7" t="s">
        <v>411</v>
      </c>
      <c r="F163" s="132">
        <v>17.239999999999998</v>
      </c>
      <c r="G163" s="263">
        <f t="shared" si="2"/>
        <v>19.658321263801515</v>
      </c>
    </row>
    <row r="164" spans="1:7" ht="14.25" x14ac:dyDescent="0.2">
      <c r="A164" s="129" t="s">
        <v>845</v>
      </c>
      <c r="B164" s="133" t="s">
        <v>562</v>
      </c>
      <c r="C164" s="137">
        <v>11433</v>
      </c>
      <c r="D164" s="136" t="s">
        <v>846</v>
      </c>
      <c r="E164" s="7" t="s">
        <v>411</v>
      </c>
      <c r="F164" s="132">
        <v>22</v>
      </c>
      <c r="G164" s="263">
        <f t="shared" si="2"/>
        <v>25.086024814595902</v>
      </c>
    </row>
    <row r="165" spans="1:7" ht="14.25" x14ac:dyDescent="0.2">
      <c r="A165" s="129" t="s">
        <v>847</v>
      </c>
      <c r="B165" s="106" t="s">
        <v>178</v>
      </c>
      <c r="C165" s="106">
        <v>31851</v>
      </c>
      <c r="D165" s="135" t="s">
        <v>848</v>
      </c>
      <c r="E165" s="7" t="s">
        <v>411</v>
      </c>
      <c r="F165" s="132">
        <v>69.900000000000006</v>
      </c>
      <c r="G165" s="263">
        <f t="shared" si="2"/>
        <v>79.705142479102449</v>
      </c>
    </row>
    <row r="166" spans="1:7" ht="14.25" x14ac:dyDescent="0.2">
      <c r="A166" s="129" t="s">
        <v>849</v>
      </c>
      <c r="B166" s="106" t="s">
        <v>178</v>
      </c>
      <c r="C166" s="106">
        <v>71378</v>
      </c>
      <c r="D166" s="135" t="s">
        <v>850</v>
      </c>
      <c r="E166" s="7" t="s">
        <v>411</v>
      </c>
      <c r="F166" s="132">
        <v>17.8</v>
      </c>
      <c r="G166" s="263">
        <f t="shared" si="2"/>
        <v>20.296874622718505</v>
      </c>
    </row>
    <row r="167" spans="1:7" ht="14.25" x14ac:dyDescent="0.2">
      <c r="A167" s="129" t="s">
        <v>851</v>
      </c>
      <c r="B167" s="133" t="s">
        <v>178</v>
      </c>
      <c r="C167" s="137">
        <v>6807</v>
      </c>
      <c r="D167" s="140" t="s">
        <v>852</v>
      </c>
      <c r="E167" s="7" t="s">
        <v>411</v>
      </c>
      <c r="F167" s="132">
        <v>37.1</v>
      </c>
      <c r="G167" s="263">
        <f t="shared" si="2"/>
        <v>42.304160028250365</v>
      </c>
    </row>
    <row r="168" spans="1:7" ht="14.25" x14ac:dyDescent="0.2">
      <c r="A168" s="129" t="s">
        <v>853</v>
      </c>
      <c r="B168" s="133" t="s">
        <v>178</v>
      </c>
      <c r="C168" s="137">
        <v>6181</v>
      </c>
      <c r="D168" s="135" t="s">
        <v>854</v>
      </c>
      <c r="E168" s="7" t="s">
        <v>411</v>
      </c>
      <c r="F168" s="132">
        <v>287.11</v>
      </c>
      <c r="G168" s="263">
        <f t="shared" si="2"/>
        <v>327.38402656902866</v>
      </c>
    </row>
    <row r="169" spans="1:7" ht="14.25" x14ac:dyDescent="0.2">
      <c r="A169" s="129" t="s">
        <v>855</v>
      </c>
      <c r="B169" s="133" t="s">
        <v>178</v>
      </c>
      <c r="C169" s="137">
        <v>3184</v>
      </c>
      <c r="D169" s="135" t="s">
        <v>856</v>
      </c>
      <c r="E169" s="7" t="s">
        <v>411</v>
      </c>
      <c r="F169" s="132">
        <v>308.73</v>
      </c>
      <c r="G169" s="263">
        <f t="shared" si="2"/>
        <v>352.03674731864515</v>
      </c>
    </row>
    <row r="170" spans="1:7" ht="14.25" x14ac:dyDescent="0.2">
      <c r="A170" s="129" t="s">
        <v>857</v>
      </c>
      <c r="B170" s="133" t="s">
        <v>178</v>
      </c>
      <c r="C170" s="137">
        <v>3185</v>
      </c>
      <c r="D170" s="135" t="s">
        <v>858</v>
      </c>
      <c r="E170" s="7" t="s">
        <v>411</v>
      </c>
      <c r="F170" s="132">
        <v>308.73</v>
      </c>
      <c r="G170" s="263">
        <f t="shared" si="2"/>
        <v>352.03674731864515</v>
      </c>
    </row>
    <row r="171" spans="1:7" ht="28.5" x14ac:dyDescent="0.2">
      <c r="A171" s="129" t="s">
        <v>859</v>
      </c>
      <c r="B171" s="133" t="s">
        <v>178</v>
      </c>
      <c r="C171" s="137">
        <v>63003</v>
      </c>
      <c r="D171" s="120" t="s">
        <v>860</v>
      </c>
      <c r="E171" s="7" t="s">
        <v>411</v>
      </c>
      <c r="F171" s="132">
        <v>39.380000000000003</v>
      </c>
      <c r="G171" s="263">
        <f t="shared" si="2"/>
        <v>44.903984418126669</v>
      </c>
    </row>
    <row r="172" spans="1:7" ht="28.5" x14ac:dyDescent="0.2">
      <c r="A172" s="129" t="s">
        <v>861</v>
      </c>
      <c r="B172" s="133" t="s">
        <v>178</v>
      </c>
      <c r="C172" s="137">
        <v>362</v>
      </c>
      <c r="D172" s="120" t="s">
        <v>862</v>
      </c>
      <c r="E172" s="7" t="s">
        <v>411</v>
      </c>
      <c r="F172" s="132">
        <v>182.54</v>
      </c>
      <c r="G172" s="263">
        <f t="shared" si="2"/>
        <v>208.14558952983344</v>
      </c>
    </row>
    <row r="173" spans="1:7" ht="28.5" x14ac:dyDescent="0.2">
      <c r="A173" s="129" t="s">
        <v>863</v>
      </c>
      <c r="B173" s="133" t="s">
        <v>178</v>
      </c>
      <c r="C173" s="137">
        <v>63004</v>
      </c>
      <c r="D173" s="120" t="s">
        <v>864</v>
      </c>
      <c r="E173" s="7" t="s">
        <v>411</v>
      </c>
      <c r="F173" s="132">
        <v>79</v>
      </c>
      <c r="G173" s="263">
        <f t="shared" si="2"/>
        <v>90.081634561503463</v>
      </c>
    </row>
    <row r="174" spans="1:7" ht="14.25" x14ac:dyDescent="0.2">
      <c r="A174" s="129" t="s">
        <v>865</v>
      </c>
      <c r="B174" s="133" t="s">
        <v>562</v>
      </c>
      <c r="C174" s="137">
        <v>6890</v>
      </c>
      <c r="D174" s="136" t="s">
        <v>866</v>
      </c>
      <c r="E174" s="7" t="s">
        <v>411</v>
      </c>
      <c r="F174" s="132">
        <v>31.39</v>
      </c>
      <c r="G174" s="263">
        <f t="shared" si="2"/>
        <v>35.793196315007521</v>
      </c>
    </row>
    <row r="175" spans="1:7" ht="14.25" x14ac:dyDescent="0.2">
      <c r="A175" s="129" t="s">
        <v>867</v>
      </c>
      <c r="B175" s="133" t="s">
        <v>562</v>
      </c>
      <c r="C175" s="137">
        <v>6889</v>
      </c>
      <c r="D175" s="136" t="s">
        <v>868</v>
      </c>
      <c r="E175" s="7" t="s">
        <v>411</v>
      </c>
      <c r="F175" s="132">
        <v>18.89</v>
      </c>
      <c r="G175" s="263">
        <f t="shared" si="2"/>
        <v>21.539773124896211</v>
      </c>
    </row>
    <row r="176" spans="1:7" ht="14.25" x14ac:dyDescent="0.2">
      <c r="A176" s="129" t="s">
        <v>869</v>
      </c>
      <c r="B176" s="133" t="s">
        <v>178</v>
      </c>
      <c r="C176" s="137">
        <v>42215</v>
      </c>
      <c r="D176" s="136" t="s">
        <v>870</v>
      </c>
      <c r="E176" s="7" t="s">
        <v>290</v>
      </c>
      <c r="F176" s="132">
        <v>9.18</v>
      </c>
      <c r="G176" s="263">
        <f t="shared" si="2"/>
        <v>10.467713990817744</v>
      </c>
    </row>
    <row r="177" spans="1:7" ht="14.25" x14ac:dyDescent="0.2">
      <c r="A177" s="129" t="s">
        <v>871</v>
      </c>
      <c r="B177" s="133" t="s">
        <v>562</v>
      </c>
      <c r="C177" s="137">
        <v>11558</v>
      </c>
      <c r="D177" s="136" t="s">
        <v>872</v>
      </c>
      <c r="E177" s="7" t="s">
        <v>290</v>
      </c>
      <c r="F177" s="132">
        <v>0.4</v>
      </c>
      <c r="G177" s="263">
        <f t="shared" si="2"/>
        <v>0.45610954208356191</v>
      </c>
    </row>
    <row r="178" spans="1:7" ht="14.25" x14ac:dyDescent="0.2">
      <c r="A178" s="129" t="s">
        <v>873</v>
      </c>
      <c r="B178" s="106" t="s">
        <v>501</v>
      </c>
      <c r="C178" s="106">
        <v>19</v>
      </c>
      <c r="D178" s="136" t="s">
        <v>874</v>
      </c>
      <c r="E178" s="7" t="s">
        <v>411</v>
      </c>
      <c r="F178" s="132">
        <v>23.31</v>
      </c>
      <c r="G178" s="263">
        <f t="shared" si="2"/>
        <v>26.579783564919566</v>
      </c>
    </row>
    <row r="179" spans="1:7" ht="14.25" x14ac:dyDescent="0.2">
      <c r="A179" s="129" t="s">
        <v>875</v>
      </c>
      <c r="B179" s="133" t="s">
        <v>501</v>
      </c>
      <c r="C179" s="106">
        <v>20</v>
      </c>
      <c r="D179" s="136" t="s">
        <v>876</v>
      </c>
      <c r="E179" s="106" t="s">
        <v>551</v>
      </c>
      <c r="F179" s="132">
        <v>63.73</v>
      </c>
      <c r="G179" s="263">
        <f t="shared" si="2"/>
        <v>72.669652792463495</v>
      </c>
    </row>
    <row r="180" spans="1:7" ht="14.25" x14ac:dyDescent="0.2">
      <c r="A180" s="129" t="s">
        <v>877</v>
      </c>
      <c r="B180" s="133" t="s">
        <v>501</v>
      </c>
      <c r="C180" s="106">
        <v>21</v>
      </c>
      <c r="D180" s="136" t="s">
        <v>878</v>
      </c>
      <c r="E180" s="106" t="s">
        <v>551</v>
      </c>
      <c r="F180" s="132">
        <v>63.73</v>
      </c>
      <c r="G180" s="263">
        <f t="shared" si="2"/>
        <v>72.669652792463495</v>
      </c>
    </row>
    <row r="181" spans="1:7" ht="14.25" x14ac:dyDescent="0.2">
      <c r="A181" s="129" t="s">
        <v>879</v>
      </c>
      <c r="B181" s="133" t="s">
        <v>501</v>
      </c>
      <c r="C181" s="106">
        <v>22</v>
      </c>
      <c r="D181" s="136" t="s">
        <v>880</v>
      </c>
      <c r="E181" s="106" t="s">
        <v>551</v>
      </c>
      <c r="F181" s="132">
        <v>101.97</v>
      </c>
      <c r="G181" s="263">
        <f t="shared" si="2"/>
        <v>116.273725015652</v>
      </c>
    </row>
    <row r="182" spans="1:7" ht="14.25" x14ac:dyDescent="0.2">
      <c r="A182" s="129" t="s">
        <v>881</v>
      </c>
      <c r="B182" s="133" t="s">
        <v>501</v>
      </c>
      <c r="C182" s="106">
        <v>23</v>
      </c>
      <c r="D182" s="136" t="s">
        <v>882</v>
      </c>
      <c r="E182" s="106" t="s">
        <v>551</v>
      </c>
      <c r="F182" s="132">
        <v>101.97</v>
      </c>
      <c r="G182" s="263">
        <f t="shared" si="2"/>
        <v>116.273725015652</v>
      </c>
    </row>
    <row r="183" spans="1:7" ht="14.25" x14ac:dyDescent="0.2">
      <c r="A183" s="129" t="s">
        <v>883</v>
      </c>
      <c r="B183" s="133" t="s">
        <v>501</v>
      </c>
      <c r="C183" s="106">
        <v>24</v>
      </c>
      <c r="D183" s="136" t="s">
        <v>884</v>
      </c>
      <c r="E183" s="7" t="s">
        <v>411</v>
      </c>
      <c r="F183" s="132">
        <v>89.22</v>
      </c>
      <c r="G183" s="263">
        <f t="shared" si="2"/>
        <v>101.73523336173848</v>
      </c>
    </row>
    <row r="184" spans="1:7" ht="14.25" x14ac:dyDescent="0.2">
      <c r="A184" s="129" t="s">
        <v>885</v>
      </c>
      <c r="B184" s="133" t="s">
        <v>501</v>
      </c>
      <c r="C184" s="106">
        <v>25</v>
      </c>
      <c r="D184" s="136" t="s">
        <v>886</v>
      </c>
      <c r="E184" s="7" t="s">
        <v>411</v>
      </c>
      <c r="F184" s="132">
        <v>89.22</v>
      </c>
      <c r="G184" s="263">
        <f t="shared" si="2"/>
        <v>101.73523336173848</v>
      </c>
    </row>
    <row r="185" spans="1:7" ht="14.25" x14ac:dyDescent="0.2">
      <c r="A185" s="129" t="s">
        <v>887</v>
      </c>
      <c r="B185" s="133" t="s">
        <v>501</v>
      </c>
      <c r="C185" s="106">
        <v>26</v>
      </c>
      <c r="D185" s="136" t="s">
        <v>888</v>
      </c>
      <c r="E185" s="7" t="s">
        <v>411</v>
      </c>
      <c r="F185" s="132">
        <v>458.86</v>
      </c>
      <c r="G185" s="263">
        <f t="shared" si="2"/>
        <v>523.22606120115802</v>
      </c>
    </row>
    <row r="186" spans="1:7" ht="14.25" x14ac:dyDescent="0.2">
      <c r="A186" s="129" t="s">
        <v>889</v>
      </c>
      <c r="B186" s="133" t="s">
        <v>501</v>
      </c>
      <c r="C186" s="106">
        <v>27</v>
      </c>
      <c r="D186" s="136" t="s">
        <v>890</v>
      </c>
      <c r="E186" s="7" t="s">
        <v>411</v>
      </c>
      <c r="F186" s="132">
        <v>458.86</v>
      </c>
      <c r="G186" s="263">
        <f t="shared" si="2"/>
        <v>523.22606120115802</v>
      </c>
    </row>
    <row r="187" spans="1:7" ht="14.25" x14ac:dyDescent="0.2">
      <c r="A187" s="129" t="s">
        <v>891</v>
      </c>
      <c r="B187" s="133" t="s">
        <v>501</v>
      </c>
      <c r="C187" s="106">
        <v>28</v>
      </c>
      <c r="D187" s="136" t="s">
        <v>892</v>
      </c>
      <c r="E187" s="7" t="s">
        <v>411</v>
      </c>
      <c r="F187" s="132">
        <v>458.86</v>
      </c>
      <c r="G187" s="263">
        <f t="shared" si="2"/>
        <v>523.22606120115802</v>
      </c>
    </row>
    <row r="188" spans="1:7" ht="14.25" x14ac:dyDescent="0.2">
      <c r="A188" s="129" t="s">
        <v>893</v>
      </c>
      <c r="B188" s="133" t="s">
        <v>501</v>
      </c>
      <c r="C188" s="106">
        <v>29</v>
      </c>
      <c r="D188" s="136" t="s">
        <v>894</v>
      </c>
      <c r="E188" s="7" t="s">
        <v>411</v>
      </c>
      <c r="F188" s="132">
        <v>44.61</v>
      </c>
      <c r="G188" s="263">
        <f t="shared" si="2"/>
        <v>50.86761668086924</v>
      </c>
    </row>
    <row r="189" spans="1:7" ht="14.25" x14ac:dyDescent="0.2">
      <c r="A189" s="129" t="s">
        <v>895</v>
      </c>
      <c r="B189" s="133" t="s">
        <v>501</v>
      </c>
      <c r="C189" s="106">
        <v>30</v>
      </c>
      <c r="D189" s="136" t="s">
        <v>896</v>
      </c>
      <c r="E189" s="7" t="s">
        <v>411</v>
      </c>
      <c r="F189" s="132">
        <v>280.41000000000003</v>
      </c>
      <c r="G189" s="263">
        <f t="shared" si="2"/>
        <v>319.74419173912901</v>
      </c>
    </row>
    <row r="190" spans="1:7" ht="14.25" x14ac:dyDescent="0.2">
      <c r="A190" s="129" t="s">
        <v>897</v>
      </c>
      <c r="B190" s="133" t="s">
        <v>501</v>
      </c>
      <c r="C190" s="106">
        <v>31</v>
      </c>
      <c r="D190" s="136" t="s">
        <v>898</v>
      </c>
      <c r="E190" s="7" t="s">
        <v>411</v>
      </c>
      <c r="F190" s="132">
        <v>25.49</v>
      </c>
      <c r="G190" s="263">
        <f t="shared" si="2"/>
        <v>29.065580569274978</v>
      </c>
    </row>
    <row r="191" spans="1:7" ht="14.25" x14ac:dyDescent="0.2">
      <c r="A191" s="129" t="s">
        <v>899</v>
      </c>
      <c r="B191" s="133" t="s">
        <v>501</v>
      </c>
      <c r="C191" s="106">
        <v>32</v>
      </c>
      <c r="D191" s="136" t="s">
        <v>900</v>
      </c>
      <c r="E191" s="7" t="s">
        <v>411</v>
      </c>
      <c r="F191" s="132">
        <v>25.49</v>
      </c>
      <c r="G191" s="263">
        <f t="shared" si="2"/>
        <v>29.065580569274978</v>
      </c>
    </row>
    <row r="192" spans="1:7" ht="14.25" x14ac:dyDescent="0.2">
      <c r="A192" s="129" t="s">
        <v>901</v>
      </c>
      <c r="B192" s="133" t="s">
        <v>501</v>
      </c>
      <c r="C192" s="106">
        <v>33</v>
      </c>
      <c r="D192" s="136" t="s">
        <v>902</v>
      </c>
      <c r="E192" s="7" t="s">
        <v>411</v>
      </c>
      <c r="F192" s="132">
        <v>50.98</v>
      </c>
      <c r="G192" s="263">
        <f t="shared" si="2"/>
        <v>58.131161138549956</v>
      </c>
    </row>
    <row r="193" spans="1:7" ht="14.25" x14ac:dyDescent="0.2">
      <c r="A193" s="129" t="s">
        <v>903</v>
      </c>
      <c r="B193" s="133" t="s">
        <v>501</v>
      </c>
      <c r="C193" s="106">
        <v>34</v>
      </c>
      <c r="D193" s="136" t="s">
        <v>904</v>
      </c>
      <c r="E193" s="7" t="s">
        <v>411</v>
      </c>
      <c r="F193" s="132">
        <v>95.59</v>
      </c>
      <c r="G193" s="263">
        <f t="shared" si="2"/>
        <v>108.9987778194192</v>
      </c>
    </row>
    <row r="194" spans="1:7" ht="14.25" x14ac:dyDescent="0.2">
      <c r="A194" s="129" t="s">
        <v>905</v>
      </c>
      <c r="B194" s="133" t="s">
        <v>501</v>
      </c>
      <c r="C194" s="106">
        <v>35</v>
      </c>
      <c r="D194" s="136" t="s">
        <v>906</v>
      </c>
      <c r="E194" s="7" t="s">
        <v>411</v>
      </c>
      <c r="F194" s="132">
        <v>57.36</v>
      </c>
      <c r="G194" s="263">
        <f t="shared" si="2"/>
        <v>65.406108334782772</v>
      </c>
    </row>
    <row r="196" spans="1:7" ht="25.5" x14ac:dyDescent="0.2">
      <c r="E196" s="248" t="s">
        <v>1034</v>
      </c>
      <c r="F196" s="12"/>
      <c r="G196" s="12"/>
    </row>
    <row r="197" spans="1:7" x14ac:dyDescent="0.2">
      <c r="E197" s="12"/>
      <c r="F197" s="12"/>
      <c r="G197" s="12"/>
    </row>
    <row r="198" spans="1:7" x14ac:dyDescent="0.2">
      <c r="E198" s="249" t="s">
        <v>1035</v>
      </c>
      <c r="F198"/>
      <c r="G198"/>
    </row>
    <row r="199" spans="1:7" x14ac:dyDescent="0.2">
      <c r="E199" s="249" t="s">
        <v>1036</v>
      </c>
      <c r="F199"/>
      <c r="G199"/>
    </row>
    <row r="200" spans="1:7" x14ac:dyDescent="0.2">
      <c r="E200" s="249" t="s">
        <v>1043</v>
      </c>
      <c r="F200" s="250" t="s">
        <v>1044</v>
      </c>
      <c r="G200" s="251"/>
    </row>
    <row r="201" spans="1:7" ht="16.5" x14ac:dyDescent="0.3">
      <c r="E201" s="252" t="s">
        <v>1045</v>
      </c>
      <c r="F201" s="253">
        <v>1.26</v>
      </c>
      <c r="G201" s="254"/>
    </row>
    <row r="202" spans="1:7" ht="16.5" x14ac:dyDescent="0.3">
      <c r="E202" s="249" t="s">
        <v>985</v>
      </c>
      <c r="F202" s="255">
        <v>3334.9659000000001</v>
      </c>
      <c r="G202" t="s">
        <v>1041</v>
      </c>
    </row>
    <row r="203" spans="1:7" ht="16.5" x14ac:dyDescent="0.3">
      <c r="E203" s="249" t="s">
        <v>1037</v>
      </c>
      <c r="F203" s="255">
        <v>2924.7060999999999</v>
      </c>
      <c r="G203" t="s">
        <v>1042</v>
      </c>
    </row>
    <row r="204" spans="1:7" ht="16.5" x14ac:dyDescent="0.3">
      <c r="E204" s="249"/>
      <c r="F204" s="253">
        <f>(F201*(F202-F203))/F203</f>
        <v>0.17674505756321993</v>
      </c>
      <c r="G204" s="254"/>
    </row>
    <row r="205" spans="1:7" ht="16.5" x14ac:dyDescent="0.3">
      <c r="E205" s="249" t="s">
        <v>1038</v>
      </c>
      <c r="F205" s="256">
        <f>F201+F204</f>
        <v>1.4367450575632199</v>
      </c>
      <c r="G205" s="257"/>
    </row>
    <row r="206" spans="1:7" ht="16.5" x14ac:dyDescent="0.3">
      <c r="E206"/>
      <c r="F206" s="258"/>
      <c r="G206" s="259"/>
    </row>
    <row r="207" spans="1:7" ht="16.5" x14ac:dyDescent="0.3">
      <c r="E207"/>
      <c r="F207" s="258">
        <f>F205/F201</f>
        <v>1.1402738552089047</v>
      </c>
      <c r="G207" s="259"/>
    </row>
  </sheetData>
  <mergeCells count="1">
    <mergeCell ref="A1:F1"/>
  </mergeCells>
  <printOptions horizontalCentered="1"/>
  <pageMargins left="0.78740157480314965" right="0.78740157480314965" top="0.9055118110236221" bottom="0.9055118110236221" header="0.51181102362204722" footer="0.51181102362204722"/>
  <pageSetup paperSize="9" scale="22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131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IU24"/>
  <sheetViews>
    <sheetView view="pageBreakPreview" zoomScaleNormal="60" workbookViewId="0">
      <selection activeCell="I11" sqref="I11"/>
    </sheetView>
  </sheetViews>
  <sheetFormatPr defaultRowHeight="12.75" x14ac:dyDescent="0.2"/>
  <cols>
    <col min="1" max="1" width="5.42578125" customWidth="1"/>
    <col min="2" max="2" width="7.42578125" customWidth="1"/>
    <col min="3" max="3" width="8.42578125" customWidth="1"/>
    <col min="4" max="4" width="60.140625" style="111" customWidth="1"/>
    <col min="5" max="5" width="9.42578125" style="110" customWidth="1"/>
    <col min="6" max="6" width="12.85546875" style="110" customWidth="1"/>
    <col min="7" max="8" width="10.5703125" style="111" customWidth="1"/>
    <col min="9" max="9" width="12" style="111" customWidth="1"/>
    <col min="10" max="240" width="11.140625" style="111" customWidth="1"/>
    <col min="241" max="255" width="11.140625" style="112" customWidth="1"/>
    <col min="256" max="1026" width="11.140625" customWidth="1"/>
  </cols>
  <sheetData>
    <row r="1" spans="1:9" ht="20.25" x14ac:dyDescent="0.2">
      <c r="A1" s="343" t="s">
        <v>907</v>
      </c>
      <c r="B1" s="343"/>
      <c r="C1" s="343"/>
      <c r="D1" s="343"/>
      <c r="E1" s="343"/>
      <c r="F1" s="343"/>
      <c r="G1" s="343"/>
      <c r="H1" s="343"/>
      <c r="I1" s="343"/>
    </row>
    <row r="2" spans="1:9" ht="60" x14ac:dyDescent="0.2">
      <c r="A2" s="147" t="s">
        <v>2</v>
      </c>
      <c r="B2" s="147" t="s">
        <v>176</v>
      </c>
      <c r="C2" s="147" t="s">
        <v>177</v>
      </c>
      <c r="D2" s="147" t="s">
        <v>3</v>
      </c>
      <c r="E2" s="147" t="s">
        <v>4</v>
      </c>
      <c r="F2" s="113" t="s">
        <v>908</v>
      </c>
      <c r="G2" s="113" t="s">
        <v>6</v>
      </c>
      <c r="H2" s="264" t="s">
        <v>1046</v>
      </c>
      <c r="I2" s="113" t="s">
        <v>86</v>
      </c>
    </row>
    <row r="3" spans="1:9" ht="14.25" x14ac:dyDescent="0.2">
      <c r="A3" s="106">
        <v>1</v>
      </c>
      <c r="B3" s="106" t="s">
        <v>178</v>
      </c>
      <c r="C3" s="106">
        <v>62006</v>
      </c>
      <c r="D3" s="148" t="s">
        <v>909</v>
      </c>
      <c r="E3" s="144" t="s">
        <v>411</v>
      </c>
      <c r="F3" s="144">
        <v>4</v>
      </c>
      <c r="G3" s="149">
        <v>39.93</v>
      </c>
      <c r="H3" s="149">
        <f>G3*$G$24</f>
        <v>45.531135038491563</v>
      </c>
      <c r="I3" s="150">
        <f>H3*F3</f>
        <v>182.12454015396625</v>
      </c>
    </row>
    <row r="4" spans="1:9" ht="28.5" x14ac:dyDescent="0.2">
      <c r="A4" s="106">
        <v>2</v>
      </c>
      <c r="B4" s="106" t="s">
        <v>178</v>
      </c>
      <c r="C4" s="106">
        <v>6565</v>
      </c>
      <c r="D4" s="148" t="s">
        <v>910</v>
      </c>
      <c r="E4" s="144" t="s">
        <v>411</v>
      </c>
      <c r="F4" s="151">
        <v>4</v>
      </c>
      <c r="G4" s="149">
        <v>34.78</v>
      </c>
      <c r="H4" s="149">
        <f t="shared" ref="H4:H9" si="0">G4*$G$24</f>
        <v>39.658724684165705</v>
      </c>
      <c r="I4" s="150">
        <f t="shared" ref="I4:I9" si="1">H4*F4</f>
        <v>158.63489873666282</v>
      </c>
    </row>
    <row r="5" spans="1:9" ht="28.5" x14ac:dyDescent="0.2">
      <c r="A5" s="106">
        <v>3</v>
      </c>
      <c r="B5" s="106" t="s">
        <v>182</v>
      </c>
      <c r="C5" s="106">
        <v>12893</v>
      </c>
      <c r="D5" s="148" t="s">
        <v>911</v>
      </c>
      <c r="E5" s="144" t="s">
        <v>912</v>
      </c>
      <c r="F5" s="151">
        <v>1</v>
      </c>
      <c r="G5" s="149">
        <v>52.8</v>
      </c>
      <c r="H5" s="149">
        <f t="shared" si="0"/>
        <v>60.206459555030165</v>
      </c>
      <c r="I5" s="150">
        <f>H5*F5</f>
        <v>60.206459555030165</v>
      </c>
    </row>
    <row r="6" spans="1:9" ht="14.25" x14ac:dyDescent="0.2">
      <c r="A6" s="106">
        <v>4</v>
      </c>
      <c r="B6" s="106" t="s">
        <v>182</v>
      </c>
      <c r="C6" s="106">
        <v>36152</v>
      </c>
      <c r="D6" s="148" t="s">
        <v>913</v>
      </c>
      <c r="E6" s="144" t="s">
        <v>411</v>
      </c>
      <c r="F6" s="151">
        <v>2</v>
      </c>
      <c r="G6" s="149">
        <v>4.29</v>
      </c>
      <c r="H6" s="149">
        <f t="shared" si="0"/>
        <v>4.8917748388462012</v>
      </c>
      <c r="I6" s="150">
        <f t="shared" si="1"/>
        <v>9.7835496776924025</v>
      </c>
    </row>
    <row r="7" spans="1:9" ht="14.25" x14ac:dyDescent="0.2">
      <c r="A7" s="106">
        <v>5</v>
      </c>
      <c r="B7" s="106" t="s">
        <v>182</v>
      </c>
      <c r="C7" s="106">
        <v>12892</v>
      </c>
      <c r="D7" s="148" t="s">
        <v>914</v>
      </c>
      <c r="E7" s="144" t="s">
        <v>912</v>
      </c>
      <c r="F7" s="151">
        <v>2</v>
      </c>
      <c r="G7" s="149">
        <v>9.9</v>
      </c>
      <c r="H7" s="149">
        <f t="shared" si="0"/>
        <v>11.288711166568156</v>
      </c>
      <c r="I7" s="150">
        <f t="shared" si="1"/>
        <v>22.577422333136312</v>
      </c>
    </row>
    <row r="8" spans="1:9" ht="14.25" x14ac:dyDescent="0.2">
      <c r="A8" s="106">
        <v>6</v>
      </c>
      <c r="B8" s="106" t="s">
        <v>182</v>
      </c>
      <c r="C8" s="106">
        <v>12895</v>
      </c>
      <c r="D8" s="148" t="s">
        <v>915</v>
      </c>
      <c r="E8" s="144" t="s">
        <v>411</v>
      </c>
      <c r="F8" s="151">
        <v>1</v>
      </c>
      <c r="G8" s="149">
        <v>11</v>
      </c>
      <c r="H8" s="149">
        <f t="shared" si="0"/>
        <v>12.543012407297951</v>
      </c>
      <c r="I8" s="150">
        <f t="shared" si="1"/>
        <v>12.543012407297951</v>
      </c>
    </row>
    <row r="9" spans="1:9" ht="14.25" x14ac:dyDescent="0.2">
      <c r="A9" s="106">
        <v>7</v>
      </c>
      <c r="B9" s="106" t="s">
        <v>178</v>
      </c>
      <c r="C9" s="106">
        <v>466</v>
      </c>
      <c r="D9" s="148" t="s">
        <v>916</v>
      </c>
      <c r="E9" s="144" t="s">
        <v>411</v>
      </c>
      <c r="F9" s="151">
        <v>1</v>
      </c>
      <c r="G9" s="149">
        <v>3.65</v>
      </c>
      <c r="H9" s="149">
        <f t="shared" si="0"/>
        <v>4.161999571512502</v>
      </c>
      <c r="I9" s="150">
        <f t="shared" si="1"/>
        <v>4.161999571512502</v>
      </c>
    </row>
    <row r="10" spans="1:9" ht="15" customHeight="1" x14ac:dyDescent="0.2">
      <c r="A10" s="344" t="s">
        <v>917</v>
      </c>
      <c r="B10" s="344"/>
      <c r="C10" s="344"/>
      <c r="D10" s="344"/>
      <c r="E10" s="344"/>
      <c r="F10" s="344"/>
      <c r="G10" s="344"/>
      <c r="H10" s="265"/>
      <c r="I10" s="152">
        <f>SUM(I3:I9)</f>
        <v>450.03188243529848</v>
      </c>
    </row>
    <row r="11" spans="1:9" ht="15" customHeight="1" x14ac:dyDescent="0.2">
      <c r="A11" s="344" t="s">
        <v>918</v>
      </c>
      <c r="B11" s="344"/>
      <c r="C11" s="344"/>
      <c r="D11" s="344"/>
      <c r="E11" s="344"/>
      <c r="F11" s="344"/>
      <c r="G11" s="344"/>
      <c r="H11" s="265"/>
      <c r="I11" s="152">
        <f>I10/12</f>
        <v>37.502656869608209</v>
      </c>
    </row>
    <row r="12" spans="1:9" ht="17.45" customHeight="1" x14ac:dyDescent="0.2"/>
    <row r="13" spans="1:9" ht="25.5" x14ac:dyDescent="0.2">
      <c r="F13" s="248" t="s">
        <v>1034</v>
      </c>
      <c r="G13" s="12"/>
      <c r="H13" s="12"/>
      <c r="I13" s="12"/>
    </row>
    <row r="14" spans="1:9" x14ac:dyDescent="0.2">
      <c r="F14" s="12"/>
      <c r="G14" s="12"/>
      <c r="H14" s="12"/>
      <c r="I14" s="12"/>
    </row>
    <row r="15" spans="1:9" x14ac:dyDescent="0.2">
      <c r="F15" s="249" t="s">
        <v>1035</v>
      </c>
      <c r="G15"/>
      <c r="H15"/>
      <c r="I15"/>
    </row>
    <row r="16" spans="1:9" x14ac:dyDescent="0.2">
      <c r="F16" s="249" t="s">
        <v>1036</v>
      </c>
      <c r="G16"/>
      <c r="H16"/>
      <c r="I16"/>
    </row>
    <row r="17" spans="6:9" x14ac:dyDescent="0.2">
      <c r="F17" s="249" t="s">
        <v>1043</v>
      </c>
      <c r="G17" s="250" t="s">
        <v>1044</v>
      </c>
      <c r="H17" s="251"/>
      <c r="I17" s="251"/>
    </row>
    <row r="18" spans="6:9" ht="16.5" x14ac:dyDescent="0.3">
      <c r="F18" s="252" t="s">
        <v>1045</v>
      </c>
      <c r="G18" s="253">
        <v>1.26</v>
      </c>
      <c r="H18" s="254"/>
      <c r="I18" s="254"/>
    </row>
    <row r="19" spans="6:9" ht="16.5" x14ac:dyDescent="0.3">
      <c r="F19" s="249" t="s">
        <v>985</v>
      </c>
      <c r="G19" s="255">
        <v>3334.9659000000001</v>
      </c>
      <c r="H19" s="261"/>
      <c r="I19" t="s">
        <v>1041</v>
      </c>
    </row>
    <row r="20" spans="6:9" ht="16.5" x14ac:dyDescent="0.3">
      <c r="F20" s="249" t="s">
        <v>1037</v>
      </c>
      <c r="G20" s="255">
        <v>2924.7060999999999</v>
      </c>
      <c r="H20" s="261"/>
      <c r="I20" t="s">
        <v>1042</v>
      </c>
    </row>
    <row r="21" spans="6:9" ht="16.5" x14ac:dyDescent="0.3">
      <c r="F21" s="249"/>
      <c r="G21" s="253">
        <f>(G18*(G19-G20))/G20</f>
        <v>0.17674505756321993</v>
      </c>
      <c r="H21" s="254"/>
      <c r="I21" s="254"/>
    </row>
    <row r="22" spans="6:9" ht="16.5" x14ac:dyDescent="0.3">
      <c r="F22" s="249" t="s">
        <v>1038</v>
      </c>
      <c r="G22" s="256">
        <f>G18+G21</f>
        <v>1.4367450575632199</v>
      </c>
      <c r="H22" s="257"/>
      <c r="I22" s="257"/>
    </row>
    <row r="23" spans="6:9" ht="16.5" x14ac:dyDescent="0.3">
      <c r="F23"/>
      <c r="G23" s="258"/>
      <c r="H23" s="259"/>
      <c r="I23" s="259"/>
    </row>
    <row r="24" spans="6:9" ht="16.5" x14ac:dyDescent="0.3">
      <c r="F24"/>
      <c r="G24" s="258">
        <f>G22/G18</f>
        <v>1.1402738552089047</v>
      </c>
      <c r="H24" s="259"/>
      <c r="I24" s="259"/>
    </row>
  </sheetData>
  <mergeCells count="3">
    <mergeCell ref="A1:I1"/>
    <mergeCell ref="A10:G10"/>
    <mergeCell ref="A11:G11"/>
  </mergeCells>
  <printOptions horizontalCentered="1"/>
  <pageMargins left="0.78740157480314965" right="0.78740157480314965" top="0.9055118110236221" bottom="0.9055118110236221" header="0.51181102362204722" footer="0.51181102362204722"/>
  <pageSetup paperSize="9" scale="63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249977111117893"/>
    <pageSetUpPr fitToPage="1"/>
  </sheetPr>
  <dimension ref="A1:G57"/>
  <sheetViews>
    <sheetView view="pageBreakPreview" topLeftCell="A43" zoomScale="90" zoomScaleNormal="60" zoomScalePageLayoutView="90" workbookViewId="0">
      <selection activeCell="I19" sqref="I19"/>
    </sheetView>
  </sheetViews>
  <sheetFormatPr defaultRowHeight="12.75" x14ac:dyDescent="0.2"/>
  <cols>
    <col min="1" max="1" width="52.85546875" customWidth="1"/>
    <col min="2" max="2" width="47" customWidth="1"/>
    <col min="3" max="3" width="16.140625" customWidth="1"/>
    <col min="4" max="4" width="20.140625" customWidth="1"/>
    <col min="5" max="5" width="15.5703125" customWidth="1"/>
    <col min="6" max="6" width="16.140625" customWidth="1"/>
    <col min="7" max="7" width="15.5703125" customWidth="1"/>
    <col min="8" max="1025" width="8.5703125" customWidth="1"/>
  </cols>
  <sheetData>
    <row r="1" spans="1:7" ht="20.25" x14ac:dyDescent="0.2">
      <c r="A1" s="314" t="s">
        <v>919</v>
      </c>
      <c r="B1" s="314"/>
      <c r="C1" s="314"/>
      <c r="D1" s="314"/>
      <c r="E1" s="314"/>
      <c r="F1" s="314"/>
      <c r="G1" s="314"/>
    </row>
    <row r="2" spans="1:7" ht="30" x14ac:dyDescent="0.2">
      <c r="A2" s="54" t="s">
        <v>920</v>
      </c>
      <c r="B2" s="54" t="s">
        <v>921</v>
      </c>
      <c r="C2" s="54" t="s">
        <v>311</v>
      </c>
      <c r="D2" s="54" t="s">
        <v>922</v>
      </c>
      <c r="E2" s="54" t="s">
        <v>27</v>
      </c>
      <c r="F2" s="54" t="s">
        <v>923</v>
      </c>
      <c r="G2" s="54" t="s">
        <v>924</v>
      </c>
    </row>
    <row r="3" spans="1:7" ht="28.5" customHeight="1" x14ac:dyDescent="0.2">
      <c r="A3" s="117" t="s">
        <v>165</v>
      </c>
      <c r="B3" s="122" t="s">
        <v>925</v>
      </c>
      <c r="C3" s="153">
        <v>2315.5500000000002</v>
      </c>
      <c r="D3" s="10">
        <f t="shared" ref="D3:D34" si="0">C3/$C$56</f>
        <v>3.8826774284906086E-2</v>
      </c>
      <c r="E3" s="75">
        <v>0.05</v>
      </c>
      <c r="F3" s="104">
        <f t="shared" ref="F3:F34" si="1">D3*$B$57</f>
        <v>5004.2671267827891</v>
      </c>
      <c r="G3" s="104">
        <f t="shared" ref="G3:G34" si="2">E3*F3</f>
        <v>250.21335633913947</v>
      </c>
    </row>
    <row r="4" spans="1:7" ht="28.5" customHeight="1" x14ac:dyDescent="0.2">
      <c r="A4" s="117" t="s">
        <v>166</v>
      </c>
      <c r="B4" s="122" t="s">
        <v>925</v>
      </c>
      <c r="C4" s="153">
        <v>1102</v>
      </c>
      <c r="D4" s="10">
        <f t="shared" si="0"/>
        <v>1.8478160809296495E-2</v>
      </c>
      <c r="E4" s="75">
        <v>0.05</v>
      </c>
      <c r="F4" s="104">
        <f t="shared" si="1"/>
        <v>2381.595030862919</v>
      </c>
      <c r="G4" s="104">
        <f t="shared" si="2"/>
        <v>119.07975154314596</v>
      </c>
    </row>
    <row r="5" spans="1:7" ht="28.5" customHeight="1" x14ac:dyDescent="0.2">
      <c r="A5" s="117" t="s">
        <v>147</v>
      </c>
      <c r="B5" s="122" t="s">
        <v>926</v>
      </c>
      <c r="C5" s="153">
        <v>1426</v>
      </c>
      <c r="D5" s="10">
        <f t="shared" si="0"/>
        <v>2.3910941301321962E-2</v>
      </c>
      <c r="E5" s="75">
        <v>0.05</v>
      </c>
      <c r="F5" s="104">
        <f t="shared" si="1"/>
        <v>3081.8099038208011</v>
      </c>
      <c r="G5" s="104">
        <f t="shared" si="2"/>
        <v>154.09049519104008</v>
      </c>
    </row>
    <row r="6" spans="1:7" ht="28.5" customHeight="1" x14ac:dyDescent="0.2">
      <c r="A6" s="117" t="s">
        <v>151</v>
      </c>
      <c r="B6" s="122" t="s">
        <v>927</v>
      </c>
      <c r="C6" s="153">
        <v>136</v>
      </c>
      <c r="D6" s="10">
        <f t="shared" si="0"/>
        <v>2.2804263793687143E-3</v>
      </c>
      <c r="E6" s="75">
        <v>0.05</v>
      </c>
      <c r="F6" s="104">
        <f t="shared" si="1"/>
        <v>293.91735408108622</v>
      </c>
      <c r="G6" s="104">
        <f t="shared" si="2"/>
        <v>14.695867704054312</v>
      </c>
    </row>
    <row r="7" spans="1:7" ht="28.5" customHeight="1" x14ac:dyDescent="0.2">
      <c r="A7" s="117" t="s">
        <v>153</v>
      </c>
      <c r="B7" s="122" t="s">
        <v>928</v>
      </c>
      <c r="C7" s="153">
        <v>240</v>
      </c>
      <c r="D7" s="10">
        <f t="shared" si="0"/>
        <v>4.0242818459447901E-3</v>
      </c>
      <c r="E7" s="75">
        <v>0.02</v>
      </c>
      <c r="F7" s="104">
        <f t="shared" si="1"/>
        <v>518.67768367250505</v>
      </c>
      <c r="G7" s="104">
        <f t="shared" si="2"/>
        <v>10.373553673450102</v>
      </c>
    </row>
    <row r="8" spans="1:7" ht="28.5" customHeight="1" x14ac:dyDescent="0.2">
      <c r="A8" s="117" t="s">
        <v>152</v>
      </c>
      <c r="B8" s="122" t="s">
        <v>929</v>
      </c>
      <c r="C8" s="153">
        <v>239</v>
      </c>
      <c r="D8" s="10">
        <f t="shared" si="0"/>
        <v>4.0075140049200203E-3</v>
      </c>
      <c r="E8" s="75">
        <v>0.04</v>
      </c>
      <c r="F8" s="104">
        <f t="shared" si="1"/>
        <v>516.51652665720303</v>
      </c>
      <c r="G8" s="104">
        <f t="shared" si="2"/>
        <v>20.660661066288121</v>
      </c>
    </row>
    <row r="9" spans="1:7" ht="28.5" customHeight="1" x14ac:dyDescent="0.2">
      <c r="A9" s="117" t="s">
        <v>154</v>
      </c>
      <c r="B9" s="122" t="s">
        <v>930</v>
      </c>
      <c r="C9" s="153">
        <v>150</v>
      </c>
      <c r="D9" s="10">
        <f t="shared" si="0"/>
        <v>2.5151761537154939E-3</v>
      </c>
      <c r="E9" s="75">
        <v>0.02</v>
      </c>
      <c r="F9" s="104">
        <f t="shared" si="1"/>
        <v>324.17355229531569</v>
      </c>
      <c r="G9" s="104">
        <f t="shared" si="2"/>
        <v>6.4834710459063141</v>
      </c>
    </row>
    <row r="10" spans="1:7" ht="28.5" customHeight="1" x14ac:dyDescent="0.2">
      <c r="A10" s="117" t="s">
        <v>156</v>
      </c>
      <c r="B10" s="122" t="s">
        <v>931</v>
      </c>
      <c r="C10" s="153">
        <v>1037</v>
      </c>
      <c r="D10" s="10">
        <f t="shared" si="0"/>
        <v>1.7388251142686446E-2</v>
      </c>
      <c r="E10" s="75">
        <v>0.05</v>
      </c>
      <c r="F10" s="104">
        <f t="shared" si="1"/>
        <v>2241.1198248682822</v>
      </c>
      <c r="G10" s="104">
        <f t="shared" si="2"/>
        <v>112.05599124341411</v>
      </c>
    </row>
    <row r="11" spans="1:7" ht="28.5" customHeight="1" x14ac:dyDescent="0.2">
      <c r="A11" s="117" t="s">
        <v>163</v>
      </c>
      <c r="B11" s="122" t="s">
        <v>932</v>
      </c>
      <c r="C11" s="153">
        <v>524</v>
      </c>
      <c r="D11" s="10">
        <f t="shared" si="0"/>
        <v>8.7863486969794596E-3</v>
      </c>
      <c r="E11" s="75">
        <v>0.03</v>
      </c>
      <c r="F11" s="104">
        <f t="shared" si="1"/>
        <v>1132.446276018303</v>
      </c>
      <c r="G11" s="104">
        <f t="shared" si="2"/>
        <v>33.973388280549088</v>
      </c>
    </row>
    <row r="12" spans="1:7" ht="28.5" customHeight="1" x14ac:dyDescent="0.2">
      <c r="A12" s="117" t="s">
        <v>157</v>
      </c>
      <c r="B12" s="122" t="s">
        <v>933</v>
      </c>
      <c r="C12" s="153">
        <v>177</v>
      </c>
      <c r="D12" s="10">
        <f t="shared" si="0"/>
        <v>2.967907861384283E-3</v>
      </c>
      <c r="E12" s="75">
        <v>0.03</v>
      </c>
      <c r="F12" s="104">
        <f t="shared" si="1"/>
        <v>382.52479170847255</v>
      </c>
      <c r="G12" s="104">
        <f t="shared" si="2"/>
        <v>11.475743751254177</v>
      </c>
    </row>
    <row r="13" spans="1:7" ht="28.5" customHeight="1" x14ac:dyDescent="0.2">
      <c r="A13" s="117" t="s">
        <v>164</v>
      </c>
      <c r="B13" s="122" t="s">
        <v>934</v>
      </c>
      <c r="C13" s="153">
        <v>104</v>
      </c>
      <c r="D13" s="10">
        <f t="shared" si="0"/>
        <v>1.7438554665760758E-3</v>
      </c>
      <c r="E13" s="75">
        <v>0.05</v>
      </c>
      <c r="F13" s="104">
        <f t="shared" si="1"/>
        <v>224.76032959141889</v>
      </c>
      <c r="G13" s="104">
        <f t="shared" si="2"/>
        <v>11.238016479570945</v>
      </c>
    </row>
    <row r="14" spans="1:7" ht="28.5" customHeight="1" x14ac:dyDescent="0.2">
      <c r="A14" s="117" t="s">
        <v>162</v>
      </c>
      <c r="B14" s="122" t="s">
        <v>935</v>
      </c>
      <c r="C14" s="153">
        <v>432</v>
      </c>
      <c r="D14" s="10">
        <f t="shared" si="0"/>
        <v>7.2437073227006226E-3</v>
      </c>
      <c r="E14" s="75">
        <v>0.02</v>
      </c>
      <c r="F14" s="104">
        <f t="shared" si="1"/>
        <v>933.61983061050921</v>
      </c>
      <c r="G14" s="104">
        <f t="shared" si="2"/>
        <v>18.672396612210186</v>
      </c>
    </row>
    <row r="15" spans="1:7" ht="28.5" customHeight="1" x14ac:dyDescent="0.2">
      <c r="A15" s="117" t="s">
        <v>150</v>
      </c>
      <c r="B15" s="122" t="s">
        <v>936</v>
      </c>
      <c r="C15" s="153">
        <v>783.17</v>
      </c>
      <c r="D15" s="10">
        <f t="shared" si="0"/>
        <v>1.3132070055369089E-2</v>
      </c>
      <c r="E15" s="75">
        <v>0.02</v>
      </c>
      <c r="F15" s="104">
        <f t="shared" si="1"/>
        <v>1692.5533396741491</v>
      </c>
      <c r="G15" s="104">
        <f t="shared" si="2"/>
        <v>33.851066793482985</v>
      </c>
    </row>
    <row r="16" spans="1:7" ht="28.5" customHeight="1" x14ac:dyDescent="0.2">
      <c r="A16" s="117" t="s">
        <v>158</v>
      </c>
      <c r="B16" s="122" t="s">
        <v>937</v>
      </c>
      <c r="C16" s="153">
        <v>104</v>
      </c>
      <c r="D16" s="10">
        <f t="shared" si="0"/>
        <v>1.7438554665760758E-3</v>
      </c>
      <c r="E16" s="75">
        <v>2.5000000000000001E-2</v>
      </c>
      <c r="F16" s="104">
        <f t="shared" si="1"/>
        <v>224.76032959141889</v>
      </c>
      <c r="G16" s="104">
        <f t="shared" si="2"/>
        <v>5.6190082397854724</v>
      </c>
    </row>
    <row r="17" spans="1:7" ht="28.5" customHeight="1" x14ac:dyDescent="0.2">
      <c r="A17" s="117" t="s">
        <v>160</v>
      </c>
      <c r="B17" s="122" t="s">
        <v>938</v>
      </c>
      <c r="C17" s="153">
        <v>432</v>
      </c>
      <c r="D17" s="10">
        <f t="shared" si="0"/>
        <v>7.2437073227006226E-3</v>
      </c>
      <c r="E17" s="75">
        <v>0.05</v>
      </c>
      <c r="F17" s="104">
        <f t="shared" si="1"/>
        <v>933.61983061050921</v>
      </c>
      <c r="G17" s="104">
        <f t="shared" si="2"/>
        <v>46.680991530525461</v>
      </c>
    </row>
    <row r="18" spans="1:7" ht="28.5" customHeight="1" x14ac:dyDescent="0.2">
      <c r="A18" s="117" t="s">
        <v>159</v>
      </c>
      <c r="B18" s="122" t="s">
        <v>939</v>
      </c>
      <c r="C18" s="153">
        <v>2714</v>
      </c>
      <c r="D18" s="10">
        <f t="shared" si="0"/>
        <v>4.5507920541225669E-2</v>
      </c>
      <c r="E18" s="75">
        <v>0.01</v>
      </c>
      <c r="F18" s="104">
        <f t="shared" si="1"/>
        <v>5865.3801395299115</v>
      </c>
      <c r="G18" s="104">
        <f t="shared" si="2"/>
        <v>58.653801395299119</v>
      </c>
    </row>
    <row r="19" spans="1:7" ht="28.5" customHeight="1" x14ac:dyDescent="0.2">
      <c r="A19" s="117" t="s">
        <v>167</v>
      </c>
      <c r="B19" s="122" t="s">
        <v>940</v>
      </c>
      <c r="C19" s="153">
        <v>762</v>
      </c>
      <c r="D19" s="10">
        <f t="shared" si="0"/>
        <v>1.2777094860874709E-2</v>
      </c>
      <c r="E19" s="75">
        <v>0.05</v>
      </c>
      <c r="F19" s="104">
        <f t="shared" si="1"/>
        <v>1646.8016456602038</v>
      </c>
      <c r="G19" s="104">
        <f t="shared" si="2"/>
        <v>82.34008228301019</v>
      </c>
    </row>
    <row r="20" spans="1:7" ht="28.5" customHeight="1" x14ac:dyDescent="0.2">
      <c r="A20" s="117" t="s">
        <v>149</v>
      </c>
      <c r="B20" s="122" t="s">
        <v>941</v>
      </c>
      <c r="C20" s="153">
        <v>99</v>
      </c>
      <c r="D20" s="10">
        <f t="shared" si="0"/>
        <v>1.660016261452226E-3</v>
      </c>
      <c r="E20" s="75">
        <v>0.05</v>
      </c>
      <c r="F20" s="104">
        <f t="shared" si="1"/>
        <v>213.95454451490835</v>
      </c>
      <c r="G20" s="104">
        <f t="shared" si="2"/>
        <v>10.697727225745417</v>
      </c>
    </row>
    <row r="21" spans="1:7" ht="28.5" customHeight="1" x14ac:dyDescent="0.2">
      <c r="A21" s="117" t="s">
        <v>155</v>
      </c>
      <c r="B21" s="122" t="s">
        <v>942</v>
      </c>
      <c r="C21" s="153">
        <v>2807</v>
      </c>
      <c r="D21" s="10">
        <f t="shared" si="0"/>
        <v>4.7067329756529275E-2</v>
      </c>
      <c r="E21" s="75">
        <v>0.05</v>
      </c>
      <c r="F21" s="104">
        <f t="shared" si="1"/>
        <v>6066.3677419530077</v>
      </c>
      <c r="G21" s="104">
        <f t="shared" si="2"/>
        <v>303.31838709765037</v>
      </c>
    </row>
    <row r="22" spans="1:7" ht="28.5" customHeight="1" x14ac:dyDescent="0.2">
      <c r="A22" s="117" t="s">
        <v>161</v>
      </c>
      <c r="B22" s="122" t="s">
        <v>943</v>
      </c>
      <c r="C22" s="153">
        <v>330</v>
      </c>
      <c r="D22" s="10">
        <f t="shared" si="0"/>
        <v>5.5333875381740867E-3</v>
      </c>
      <c r="E22" s="75">
        <v>0.05</v>
      </c>
      <c r="F22" s="104">
        <f t="shared" si="1"/>
        <v>713.18181504969448</v>
      </c>
      <c r="G22" s="104">
        <f t="shared" si="2"/>
        <v>35.659090752484722</v>
      </c>
    </row>
    <row r="23" spans="1:7" ht="28.5" customHeight="1" x14ac:dyDescent="0.2">
      <c r="A23" s="117" t="s">
        <v>115</v>
      </c>
      <c r="B23" s="122" t="s">
        <v>944</v>
      </c>
      <c r="C23" s="153">
        <v>7836.1</v>
      </c>
      <c r="D23" s="10">
        <f t="shared" si="0"/>
        <v>0.13139447905419988</v>
      </c>
      <c r="E23" s="75">
        <v>0.05</v>
      </c>
      <c r="F23" s="104">
        <f t="shared" si="1"/>
        <v>16935.042487608822</v>
      </c>
      <c r="G23" s="104">
        <f t="shared" si="2"/>
        <v>846.75212438044116</v>
      </c>
    </row>
    <row r="24" spans="1:7" ht="28.5" customHeight="1" x14ac:dyDescent="0.2">
      <c r="A24" s="117" t="s">
        <v>120</v>
      </c>
      <c r="B24" s="122" t="s">
        <v>945</v>
      </c>
      <c r="C24" s="153">
        <v>407.71</v>
      </c>
      <c r="D24" s="10">
        <f t="shared" si="0"/>
        <v>6.83641646420896E-3</v>
      </c>
      <c r="E24" s="75">
        <v>0.05</v>
      </c>
      <c r="F24" s="104">
        <f t="shared" si="1"/>
        <v>881.12532670882104</v>
      </c>
      <c r="G24" s="104">
        <f t="shared" si="2"/>
        <v>44.056266335441052</v>
      </c>
    </row>
    <row r="25" spans="1:7" ht="28.5" customHeight="1" x14ac:dyDescent="0.2">
      <c r="A25" s="117" t="s">
        <v>122</v>
      </c>
      <c r="B25" s="122" t="s">
        <v>946</v>
      </c>
      <c r="C25" s="153">
        <v>519.22</v>
      </c>
      <c r="D25" s="10">
        <f t="shared" si="0"/>
        <v>8.7061984168810592E-3</v>
      </c>
      <c r="E25" s="75">
        <v>0.05</v>
      </c>
      <c r="F25" s="104">
        <f t="shared" si="1"/>
        <v>1122.1159454851588</v>
      </c>
      <c r="G25" s="104">
        <f t="shared" si="2"/>
        <v>56.105797274257945</v>
      </c>
    </row>
    <row r="26" spans="1:7" ht="28.5" customHeight="1" x14ac:dyDescent="0.2">
      <c r="A26" s="117" t="s">
        <v>128</v>
      </c>
      <c r="B26" s="122" t="s">
        <v>947</v>
      </c>
      <c r="C26" s="153">
        <v>426</v>
      </c>
      <c r="D26" s="10">
        <f t="shared" si="0"/>
        <v>7.143100276552003E-3</v>
      </c>
      <c r="E26" s="75">
        <v>0.05</v>
      </c>
      <c r="F26" s="104">
        <f t="shared" si="1"/>
        <v>920.65288851869661</v>
      </c>
      <c r="G26" s="104">
        <f t="shared" si="2"/>
        <v>46.032644425934834</v>
      </c>
    </row>
    <row r="27" spans="1:7" ht="28.5" customHeight="1" x14ac:dyDescent="0.2">
      <c r="A27" s="117" t="s">
        <v>130</v>
      </c>
      <c r="B27" s="122" t="s">
        <v>948</v>
      </c>
      <c r="C27" s="153">
        <v>176</v>
      </c>
      <c r="D27" s="10">
        <f t="shared" si="0"/>
        <v>2.9511400203595128E-3</v>
      </c>
      <c r="E27" s="75">
        <v>0.04</v>
      </c>
      <c r="F27" s="104">
        <f t="shared" si="1"/>
        <v>380.36363469317041</v>
      </c>
      <c r="G27" s="104">
        <f t="shared" si="2"/>
        <v>15.214545387726817</v>
      </c>
    </row>
    <row r="28" spans="1:7" ht="28.5" customHeight="1" x14ac:dyDescent="0.2">
      <c r="A28" s="117" t="s">
        <v>123</v>
      </c>
      <c r="B28" s="122" t="s">
        <v>949</v>
      </c>
      <c r="C28" s="153">
        <v>1291.1300000000001</v>
      </c>
      <c r="D28" s="10">
        <f t="shared" si="0"/>
        <v>2.1649462582311239E-2</v>
      </c>
      <c r="E28" s="75">
        <v>0.03</v>
      </c>
      <c r="F28" s="104">
        <f t="shared" si="1"/>
        <v>2790.3346571670063</v>
      </c>
      <c r="G28" s="104">
        <f t="shared" si="2"/>
        <v>83.710039715010183</v>
      </c>
    </row>
    <row r="29" spans="1:7" ht="28.5" customHeight="1" x14ac:dyDescent="0.2">
      <c r="A29" s="117" t="s">
        <v>126</v>
      </c>
      <c r="B29" s="122" t="s">
        <v>950</v>
      </c>
      <c r="C29" s="153">
        <v>554.29</v>
      </c>
      <c r="D29" s="10">
        <f t="shared" si="0"/>
        <v>9.2942466016197409E-3</v>
      </c>
      <c r="E29" s="75">
        <v>0.05</v>
      </c>
      <c r="F29" s="104">
        <f t="shared" si="1"/>
        <v>1197.9077220118036</v>
      </c>
      <c r="G29" s="104">
        <f t="shared" si="2"/>
        <v>59.89538610059018</v>
      </c>
    </row>
    <row r="30" spans="1:7" ht="28.5" customHeight="1" x14ac:dyDescent="0.2">
      <c r="A30" s="117" t="s">
        <v>127</v>
      </c>
      <c r="B30" s="122" t="s">
        <v>951</v>
      </c>
      <c r="C30" s="153">
        <v>674</v>
      </c>
      <c r="D30" s="10">
        <f t="shared" si="0"/>
        <v>1.1301524850694952E-2</v>
      </c>
      <c r="E30" s="75">
        <v>0.05</v>
      </c>
      <c r="F30" s="104">
        <f t="shared" si="1"/>
        <v>1456.6198283136184</v>
      </c>
      <c r="G30" s="104">
        <f t="shared" si="2"/>
        <v>72.830991415680927</v>
      </c>
    </row>
    <row r="31" spans="1:7" ht="28.5" customHeight="1" x14ac:dyDescent="0.2">
      <c r="A31" s="117" t="s">
        <v>125</v>
      </c>
      <c r="B31" s="122" t="s">
        <v>952</v>
      </c>
      <c r="C31" s="153">
        <v>6033</v>
      </c>
      <c r="D31" s="10">
        <f t="shared" si="0"/>
        <v>0.10116038490243717</v>
      </c>
      <c r="E31" s="75">
        <v>0.05</v>
      </c>
      <c r="F31" s="104">
        <f t="shared" si="1"/>
        <v>13038.260273317597</v>
      </c>
      <c r="G31" s="104">
        <f t="shared" si="2"/>
        <v>651.91301366587993</v>
      </c>
    </row>
    <row r="32" spans="1:7" ht="28.5" customHeight="1" x14ac:dyDescent="0.2">
      <c r="A32" s="117" t="s">
        <v>131</v>
      </c>
      <c r="B32" s="122" t="s">
        <v>953</v>
      </c>
      <c r="C32" s="153">
        <v>374.63</v>
      </c>
      <c r="D32" s="10">
        <f t="shared" si="0"/>
        <v>6.2817362831095701E-3</v>
      </c>
      <c r="E32" s="75">
        <v>0.05</v>
      </c>
      <c r="F32" s="104">
        <f t="shared" si="1"/>
        <v>809.63425264262742</v>
      </c>
      <c r="G32" s="104">
        <f t="shared" si="2"/>
        <v>40.481712632131376</v>
      </c>
    </row>
    <row r="33" spans="1:7" ht="28.5" customHeight="1" x14ac:dyDescent="0.2">
      <c r="A33" s="117" t="s">
        <v>129</v>
      </c>
      <c r="B33" s="122" t="s">
        <v>954</v>
      </c>
      <c r="C33" s="153">
        <v>626.45000000000005</v>
      </c>
      <c r="D33" s="10">
        <f t="shared" si="0"/>
        <v>1.0504214009967141E-2</v>
      </c>
      <c r="E33" s="75">
        <v>0.05</v>
      </c>
      <c r="F33" s="104">
        <f t="shared" si="1"/>
        <v>1353.8568122360034</v>
      </c>
      <c r="G33" s="104">
        <f t="shared" si="2"/>
        <v>67.692840611800179</v>
      </c>
    </row>
    <row r="34" spans="1:7" ht="28.5" customHeight="1" x14ac:dyDescent="0.2">
      <c r="A34" s="117" t="s">
        <v>119</v>
      </c>
      <c r="B34" s="122" t="s">
        <v>955</v>
      </c>
      <c r="C34" s="153">
        <v>821.75</v>
      </c>
      <c r="D34" s="10">
        <f t="shared" si="0"/>
        <v>1.3778973362104714E-2</v>
      </c>
      <c r="E34" s="75">
        <v>0.05</v>
      </c>
      <c r="F34" s="104">
        <f t="shared" si="1"/>
        <v>1775.9307773245046</v>
      </c>
      <c r="G34" s="104">
        <f t="shared" si="2"/>
        <v>88.796538866225234</v>
      </c>
    </row>
    <row r="35" spans="1:7" ht="28.5" customHeight="1" x14ac:dyDescent="0.2">
      <c r="A35" s="117" t="s">
        <v>118</v>
      </c>
      <c r="B35" s="122" t="s">
        <v>956</v>
      </c>
      <c r="C35" s="153">
        <v>861.41</v>
      </c>
      <c r="D35" s="10">
        <f t="shared" ref="D35:D55" si="3">C35/$C$56</f>
        <v>1.444398593714709E-2</v>
      </c>
      <c r="E35" s="75">
        <v>0.05</v>
      </c>
      <c r="F35" s="104">
        <f t="shared" ref="F35:F55" si="4">D35*$B$57</f>
        <v>1861.6422645513858</v>
      </c>
      <c r="G35" s="104">
        <f t="shared" ref="G35:G55" si="5">E35*F35</f>
        <v>93.082113227569295</v>
      </c>
    </row>
    <row r="36" spans="1:7" ht="28.5" customHeight="1" x14ac:dyDescent="0.2">
      <c r="A36" s="117" t="s">
        <v>124</v>
      </c>
      <c r="B36" s="122" t="s">
        <v>957</v>
      </c>
      <c r="C36" s="153">
        <v>330</v>
      </c>
      <c r="D36" s="10">
        <f t="shared" si="3"/>
        <v>5.5333875381740867E-3</v>
      </c>
      <c r="E36" s="75">
        <v>0.02</v>
      </c>
      <c r="F36" s="104">
        <f t="shared" si="4"/>
        <v>713.18181504969448</v>
      </c>
      <c r="G36" s="104">
        <f t="shared" si="5"/>
        <v>14.263636300993889</v>
      </c>
    </row>
    <row r="37" spans="1:7" ht="28.5" customHeight="1" x14ac:dyDescent="0.2">
      <c r="A37" s="117" t="s">
        <v>117</v>
      </c>
      <c r="B37" s="122" t="s">
        <v>958</v>
      </c>
      <c r="C37" s="153">
        <v>318</v>
      </c>
      <c r="D37" s="10">
        <f t="shared" si="3"/>
        <v>5.3321734458768475E-3</v>
      </c>
      <c r="E37" s="75">
        <v>0.05</v>
      </c>
      <c r="F37" s="104">
        <f t="shared" si="4"/>
        <v>687.24793086606928</v>
      </c>
      <c r="G37" s="104">
        <f t="shared" si="5"/>
        <v>34.362396543303468</v>
      </c>
    </row>
    <row r="38" spans="1:7" ht="28.5" customHeight="1" x14ac:dyDescent="0.2">
      <c r="A38" s="117" t="s">
        <v>168</v>
      </c>
      <c r="B38" s="122" t="s">
        <v>959</v>
      </c>
      <c r="C38" s="153">
        <v>2356.92</v>
      </c>
      <c r="D38" s="10">
        <f t="shared" si="3"/>
        <v>3.9520459868100814E-2</v>
      </c>
      <c r="E38" s="75">
        <v>0.03</v>
      </c>
      <c r="F38" s="104">
        <f t="shared" si="4"/>
        <v>5093.6741925058368</v>
      </c>
      <c r="G38" s="104">
        <f t="shared" si="5"/>
        <v>152.8102257751751</v>
      </c>
    </row>
    <row r="39" spans="1:7" ht="28.5" customHeight="1" x14ac:dyDescent="0.2">
      <c r="A39" s="117" t="s">
        <v>169</v>
      </c>
      <c r="B39" s="122" t="s">
        <v>960</v>
      </c>
      <c r="C39" s="153">
        <v>655.71</v>
      </c>
      <c r="D39" s="10">
        <f t="shared" si="3"/>
        <v>1.099484103835191E-2</v>
      </c>
      <c r="E39" s="75">
        <v>0.03</v>
      </c>
      <c r="F39" s="104">
        <f t="shared" si="4"/>
        <v>1417.0922665037431</v>
      </c>
      <c r="G39" s="104">
        <f t="shared" si="5"/>
        <v>42.512767995112291</v>
      </c>
    </row>
    <row r="40" spans="1:7" ht="28.5" customHeight="1" x14ac:dyDescent="0.2">
      <c r="A40" s="117" t="s">
        <v>132</v>
      </c>
      <c r="B40" s="122" t="s">
        <v>961</v>
      </c>
      <c r="C40" s="153">
        <v>3959.6</v>
      </c>
      <c r="D40" s="10">
        <f t="shared" si="3"/>
        <v>6.6393943321679125E-2</v>
      </c>
      <c r="E40" s="75">
        <v>0.03</v>
      </c>
      <c r="F40" s="104">
        <f t="shared" si="4"/>
        <v>8557.3173177902117</v>
      </c>
      <c r="G40" s="104">
        <f t="shared" si="5"/>
        <v>256.71951953370632</v>
      </c>
    </row>
    <row r="41" spans="1:7" ht="28.5" customHeight="1" x14ac:dyDescent="0.2">
      <c r="A41" s="117" t="s">
        <v>117</v>
      </c>
      <c r="B41" s="122" t="s">
        <v>962</v>
      </c>
      <c r="C41" s="153">
        <v>2600.5500000000002</v>
      </c>
      <c r="D41" s="10">
        <f t="shared" si="3"/>
        <v>4.3605608976965519E-2</v>
      </c>
      <c r="E41" s="75">
        <v>0.03</v>
      </c>
      <c r="F41" s="104">
        <f t="shared" si="4"/>
        <v>5620.1968761438884</v>
      </c>
      <c r="G41" s="104">
        <f t="shared" si="5"/>
        <v>168.60590628431666</v>
      </c>
    </row>
    <row r="42" spans="1:7" ht="28.5" customHeight="1" x14ac:dyDescent="0.2">
      <c r="A42" s="117" t="s">
        <v>134</v>
      </c>
      <c r="B42" s="122" t="s">
        <v>963</v>
      </c>
      <c r="C42" s="153">
        <v>980</v>
      </c>
      <c r="D42" s="10">
        <f t="shared" si="3"/>
        <v>1.643248420427456E-2</v>
      </c>
      <c r="E42" s="75">
        <v>0.03</v>
      </c>
      <c r="F42" s="104">
        <f t="shared" si="4"/>
        <v>2117.9338749960625</v>
      </c>
      <c r="G42" s="104">
        <f t="shared" si="5"/>
        <v>63.538016249881871</v>
      </c>
    </row>
    <row r="43" spans="1:7" ht="28.5" customHeight="1" x14ac:dyDescent="0.2">
      <c r="A43" s="117" t="s">
        <v>135</v>
      </c>
      <c r="B43" s="122" t="s">
        <v>964</v>
      </c>
      <c r="C43" s="153">
        <v>674.86</v>
      </c>
      <c r="D43" s="10">
        <f t="shared" si="3"/>
        <v>1.1315945193976254E-2</v>
      </c>
      <c r="E43" s="75">
        <v>0.05</v>
      </c>
      <c r="F43" s="104">
        <f t="shared" si="4"/>
        <v>1458.4784233467783</v>
      </c>
      <c r="G43" s="104">
        <f t="shared" si="5"/>
        <v>72.923921167338918</v>
      </c>
    </row>
    <row r="44" spans="1:7" ht="28.5" customHeight="1" x14ac:dyDescent="0.2">
      <c r="A44" s="117" t="s">
        <v>136</v>
      </c>
      <c r="B44" s="122" t="s">
        <v>965</v>
      </c>
      <c r="C44" s="153">
        <v>4295.0600000000004</v>
      </c>
      <c r="D44" s="10">
        <f t="shared" si="3"/>
        <v>7.2018883271848466E-2</v>
      </c>
      <c r="E44" s="75">
        <v>0.05</v>
      </c>
      <c r="F44" s="104">
        <f t="shared" si="4"/>
        <v>9282.2990501434579</v>
      </c>
      <c r="G44" s="104">
        <f t="shared" si="5"/>
        <v>464.11495250717292</v>
      </c>
    </row>
    <row r="45" spans="1:7" ht="28.5" customHeight="1" x14ac:dyDescent="0.2">
      <c r="A45" s="117" t="s">
        <v>139</v>
      </c>
      <c r="B45" s="122" t="s">
        <v>966</v>
      </c>
      <c r="C45" s="153">
        <v>214.7</v>
      </c>
      <c r="D45" s="10">
        <f t="shared" si="3"/>
        <v>3.60005546801811E-3</v>
      </c>
      <c r="E45" s="75">
        <v>0.05</v>
      </c>
      <c r="F45" s="104">
        <f t="shared" si="4"/>
        <v>464.00041118536183</v>
      </c>
      <c r="G45" s="104">
        <f t="shared" si="5"/>
        <v>23.200020559268093</v>
      </c>
    </row>
    <row r="46" spans="1:7" ht="28.5" customHeight="1" x14ac:dyDescent="0.2">
      <c r="A46" s="117" t="s">
        <v>140</v>
      </c>
      <c r="B46" s="122" t="s">
        <v>967</v>
      </c>
      <c r="C46" s="153">
        <v>818.88</v>
      </c>
      <c r="D46" s="10">
        <f t="shared" si="3"/>
        <v>1.3730849658363624E-2</v>
      </c>
      <c r="E46" s="75">
        <v>0.02</v>
      </c>
      <c r="F46" s="104">
        <f t="shared" si="4"/>
        <v>1769.7282566905874</v>
      </c>
      <c r="G46" s="104">
        <f t="shared" si="5"/>
        <v>35.394565133811746</v>
      </c>
    </row>
    <row r="47" spans="1:7" ht="28.5" customHeight="1" x14ac:dyDescent="0.2">
      <c r="A47" s="117" t="s">
        <v>141</v>
      </c>
      <c r="B47" s="122" t="s">
        <v>968</v>
      </c>
      <c r="C47" s="153">
        <v>382.94</v>
      </c>
      <c r="D47" s="10">
        <f t="shared" si="3"/>
        <v>6.4210770420254082E-3</v>
      </c>
      <c r="E47" s="75">
        <v>0.02</v>
      </c>
      <c r="F47" s="104">
        <f t="shared" si="4"/>
        <v>827.5934674397879</v>
      </c>
      <c r="G47" s="104">
        <f t="shared" si="5"/>
        <v>16.551869348795758</v>
      </c>
    </row>
    <row r="48" spans="1:7" ht="28.5" customHeight="1" x14ac:dyDescent="0.2">
      <c r="A48" s="117" t="s">
        <v>143</v>
      </c>
      <c r="B48" s="122" t="s">
        <v>969</v>
      </c>
      <c r="C48" s="153">
        <v>340.8</v>
      </c>
      <c r="D48" s="10">
        <f t="shared" si="3"/>
        <v>5.7144802212416024E-3</v>
      </c>
      <c r="E48" s="75">
        <v>0.05</v>
      </c>
      <c r="F48" s="104">
        <f t="shared" si="4"/>
        <v>736.52231081495722</v>
      </c>
      <c r="G48" s="104">
        <f t="shared" si="5"/>
        <v>36.826115540747864</v>
      </c>
    </row>
    <row r="49" spans="1:7" ht="28.5" customHeight="1" x14ac:dyDescent="0.2">
      <c r="A49" s="117" t="s">
        <v>144</v>
      </c>
      <c r="B49" s="122" t="s">
        <v>970</v>
      </c>
      <c r="C49" s="153">
        <v>330</v>
      </c>
      <c r="D49" s="10">
        <f t="shared" si="3"/>
        <v>5.5333875381740867E-3</v>
      </c>
      <c r="E49" s="75">
        <v>0.05</v>
      </c>
      <c r="F49" s="104">
        <f t="shared" si="4"/>
        <v>713.18181504969448</v>
      </c>
      <c r="G49" s="104">
        <f t="shared" si="5"/>
        <v>35.659090752484722</v>
      </c>
    </row>
    <row r="50" spans="1:7" ht="28.5" customHeight="1" x14ac:dyDescent="0.2">
      <c r="A50" s="117" t="s">
        <v>145</v>
      </c>
      <c r="B50" s="122" t="s">
        <v>971</v>
      </c>
      <c r="C50" s="153">
        <v>218.2</v>
      </c>
      <c r="D50" s="10">
        <f t="shared" si="3"/>
        <v>3.6587429116048051E-3</v>
      </c>
      <c r="E50" s="75">
        <v>0.05</v>
      </c>
      <c r="F50" s="104">
        <f t="shared" si="4"/>
        <v>471.56446073891919</v>
      </c>
      <c r="G50" s="104">
        <f t="shared" si="5"/>
        <v>23.57822303694596</v>
      </c>
    </row>
    <row r="51" spans="1:7" ht="28.5" customHeight="1" x14ac:dyDescent="0.2">
      <c r="A51" s="117" t="s">
        <v>146</v>
      </c>
      <c r="B51" s="122" t="s">
        <v>972</v>
      </c>
      <c r="C51" s="153">
        <v>572.54</v>
      </c>
      <c r="D51" s="10">
        <f t="shared" si="3"/>
        <v>9.6002597003217918E-3</v>
      </c>
      <c r="E51" s="75">
        <v>0.03</v>
      </c>
      <c r="F51" s="104">
        <f t="shared" si="4"/>
        <v>1237.3488375410668</v>
      </c>
      <c r="G51" s="104">
        <f t="shared" si="5"/>
        <v>37.120465126232006</v>
      </c>
    </row>
    <row r="52" spans="1:7" ht="28.5" customHeight="1" x14ac:dyDescent="0.2">
      <c r="A52" s="117" t="s">
        <v>138</v>
      </c>
      <c r="B52" s="122" t="s">
        <v>973</v>
      </c>
      <c r="C52" s="153">
        <v>2990.82</v>
      </c>
      <c r="D52" s="10">
        <f t="shared" si="3"/>
        <v>5.0149594293702492E-2</v>
      </c>
      <c r="E52" s="75">
        <v>0.05</v>
      </c>
      <c r="F52" s="104">
        <f t="shared" si="4"/>
        <v>6463.6316245058406</v>
      </c>
      <c r="G52" s="104">
        <f t="shared" si="5"/>
        <v>323.18158122529206</v>
      </c>
    </row>
    <row r="53" spans="1:7" ht="28.5" customHeight="1" x14ac:dyDescent="0.2">
      <c r="A53" s="117" t="s">
        <v>137</v>
      </c>
      <c r="B53" s="122" t="s">
        <v>974</v>
      </c>
      <c r="C53" s="153">
        <v>151.15</v>
      </c>
      <c r="D53" s="10">
        <f t="shared" si="3"/>
        <v>2.5344591708939793E-3</v>
      </c>
      <c r="E53" s="75">
        <v>0.05</v>
      </c>
      <c r="F53" s="104">
        <f t="shared" si="4"/>
        <v>326.65888286291312</v>
      </c>
      <c r="G53" s="104">
        <f t="shared" si="5"/>
        <v>16.332944143145657</v>
      </c>
    </row>
    <row r="54" spans="1:7" ht="28.5" customHeight="1" x14ac:dyDescent="0.2">
      <c r="A54" s="117" t="s">
        <v>170</v>
      </c>
      <c r="B54" s="122" t="s">
        <v>975</v>
      </c>
      <c r="C54" s="153">
        <v>272.72000000000003</v>
      </c>
      <c r="D54" s="10">
        <f t="shared" si="3"/>
        <v>4.5729256042752638E-3</v>
      </c>
      <c r="E54" s="75">
        <v>0.03</v>
      </c>
      <c r="F54" s="104">
        <f t="shared" si="4"/>
        <v>589.39074121319004</v>
      </c>
      <c r="G54" s="104">
        <f t="shared" si="5"/>
        <v>17.6817222363957</v>
      </c>
    </row>
    <row r="55" spans="1:7" ht="28.5" customHeight="1" x14ac:dyDescent="0.2">
      <c r="A55" s="117" t="s">
        <v>142</v>
      </c>
      <c r="B55" s="122" t="s">
        <v>976</v>
      </c>
      <c r="C55" s="153">
        <v>659.11</v>
      </c>
      <c r="D55" s="10">
        <f t="shared" si="3"/>
        <v>1.1051851697836129E-2</v>
      </c>
      <c r="E55" s="75">
        <v>0.03</v>
      </c>
      <c r="F55" s="104">
        <f t="shared" si="4"/>
        <v>1424.4402003557702</v>
      </c>
      <c r="G55" s="104">
        <f t="shared" si="5"/>
        <v>42.733206010673108</v>
      </c>
    </row>
    <row r="56" spans="1:7" ht="15" x14ac:dyDescent="0.2">
      <c r="A56" s="345" t="s">
        <v>171</v>
      </c>
      <c r="B56" s="345"/>
      <c r="C56" s="154">
        <f>SUM(C3:C55)</f>
        <v>59637.969999999994</v>
      </c>
      <c r="D56" s="155">
        <f>SUM(D3:D55)</f>
        <v>1.0000000000000004</v>
      </c>
      <c r="E56" s="156">
        <f>(D3*E3+D4*E4+D5*E5+D6*E6+D7*E7+D8*E8+D9*E9+D10*E10+D11*E11+D12*E12+D13*E13+D14*E14+D15*E15+D16*E16+D17*E17+D18*E18+D19*E19+D20*E20+D21*E21+D22*E22+D23*E23+D24*E24+D25*E25+D26*E26+D27*E27+D28*E28+D29*E29+D30*E30+D31*E31+D32*E32+D33*E33+D34*E34+D35*E35+D36*E36+D37*E37+D38*E38+D39*E39+D40*E40+D41*E41+D42*E42+D43*E43+D44*E44+D45*E45+D46*E46+D47*E47+D48*E48+D49*E49+D50*E50+D51*E51+D52*E52+D53*E53+D54*E54+D55*E55)/D56</f>
        <v>4.1776961891895378E-2</v>
      </c>
      <c r="F56" s="157">
        <f>SUM(F3:F55)</f>
        <v>128887.01724387647</v>
      </c>
      <c r="G56" s="158">
        <f>SUM(G3:G55)</f>
        <v>5384.5080077574921</v>
      </c>
    </row>
    <row r="57" spans="1:7" ht="30" x14ac:dyDescent="0.2">
      <c r="A57" s="159" t="s">
        <v>977</v>
      </c>
      <c r="B57" s="160">
        <f>'II Plan Consolid'!I71</f>
        <v>128887.01724387644</v>
      </c>
      <c r="C57" s="160"/>
      <c r="D57" s="138"/>
      <c r="E57" s="138"/>
      <c r="F57" s="138"/>
      <c r="G57" s="138"/>
    </row>
  </sheetData>
  <mergeCells count="2">
    <mergeCell ref="A1:G1"/>
    <mergeCell ref="A56:B56"/>
  </mergeCells>
  <printOptions horizontalCentered="1"/>
  <pageMargins left="0.78740157480314965" right="0.78740157480314965" top="0.9055118110236221" bottom="0.9055118110236221" header="0.51181102362204722" footer="0.51181102362204722"/>
  <pageSetup paperSize="9" scale="44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  <pageSetUpPr fitToPage="1"/>
  </sheetPr>
  <dimension ref="A1:J95"/>
  <sheetViews>
    <sheetView view="pageBreakPreview" zoomScaleNormal="100" workbookViewId="0">
      <selection activeCell="C13" sqref="C13"/>
    </sheetView>
  </sheetViews>
  <sheetFormatPr defaultRowHeight="12.75" x14ac:dyDescent="0.2"/>
  <cols>
    <col min="1" max="1" width="5.28515625" customWidth="1"/>
    <col min="2" max="2" width="58.7109375" customWidth="1"/>
    <col min="3" max="3" width="20" customWidth="1"/>
    <col min="4" max="1025" width="9.140625" customWidth="1"/>
  </cols>
  <sheetData>
    <row r="1" spans="1:10" ht="20.25" x14ac:dyDescent="0.2">
      <c r="A1" s="316" t="s">
        <v>978</v>
      </c>
      <c r="B1" s="316"/>
      <c r="C1" s="316"/>
      <c r="D1" s="1"/>
      <c r="E1" s="1"/>
      <c r="F1" s="1"/>
      <c r="G1" s="1"/>
      <c r="H1" s="1"/>
      <c r="I1" s="101"/>
    </row>
    <row r="2" spans="1:10" ht="14.25" x14ac:dyDescent="0.2">
      <c r="A2" s="276"/>
      <c r="B2" s="276"/>
      <c r="C2" s="276"/>
      <c r="D2" s="1"/>
      <c r="E2" s="1"/>
      <c r="F2" s="1"/>
      <c r="G2" s="1"/>
      <c r="H2" s="1"/>
      <c r="I2" s="101"/>
    </row>
    <row r="3" spans="1:10" ht="15" customHeight="1" x14ac:dyDescent="0.2">
      <c r="A3" s="346" t="s">
        <v>979</v>
      </c>
      <c r="B3" s="346"/>
      <c r="C3" s="346"/>
      <c r="D3" s="1"/>
      <c r="E3" s="1"/>
      <c r="F3" s="1"/>
      <c r="G3" s="1"/>
      <c r="H3" s="1"/>
      <c r="I3" s="101"/>
    </row>
    <row r="4" spans="1:10" ht="15" x14ac:dyDescent="0.2">
      <c r="A4" s="186">
        <v>1</v>
      </c>
      <c r="B4" s="186" t="s">
        <v>980</v>
      </c>
      <c r="C4" s="186" t="s">
        <v>322</v>
      </c>
      <c r="D4" s="1"/>
      <c r="E4" s="1"/>
      <c r="F4" s="1"/>
      <c r="G4" s="170"/>
      <c r="H4" s="170"/>
      <c r="I4" s="171"/>
      <c r="J4" s="172"/>
    </row>
    <row r="5" spans="1:10" ht="14.25" x14ac:dyDescent="0.2">
      <c r="A5" s="182" t="s">
        <v>981</v>
      </c>
      <c r="B5" s="117" t="s">
        <v>982</v>
      </c>
      <c r="C5" s="164">
        <v>4.4900000000000002E-2</v>
      </c>
      <c r="D5" s="1"/>
      <c r="E5" s="1"/>
      <c r="F5" s="1"/>
      <c r="G5" s="1"/>
      <c r="H5" s="1"/>
      <c r="I5" s="101"/>
    </row>
    <row r="6" spans="1:10" ht="14.25" x14ac:dyDescent="0.2">
      <c r="A6" s="182" t="s">
        <v>983</v>
      </c>
      <c r="B6" s="117" t="s">
        <v>984</v>
      </c>
      <c r="C6" s="164">
        <v>8.2000000000000007E-3</v>
      </c>
      <c r="D6" s="1"/>
      <c r="E6" s="1"/>
      <c r="F6" s="1"/>
      <c r="G6" s="1"/>
      <c r="H6" s="1"/>
      <c r="I6" s="101"/>
    </row>
    <row r="7" spans="1:10" ht="14.25" x14ac:dyDescent="0.2">
      <c r="A7" s="182" t="s">
        <v>985</v>
      </c>
      <c r="B7" s="117" t="s">
        <v>986</v>
      </c>
      <c r="C7" s="164">
        <v>8.8999999999999999E-3</v>
      </c>
      <c r="D7" s="1"/>
      <c r="E7" s="1"/>
      <c r="F7" s="1"/>
      <c r="G7" s="1"/>
      <c r="H7" s="1"/>
      <c r="I7" s="101"/>
    </row>
    <row r="8" spans="1:10" ht="14.25" x14ac:dyDescent="0.2">
      <c r="A8" s="182" t="s">
        <v>987</v>
      </c>
      <c r="B8" s="117" t="s">
        <v>988</v>
      </c>
      <c r="C8" s="164">
        <v>1.11E-2</v>
      </c>
      <c r="D8" s="1"/>
      <c r="E8" s="1"/>
      <c r="F8" s="1"/>
      <c r="G8" s="1"/>
      <c r="H8" s="1"/>
      <c r="I8" s="101"/>
    </row>
    <row r="9" spans="1:10" ht="14.25" x14ac:dyDescent="0.2">
      <c r="A9" s="182" t="s">
        <v>184</v>
      </c>
      <c r="B9" s="117" t="s">
        <v>989</v>
      </c>
      <c r="C9" s="164">
        <v>6.2199999999999998E-2</v>
      </c>
      <c r="D9" s="1"/>
      <c r="E9" s="1"/>
      <c r="F9" s="1"/>
      <c r="G9" s="1"/>
      <c r="H9" s="1"/>
      <c r="I9" s="101"/>
    </row>
    <row r="10" spans="1:10" ht="14.25" x14ac:dyDescent="0.2">
      <c r="A10" s="182" t="s">
        <v>990</v>
      </c>
      <c r="B10" s="275" t="s">
        <v>991</v>
      </c>
      <c r="C10" s="275"/>
      <c r="D10" s="1"/>
      <c r="E10" s="1"/>
      <c r="F10" s="1"/>
      <c r="G10" s="1"/>
      <c r="H10" s="1"/>
      <c r="I10" s="101"/>
    </row>
    <row r="11" spans="1:10" ht="14.25" x14ac:dyDescent="0.2">
      <c r="A11" s="229"/>
      <c r="B11" s="117" t="s">
        <v>992</v>
      </c>
      <c r="C11" s="164">
        <v>6.4999999999999997E-3</v>
      </c>
      <c r="D11" s="1"/>
      <c r="E11" s="1"/>
      <c r="F11" s="1"/>
      <c r="G11" s="1"/>
      <c r="H11" s="1"/>
      <c r="I11" s="101"/>
    </row>
    <row r="12" spans="1:10" ht="14.25" x14ac:dyDescent="0.2">
      <c r="A12" s="229"/>
      <c r="B12" s="117" t="s">
        <v>993</v>
      </c>
      <c r="C12" s="164">
        <v>0.03</v>
      </c>
      <c r="D12" s="1"/>
      <c r="E12" s="1"/>
      <c r="F12" s="1"/>
      <c r="G12" s="1"/>
      <c r="H12" s="1"/>
      <c r="I12" s="101"/>
    </row>
    <row r="13" spans="1:10" ht="14.25" x14ac:dyDescent="0.2">
      <c r="A13" s="229"/>
      <c r="B13" s="117" t="s">
        <v>27</v>
      </c>
      <c r="C13" s="240">
        <v>0</v>
      </c>
      <c r="D13" s="1"/>
      <c r="E13" s="1"/>
      <c r="F13" s="1"/>
      <c r="G13" s="1"/>
      <c r="H13" s="1"/>
      <c r="I13" s="101"/>
    </row>
    <row r="14" spans="1:10" ht="14.25" x14ac:dyDescent="0.2">
      <c r="A14" s="229"/>
      <c r="B14" s="117" t="s">
        <v>994</v>
      </c>
      <c r="C14" s="164">
        <v>4.4999999999999998E-2</v>
      </c>
      <c r="D14" s="1"/>
      <c r="E14" s="1"/>
      <c r="F14" s="1"/>
      <c r="G14" s="1"/>
      <c r="H14" s="1"/>
      <c r="I14" s="101"/>
    </row>
    <row r="15" spans="1:10" ht="15" x14ac:dyDescent="0.2">
      <c r="A15" s="282" t="s">
        <v>995</v>
      </c>
      <c r="B15" s="282"/>
      <c r="C15" s="208">
        <f>(((1+C5+C6+C7)*(1+C8)*(1+C9))/(1-(C11+C12+C13+C14)))-1</f>
        <v>0.24178315301034292</v>
      </c>
      <c r="D15" s="1"/>
      <c r="E15" s="1"/>
      <c r="F15" s="1"/>
      <c r="G15" s="1"/>
      <c r="H15" s="1"/>
      <c r="I15" s="101"/>
    </row>
    <row r="16" spans="1:10" ht="14.25" x14ac:dyDescent="0.2">
      <c r="A16" s="276"/>
      <c r="B16" s="276"/>
      <c r="C16" s="276"/>
      <c r="D16" s="1"/>
      <c r="E16" s="1"/>
      <c r="F16" s="1"/>
      <c r="G16" s="1"/>
      <c r="H16" s="1"/>
      <c r="I16" s="101"/>
    </row>
    <row r="17" spans="1:3" ht="15" customHeight="1" x14ac:dyDescent="0.2">
      <c r="A17" s="347" t="s">
        <v>996</v>
      </c>
      <c r="B17" s="347"/>
      <c r="C17" s="347"/>
    </row>
    <row r="18" spans="1:3" ht="15" x14ac:dyDescent="0.2">
      <c r="A18" s="186">
        <v>2</v>
      </c>
      <c r="B18" s="186" t="s">
        <v>997</v>
      </c>
      <c r="C18" s="186" t="s">
        <v>322</v>
      </c>
    </row>
    <row r="19" spans="1:3" ht="14.25" x14ac:dyDescent="0.2">
      <c r="A19" s="182" t="s">
        <v>981</v>
      </c>
      <c r="B19" s="117" t="s">
        <v>982</v>
      </c>
      <c r="C19" s="164">
        <v>5.5E-2</v>
      </c>
    </row>
    <row r="20" spans="1:3" ht="14.25" x14ac:dyDescent="0.2">
      <c r="A20" s="182" t="s">
        <v>983</v>
      </c>
      <c r="B20" s="117" t="s">
        <v>984</v>
      </c>
      <c r="C20" s="164">
        <v>0.01</v>
      </c>
    </row>
    <row r="21" spans="1:3" ht="14.25" x14ac:dyDescent="0.2">
      <c r="A21" s="182" t="s">
        <v>985</v>
      </c>
      <c r="B21" s="117" t="s">
        <v>986</v>
      </c>
      <c r="C21" s="164">
        <v>1.2699999999999999E-2</v>
      </c>
    </row>
    <row r="22" spans="1:3" ht="14.25" x14ac:dyDescent="0.2">
      <c r="A22" s="182" t="s">
        <v>987</v>
      </c>
      <c r="B22" s="117" t="s">
        <v>988</v>
      </c>
      <c r="C22" s="164">
        <v>1.3899999999999999E-2</v>
      </c>
    </row>
    <row r="23" spans="1:3" ht="14.25" x14ac:dyDescent="0.2">
      <c r="A23" s="182" t="s">
        <v>184</v>
      </c>
      <c r="B23" s="117" t="s">
        <v>989</v>
      </c>
      <c r="C23" s="164">
        <v>8.9599999999999999E-2</v>
      </c>
    </row>
    <row r="24" spans="1:3" ht="14.25" x14ac:dyDescent="0.2">
      <c r="A24" s="182" t="s">
        <v>990</v>
      </c>
      <c r="B24" s="275" t="s">
        <v>991</v>
      </c>
      <c r="C24" s="275"/>
    </row>
    <row r="25" spans="1:3" ht="14.25" x14ac:dyDescent="0.2">
      <c r="A25" s="229"/>
      <c r="B25" s="117" t="s">
        <v>992</v>
      </c>
      <c r="C25" s="164">
        <v>6.4999999999999997E-3</v>
      </c>
    </row>
    <row r="26" spans="1:3" ht="14.25" x14ac:dyDescent="0.2">
      <c r="A26" s="229"/>
      <c r="B26" s="117" t="s">
        <v>993</v>
      </c>
      <c r="C26" s="164">
        <v>0.03</v>
      </c>
    </row>
    <row r="27" spans="1:3" ht="14.25" x14ac:dyDescent="0.2">
      <c r="A27" s="229"/>
      <c r="B27" s="117" t="s">
        <v>27</v>
      </c>
      <c r="C27" s="239">
        <v>0.01</v>
      </c>
    </row>
    <row r="28" spans="1:3" ht="14.25" x14ac:dyDescent="0.2">
      <c r="A28" s="229"/>
      <c r="B28" s="117" t="s">
        <v>994</v>
      </c>
      <c r="C28" s="164">
        <v>4.4999999999999998E-2</v>
      </c>
    </row>
    <row r="29" spans="1:3" ht="15" x14ac:dyDescent="0.2">
      <c r="A29" s="282" t="s">
        <v>995</v>
      </c>
      <c r="B29" s="282"/>
      <c r="C29" s="208">
        <f>(((1+C19+C20+C21)*(1+C22)*(1+C23))/(1-(C25+C26+C27+C28)))-1</f>
        <v>0.310494398115575</v>
      </c>
    </row>
    <row r="30" spans="1:3" x14ac:dyDescent="0.2">
      <c r="A30" s="348"/>
      <c r="B30" s="348"/>
      <c r="C30" s="348"/>
    </row>
    <row r="31" spans="1:3" ht="15" x14ac:dyDescent="0.2">
      <c r="A31" s="186">
        <v>3</v>
      </c>
      <c r="B31" s="186" t="s">
        <v>998</v>
      </c>
      <c r="C31" s="186" t="s">
        <v>322</v>
      </c>
    </row>
    <row r="32" spans="1:3" ht="14.25" x14ac:dyDescent="0.2">
      <c r="A32" s="182" t="s">
        <v>981</v>
      </c>
      <c r="B32" s="117" t="s">
        <v>982</v>
      </c>
      <c r="C32" s="164">
        <v>5.5E-2</v>
      </c>
    </row>
    <row r="33" spans="1:3" ht="14.25" x14ac:dyDescent="0.2">
      <c r="A33" s="182" t="s">
        <v>983</v>
      </c>
      <c r="B33" s="117" t="s">
        <v>984</v>
      </c>
      <c r="C33" s="164">
        <v>0.01</v>
      </c>
    </row>
    <row r="34" spans="1:3" ht="14.25" x14ac:dyDescent="0.2">
      <c r="A34" s="182" t="s">
        <v>985</v>
      </c>
      <c r="B34" s="117" t="s">
        <v>986</v>
      </c>
      <c r="C34" s="164">
        <v>1.2699999999999999E-2</v>
      </c>
    </row>
    <row r="35" spans="1:3" ht="14.25" x14ac:dyDescent="0.2">
      <c r="A35" s="182" t="s">
        <v>987</v>
      </c>
      <c r="B35" s="117" t="s">
        <v>988</v>
      </c>
      <c r="C35" s="164">
        <v>1.3899999999999999E-2</v>
      </c>
    </row>
    <row r="36" spans="1:3" ht="14.25" x14ac:dyDescent="0.2">
      <c r="A36" s="182" t="s">
        <v>184</v>
      </c>
      <c r="B36" s="117" t="s">
        <v>989</v>
      </c>
      <c r="C36" s="164">
        <v>8.9599999999999999E-2</v>
      </c>
    </row>
    <row r="37" spans="1:3" ht="14.25" x14ac:dyDescent="0.2">
      <c r="A37" s="182" t="s">
        <v>990</v>
      </c>
      <c r="B37" s="275" t="s">
        <v>991</v>
      </c>
      <c r="C37" s="275"/>
    </row>
    <row r="38" spans="1:3" ht="14.25" x14ac:dyDescent="0.2">
      <c r="A38" s="229"/>
      <c r="B38" s="117" t="s">
        <v>992</v>
      </c>
      <c r="C38" s="164">
        <v>6.4999999999999997E-3</v>
      </c>
    </row>
    <row r="39" spans="1:3" ht="14.25" x14ac:dyDescent="0.2">
      <c r="A39" s="229"/>
      <c r="B39" s="117" t="s">
        <v>993</v>
      </c>
      <c r="C39" s="164">
        <v>0.03</v>
      </c>
    </row>
    <row r="40" spans="1:3" ht="14.25" x14ac:dyDescent="0.2">
      <c r="A40" s="229"/>
      <c r="B40" s="117" t="s">
        <v>27</v>
      </c>
      <c r="C40" s="239">
        <v>0.02</v>
      </c>
    </row>
    <row r="41" spans="1:3" ht="14.25" x14ac:dyDescent="0.2">
      <c r="A41" s="229"/>
      <c r="B41" s="117" t="s">
        <v>994</v>
      </c>
      <c r="C41" s="164">
        <v>4.4999999999999998E-2</v>
      </c>
    </row>
    <row r="42" spans="1:3" ht="15" x14ac:dyDescent="0.2">
      <c r="A42" s="282" t="s">
        <v>995</v>
      </c>
      <c r="B42" s="282"/>
      <c r="C42" s="208">
        <f>(((1+C32+C33+C34)*(1+C35)*(1+C36))/(1-(C38+C39+C40+C41)))-1</f>
        <v>0.32507975591318861</v>
      </c>
    </row>
    <row r="43" spans="1:3" x14ac:dyDescent="0.2">
      <c r="A43" s="348"/>
      <c r="B43" s="348"/>
      <c r="C43" s="348"/>
    </row>
    <row r="44" spans="1:3" ht="15" x14ac:dyDescent="0.2">
      <c r="A44" s="186">
        <v>4</v>
      </c>
      <c r="B44" s="186" t="s">
        <v>999</v>
      </c>
      <c r="C44" s="186" t="s">
        <v>322</v>
      </c>
    </row>
    <row r="45" spans="1:3" ht="14.25" x14ac:dyDescent="0.2">
      <c r="A45" s="182" t="s">
        <v>981</v>
      </c>
      <c r="B45" s="117" t="s">
        <v>982</v>
      </c>
      <c r="C45" s="164">
        <v>5.5E-2</v>
      </c>
    </row>
    <row r="46" spans="1:3" ht="14.25" x14ac:dyDescent="0.2">
      <c r="A46" s="182" t="s">
        <v>983</v>
      </c>
      <c r="B46" s="117" t="s">
        <v>984</v>
      </c>
      <c r="C46" s="164">
        <v>0.01</v>
      </c>
    </row>
    <row r="47" spans="1:3" ht="14.25" x14ac:dyDescent="0.2">
      <c r="A47" s="182" t="s">
        <v>985</v>
      </c>
      <c r="B47" s="117" t="s">
        <v>986</v>
      </c>
      <c r="C47" s="164">
        <v>1.2699999999999999E-2</v>
      </c>
    </row>
    <row r="48" spans="1:3" ht="14.25" x14ac:dyDescent="0.2">
      <c r="A48" s="182" t="s">
        <v>987</v>
      </c>
      <c r="B48" s="117" t="s">
        <v>988</v>
      </c>
      <c r="C48" s="164">
        <v>1.3899999999999999E-2</v>
      </c>
    </row>
    <row r="49" spans="1:3" ht="14.25" x14ac:dyDescent="0.2">
      <c r="A49" s="182" t="s">
        <v>184</v>
      </c>
      <c r="B49" s="117" t="s">
        <v>989</v>
      </c>
      <c r="C49" s="164">
        <v>8.9599999999999999E-2</v>
      </c>
    </row>
    <row r="50" spans="1:3" ht="14.25" x14ac:dyDescent="0.2">
      <c r="A50" s="182" t="s">
        <v>990</v>
      </c>
      <c r="B50" s="275" t="s">
        <v>991</v>
      </c>
      <c r="C50" s="275"/>
    </row>
    <row r="51" spans="1:3" ht="14.25" x14ac:dyDescent="0.2">
      <c r="A51" s="229"/>
      <c r="B51" s="117" t="s">
        <v>992</v>
      </c>
      <c r="C51" s="164">
        <v>6.4999999999999997E-3</v>
      </c>
    </row>
    <row r="52" spans="1:3" ht="14.25" x14ac:dyDescent="0.2">
      <c r="A52" s="229"/>
      <c r="B52" s="117" t="s">
        <v>993</v>
      </c>
      <c r="C52" s="164">
        <v>0.03</v>
      </c>
    </row>
    <row r="53" spans="1:3" ht="14.25" x14ac:dyDescent="0.2">
      <c r="A53" s="229"/>
      <c r="B53" s="117" t="s">
        <v>27</v>
      </c>
      <c r="C53" s="239">
        <v>2.5000000000000001E-2</v>
      </c>
    </row>
    <row r="54" spans="1:3" ht="14.25" x14ac:dyDescent="0.2">
      <c r="A54" s="229"/>
      <c r="B54" s="117" t="s">
        <v>994</v>
      </c>
      <c r="C54" s="164">
        <v>4.4999999999999998E-2</v>
      </c>
    </row>
    <row r="55" spans="1:3" ht="15" x14ac:dyDescent="0.2">
      <c r="A55" s="282" t="s">
        <v>995</v>
      </c>
      <c r="B55" s="282"/>
      <c r="C55" s="208">
        <f>(((1+C45+C46+C47)*(1+C48)*(1+C49))/(1-(C51+C52+C53+C54)))-1</f>
        <v>0.33249486366871839</v>
      </c>
    </row>
    <row r="56" spans="1:3" x14ac:dyDescent="0.2">
      <c r="A56" s="348"/>
      <c r="B56" s="348"/>
      <c r="C56" s="348"/>
    </row>
    <row r="57" spans="1:3" ht="15" x14ac:dyDescent="0.2">
      <c r="A57" s="186">
        <v>5</v>
      </c>
      <c r="B57" s="186" t="s">
        <v>1000</v>
      </c>
      <c r="C57" s="186" t="s">
        <v>322</v>
      </c>
    </row>
    <row r="58" spans="1:3" ht="14.25" x14ac:dyDescent="0.2">
      <c r="A58" s="182" t="s">
        <v>981</v>
      </c>
      <c r="B58" s="117" t="s">
        <v>982</v>
      </c>
      <c r="C58" s="164">
        <v>5.5E-2</v>
      </c>
    </row>
    <row r="59" spans="1:3" ht="14.25" x14ac:dyDescent="0.2">
      <c r="A59" s="182" t="s">
        <v>983</v>
      </c>
      <c r="B59" s="117" t="s">
        <v>984</v>
      </c>
      <c r="C59" s="164">
        <v>0.01</v>
      </c>
    </row>
    <row r="60" spans="1:3" ht="14.25" x14ac:dyDescent="0.2">
      <c r="A60" s="182" t="s">
        <v>985</v>
      </c>
      <c r="B60" s="117" t="s">
        <v>986</v>
      </c>
      <c r="C60" s="164">
        <v>1.2699999999999999E-2</v>
      </c>
    </row>
    <row r="61" spans="1:3" ht="14.25" x14ac:dyDescent="0.2">
      <c r="A61" s="182" t="s">
        <v>987</v>
      </c>
      <c r="B61" s="117" t="s">
        <v>988</v>
      </c>
      <c r="C61" s="164">
        <v>1.3899999999999999E-2</v>
      </c>
    </row>
    <row r="62" spans="1:3" ht="14.25" x14ac:dyDescent="0.2">
      <c r="A62" s="182" t="s">
        <v>184</v>
      </c>
      <c r="B62" s="117" t="s">
        <v>989</v>
      </c>
      <c r="C62" s="164">
        <v>8.9599999999999999E-2</v>
      </c>
    </row>
    <row r="63" spans="1:3" ht="14.25" x14ac:dyDescent="0.2">
      <c r="A63" s="182" t="s">
        <v>990</v>
      </c>
      <c r="B63" s="275" t="s">
        <v>991</v>
      </c>
      <c r="C63" s="275"/>
    </row>
    <row r="64" spans="1:3" ht="14.25" x14ac:dyDescent="0.2">
      <c r="A64" s="229"/>
      <c r="B64" s="117" t="s">
        <v>992</v>
      </c>
      <c r="C64" s="164">
        <v>6.4999999999999997E-3</v>
      </c>
    </row>
    <row r="65" spans="1:3" ht="14.25" x14ac:dyDescent="0.2">
      <c r="A65" s="229"/>
      <c r="B65" s="117" t="s">
        <v>993</v>
      </c>
      <c r="C65" s="164">
        <v>0.03</v>
      </c>
    </row>
    <row r="66" spans="1:3" ht="14.25" x14ac:dyDescent="0.2">
      <c r="A66" s="229"/>
      <c r="B66" s="117" t="s">
        <v>27</v>
      </c>
      <c r="C66" s="239">
        <v>0.03</v>
      </c>
    </row>
    <row r="67" spans="1:3" ht="14.25" x14ac:dyDescent="0.2">
      <c r="A67" s="229"/>
      <c r="B67" s="117" t="s">
        <v>994</v>
      </c>
      <c r="C67" s="164">
        <v>4.4999999999999998E-2</v>
      </c>
    </row>
    <row r="68" spans="1:3" ht="15" x14ac:dyDescent="0.2">
      <c r="A68" s="282" t="s">
        <v>995</v>
      </c>
      <c r="B68" s="282"/>
      <c r="C68" s="208">
        <f>(((1+C58+C59+C60)*(1+C61)*(1+C62))/(1-(C64+C65+C66+C67)))-1</f>
        <v>0.33999342789870557</v>
      </c>
    </row>
    <row r="69" spans="1:3" x14ac:dyDescent="0.2">
      <c r="A69" s="348"/>
      <c r="B69" s="348"/>
      <c r="C69" s="348"/>
    </row>
    <row r="70" spans="1:3" ht="15" x14ac:dyDescent="0.2">
      <c r="A70" s="186">
        <v>6</v>
      </c>
      <c r="B70" s="186" t="s">
        <v>1001</v>
      </c>
      <c r="C70" s="186" t="s">
        <v>322</v>
      </c>
    </row>
    <row r="71" spans="1:3" ht="14.25" x14ac:dyDescent="0.2">
      <c r="A71" s="182" t="s">
        <v>981</v>
      </c>
      <c r="B71" s="117" t="s">
        <v>982</v>
      </c>
      <c r="C71" s="164">
        <v>5.5E-2</v>
      </c>
    </row>
    <row r="72" spans="1:3" ht="14.25" x14ac:dyDescent="0.2">
      <c r="A72" s="182" t="s">
        <v>983</v>
      </c>
      <c r="B72" s="117" t="s">
        <v>984</v>
      </c>
      <c r="C72" s="164">
        <v>0.01</v>
      </c>
    </row>
    <row r="73" spans="1:3" ht="14.25" x14ac:dyDescent="0.2">
      <c r="A73" s="182" t="s">
        <v>985</v>
      </c>
      <c r="B73" s="117" t="s">
        <v>986</v>
      </c>
      <c r="C73" s="164">
        <v>1.2699999999999999E-2</v>
      </c>
    </row>
    <row r="74" spans="1:3" ht="14.25" x14ac:dyDescent="0.2">
      <c r="A74" s="182" t="s">
        <v>987</v>
      </c>
      <c r="B74" s="117" t="s">
        <v>988</v>
      </c>
      <c r="C74" s="164">
        <v>1.3899999999999999E-2</v>
      </c>
    </row>
    <row r="75" spans="1:3" ht="14.25" x14ac:dyDescent="0.2">
      <c r="A75" s="182" t="s">
        <v>184</v>
      </c>
      <c r="B75" s="117" t="s">
        <v>989</v>
      </c>
      <c r="C75" s="164">
        <v>8.9599999999999999E-2</v>
      </c>
    </row>
    <row r="76" spans="1:3" ht="14.25" x14ac:dyDescent="0.2">
      <c r="A76" s="182" t="s">
        <v>990</v>
      </c>
      <c r="B76" s="275" t="s">
        <v>991</v>
      </c>
      <c r="C76" s="275"/>
    </row>
    <row r="77" spans="1:3" ht="14.25" x14ac:dyDescent="0.2">
      <c r="A77" s="229"/>
      <c r="B77" s="117" t="s">
        <v>992</v>
      </c>
      <c r="C77" s="164">
        <v>6.4999999999999997E-3</v>
      </c>
    </row>
    <row r="78" spans="1:3" ht="14.25" x14ac:dyDescent="0.2">
      <c r="A78" s="229"/>
      <c r="B78" s="117" t="s">
        <v>993</v>
      </c>
      <c r="C78" s="164">
        <v>0.03</v>
      </c>
    </row>
    <row r="79" spans="1:3" ht="14.25" x14ac:dyDescent="0.2">
      <c r="A79" s="229"/>
      <c r="B79" s="117" t="s">
        <v>27</v>
      </c>
      <c r="C79" s="239">
        <v>0.04</v>
      </c>
    </row>
    <row r="80" spans="1:3" ht="14.25" x14ac:dyDescent="0.2">
      <c r="A80" s="229"/>
      <c r="B80" s="117" t="s">
        <v>994</v>
      </c>
      <c r="C80" s="164">
        <v>4.4999999999999998E-2</v>
      </c>
    </row>
    <row r="81" spans="1:3" ht="15" x14ac:dyDescent="0.2">
      <c r="A81" s="282" t="s">
        <v>995</v>
      </c>
      <c r="B81" s="282"/>
      <c r="C81" s="208">
        <f>(((1+C71+C72+C73)*(1+C74)*(1+C75))/(1-(C77+C78+C79+C80)))-1</f>
        <v>0.35524662571200882</v>
      </c>
    </row>
    <row r="82" spans="1:3" x14ac:dyDescent="0.2">
      <c r="A82" s="348"/>
      <c r="B82" s="348"/>
      <c r="C82" s="348"/>
    </row>
    <row r="83" spans="1:3" ht="15" x14ac:dyDescent="0.2">
      <c r="A83" s="186">
        <v>7</v>
      </c>
      <c r="B83" s="186" t="s">
        <v>1002</v>
      </c>
      <c r="C83" s="186" t="s">
        <v>322</v>
      </c>
    </row>
    <row r="84" spans="1:3" ht="14.25" x14ac:dyDescent="0.2">
      <c r="A84" s="182" t="s">
        <v>981</v>
      </c>
      <c r="B84" s="117" t="s">
        <v>982</v>
      </c>
      <c r="C84" s="164">
        <v>5.5E-2</v>
      </c>
    </row>
    <row r="85" spans="1:3" ht="14.25" x14ac:dyDescent="0.2">
      <c r="A85" s="182" t="s">
        <v>983</v>
      </c>
      <c r="B85" s="117" t="s">
        <v>984</v>
      </c>
      <c r="C85" s="164">
        <v>0.01</v>
      </c>
    </row>
    <row r="86" spans="1:3" ht="14.25" x14ac:dyDescent="0.2">
      <c r="A86" s="182" t="s">
        <v>985</v>
      </c>
      <c r="B86" s="117" t="s">
        <v>986</v>
      </c>
      <c r="C86" s="164">
        <v>1.2699999999999999E-2</v>
      </c>
    </row>
    <row r="87" spans="1:3" ht="14.25" x14ac:dyDescent="0.2">
      <c r="A87" s="182" t="s">
        <v>987</v>
      </c>
      <c r="B87" s="117" t="s">
        <v>988</v>
      </c>
      <c r="C87" s="164">
        <v>1.3899999999999999E-2</v>
      </c>
    </row>
    <row r="88" spans="1:3" ht="14.25" x14ac:dyDescent="0.2">
      <c r="A88" s="182" t="s">
        <v>184</v>
      </c>
      <c r="B88" s="117" t="s">
        <v>989</v>
      </c>
      <c r="C88" s="164">
        <v>8.9599999999999999E-2</v>
      </c>
    </row>
    <row r="89" spans="1:3" ht="14.25" x14ac:dyDescent="0.2">
      <c r="A89" s="182" t="s">
        <v>990</v>
      </c>
      <c r="B89" s="275" t="s">
        <v>991</v>
      </c>
      <c r="C89" s="275"/>
    </row>
    <row r="90" spans="1:3" ht="14.25" x14ac:dyDescent="0.2">
      <c r="A90" s="229"/>
      <c r="B90" s="117" t="s">
        <v>992</v>
      </c>
      <c r="C90" s="164">
        <v>6.4999999999999997E-3</v>
      </c>
    </row>
    <row r="91" spans="1:3" ht="14.25" x14ac:dyDescent="0.2">
      <c r="A91" s="229"/>
      <c r="B91" s="117" t="s">
        <v>993</v>
      </c>
      <c r="C91" s="164">
        <v>0.03</v>
      </c>
    </row>
    <row r="92" spans="1:3" ht="14.25" x14ac:dyDescent="0.2">
      <c r="A92" s="229"/>
      <c r="B92" s="117" t="s">
        <v>27</v>
      </c>
      <c r="C92" s="239">
        <v>0.05</v>
      </c>
    </row>
    <row r="93" spans="1:3" ht="14.25" x14ac:dyDescent="0.2">
      <c r="A93" s="229"/>
      <c r="B93" s="117" t="s">
        <v>994</v>
      </c>
      <c r="C93" s="164">
        <v>4.4999999999999998E-2</v>
      </c>
    </row>
    <row r="94" spans="1:3" ht="15" x14ac:dyDescent="0.2">
      <c r="A94" s="282" t="s">
        <v>995</v>
      </c>
      <c r="B94" s="282"/>
      <c r="C94" s="208">
        <f>(((1+C84+C85+C86)*(1+C87)*(1+C88))/(1-(C90+C91+C92+C93)))-1</f>
        <v>0.37085107736096701</v>
      </c>
    </row>
    <row r="95" spans="1:3" x14ac:dyDescent="0.2">
      <c r="A95" s="212"/>
      <c r="B95" s="212"/>
      <c r="C95" s="212"/>
    </row>
  </sheetData>
  <mergeCells count="24">
    <mergeCell ref="A81:B81"/>
    <mergeCell ref="A82:C82"/>
    <mergeCell ref="B89:C89"/>
    <mergeCell ref="A94:B94"/>
    <mergeCell ref="A56:C56"/>
    <mergeCell ref="B63:C63"/>
    <mergeCell ref="A68:B68"/>
    <mergeCell ref="A69:C69"/>
    <mergeCell ref="B76:C76"/>
    <mergeCell ref="B37:C37"/>
    <mergeCell ref="A42:B42"/>
    <mergeCell ref="A43:C43"/>
    <mergeCell ref="B50:C50"/>
    <mergeCell ref="A55:B55"/>
    <mergeCell ref="A16:C16"/>
    <mergeCell ref="A17:C17"/>
    <mergeCell ref="B24:C24"/>
    <mergeCell ref="A29:B29"/>
    <mergeCell ref="A30:C30"/>
    <mergeCell ref="A1:C1"/>
    <mergeCell ref="A2:C2"/>
    <mergeCell ref="A3:C3"/>
    <mergeCell ref="B10:C10"/>
    <mergeCell ref="A15:B15"/>
  </mergeCells>
  <printOptions horizontalCentered="1"/>
  <pageMargins left="0.78740157480314965" right="0.78740157480314965" top="0.9055118110236221" bottom="0.9055118110236221" header="0.51181102362204722" footer="0.51181102362204722"/>
  <pageSetup paperSize="9" scale="53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43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-0.499984740745262"/>
    <pageSetUpPr fitToPage="1"/>
  </sheetPr>
  <dimension ref="A1:IT20"/>
  <sheetViews>
    <sheetView view="pageBreakPreview" zoomScaleNormal="60" workbookViewId="0">
      <selection activeCell="J8" sqref="J8"/>
    </sheetView>
  </sheetViews>
  <sheetFormatPr defaultRowHeight="12.75" x14ac:dyDescent="0.2"/>
  <cols>
    <col min="1" max="1" width="15.140625" customWidth="1"/>
    <col min="2" max="3" width="16.42578125" customWidth="1"/>
    <col min="4" max="4" width="16.42578125" style="111" customWidth="1"/>
    <col min="5" max="6" width="16.42578125" style="110" customWidth="1"/>
    <col min="7" max="14" width="16.42578125" style="111" customWidth="1"/>
    <col min="15" max="239" width="11.140625" style="111" customWidth="1"/>
    <col min="240" max="254" width="11.140625" style="112" customWidth="1"/>
    <col min="255" max="1025" width="11.140625" customWidth="1"/>
  </cols>
  <sheetData>
    <row r="1" spans="1:254" ht="20.25" x14ac:dyDescent="0.2">
      <c r="A1" s="343" t="s">
        <v>1003</v>
      </c>
      <c r="B1" s="343"/>
      <c r="C1" s="343"/>
      <c r="D1" s="343"/>
      <c r="E1" s="343"/>
      <c r="F1" s="343"/>
      <c r="G1" s="343"/>
      <c r="H1" s="343"/>
    </row>
    <row r="2" spans="1:254" s="111" customFormat="1" ht="15" x14ac:dyDescent="0.2">
      <c r="A2" s="147"/>
      <c r="B2" s="147" t="s">
        <v>1004</v>
      </c>
      <c r="C2" s="147" t="s">
        <v>1005</v>
      </c>
      <c r="D2" s="147" t="s">
        <v>1006</v>
      </c>
      <c r="E2" s="147" t="s">
        <v>1007</v>
      </c>
      <c r="F2" s="147" t="s">
        <v>1008</v>
      </c>
      <c r="G2" s="147" t="s">
        <v>1009</v>
      </c>
      <c r="H2" s="147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</row>
    <row r="3" spans="1:254" s="111" customFormat="1" ht="15" x14ac:dyDescent="0.2">
      <c r="A3" s="349"/>
      <c r="B3" s="349"/>
      <c r="C3" s="349"/>
      <c r="D3" s="349"/>
      <c r="E3" s="349"/>
      <c r="F3" s="349"/>
      <c r="G3" s="349"/>
      <c r="H3" s="349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</row>
    <row r="4" spans="1:254" s="111" customFormat="1" ht="30" x14ac:dyDescent="0.2">
      <c r="A4" s="36" t="s">
        <v>1010</v>
      </c>
      <c r="B4" s="161">
        <f>'II Plan Consolid'!J84</f>
        <v>175365.96298694602</v>
      </c>
      <c r="C4" s="161">
        <f>B4</f>
        <v>175365.96298694602</v>
      </c>
      <c r="D4" s="161">
        <f>C4</f>
        <v>175365.96298694602</v>
      </c>
      <c r="E4" s="161">
        <f>D4</f>
        <v>175365.96298694602</v>
      </c>
      <c r="F4" s="161">
        <f>E4</f>
        <v>175365.96298694602</v>
      </c>
      <c r="G4" s="161">
        <f>F4</f>
        <v>175365.96298694602</v>
      </c>
      <c r="H4" s="16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54" s="111" customFormat="1" ht="15" x14ac:dyDescent="0.2">
      <c r="A5" s="350"/>
      <c r="B5" s="350"/>
      <c r="C5" s="350"/>
      <c r="D5" s="350"/>
      <c r="E5" s="350"/>
      <c r="F5" s="350"/>
      <c r="G5" s="350"/>
      <c r="H5" s="350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</row>
    <row r="6" spans="1:254" s="111" customFormat="1" ht="30" x14ac:dyDescent="0.2">
      <c r="A6" s="36" t="s">
        <v>1011</v>
      </c>
      <c r="B6" s="163">
        <f t="shared" ref="B6:G6" si="0">B4/$H$14</f>
        <v>8.3333335313319767E-2</v>
      </c>
      <c r="C6" s="163">
        <f t="shared" si="0"/>
        <v>8.3333335313319767E-2</v>
      </c>
      <c r="D6" s="163">
        <f t="shared" si="0"/>
        <v>8.3333335313319767E-2</v>
      </c>
      <c r="E6" s="163">
        <f t="shared" si="0"/>
        <v>8.3333335313319767E-2</v>
      </c>
      <c r="F6" s="163">
        <f t="shared" si="0"/>
        <v>8.3333335313319767E-2</v>
      </c>
      <c r="G6" s="163">
        <f t="shared" si="0"/>
        <v>8.3333335313319767E-2</v>
      </c>
      <c r="H6" s="16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</row>
    <row r="7" spans="1:254" s="111" customFormat="1" ht="15" x14ac:dyDescent="0.2">
      <c r="A7" s="350"/>
      <c r="B7" s="350"/>
      <c r="C7" s="350"/>
      <c r="D7" s="350"/>
      <c r="E7" s="350"/>
      <c r="F7" s="350"/>
      <c r="G7" s="350"/>
      <c r="H7" s="350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</row>
    <row r="8" spans="1:254" s="111" customFormat="1" ht="30.2" customHeight="1" x14ac:dyDescent="0.2">
      <c r="A8" s="36" t="s">
        <v>1012</v>
      </c>
      <c r="B8" s="161">
        <f>B4</f>
        <v>175365.96298694602</v>
      </c>
      <c r="C8" s="161">
        <f>B8+C4</f>
        <v>350731.92597389204</v>
      </c>
      <c r="D8" s="161">
        <f>C8+D4</f>
        <v>526097.88896083809</v>
      </c>
      <c r="E8" s="161">
        <f>D8+E4</f>
        <v>701463.85194778407</v>
      </c>
      <c r="F8" s="161">
        <f>E8+F4</f>
        <v>876829.81493473006</v>
      </c>
      <c r="G8" s="161">
        <f>F8+G4</f>
        <v>1052195.7779216762</v>
      </c>
      <c r="H8" s="16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</row>
    <row r="9" spans="1:254" s="111" customFormat="1" ht="15" x14ac:dyDescent="0.2">
      <c r="A9" s="350"/>
      <c r="B9" s="350"/>
      <c r="C9" s="350"/>
      <c r="D9" s="350"/>
      <c r="E9" s="350"/>
      <c r="F9" s="350"/>
      <c r="G9" s="350"/>
      <c r="H9" s="350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</row>
    <row r="10" spans="1:254" s="111" customFormat="1" ht="30" x14ac:dyDescent="0.2">
      <c r="A10" s="36" t="s">
        <v>1013</v>
      </c>
      <c r="B10" s="164">
        <f>B6</f>
        <v>8.3333335313319767E-2</v>
      </c>
      <c r="C10" s="164">
        <f>B10+C6</f>
        <v>0.16666667062663953</v>
      </c>
      <c r="D10" s="164">
        <f>C10+D6</f>
        <v>0.2500000059399593</v>
      </c>
      <c r="E10" s="164">
        <f>D10+E6</f>
        <v>0.33333334125327907</v>
      </c>
      <c r="F10" s="164">
        <f>E10+F6</f>
        <v>0.41666667656659884</v>
      </c>
      <c r="G10" s="164">
        <f>F10+G6</f>
        <v>0.5000000118799186</v>
      </c>
      <c r="H10" s="16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</row>
    <row r="11" spans="1:254" s="111" customFormat="1" ht="15" customHeight="1" x14ac:dyDescent="0.2">
      <c r="A11" s="351"/>
      <c r="B11" s="351"/>
      <c r="C11" s="351"/>
      <c r="D11" s="351"/>
      <c r="E11" s="351"/>
      <c r="F11" s="351"/>
      <c r="G11" s="351"/>
      <c r="H11" s="351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  <c r="IR11" s="112"/>
      <c r="IS11" s="112"/>
      <c r="IT11" s="112"/>
    </row>
    <row r="12" spans="1:254" ht="15" x14ac:dyDescent="0.2">
      <c r="A12" s="147"/>
      <c r="B12" s="147" t="s">
        <v>1014</v>
      </c>
      <c r="C12" s="147" t="s">
        <v>1015</v>
      </c>
      <c r="D12" s="147" t="s">
        <v>1016</v>
      </c>
      <c r="E12" s="147" t="s">
        <v>1017</v>
      </c>
      <c r="F12" s="147" t="s">
        <v>1018</v>
      </c>
      <c r="G12" s="147" t="s">
        <v>1019</v>
      </c>
      <c r="H12" s="147" t="s">
        <v>330</v>
      </c>
    </row>
    <row r="13" spans="1:254" ht="15" customHeight="1" x14ac:dyDescent="0.2">
      <c r="A13" s="352"/>
      <c r="B13" s="352"/>
      <c r="C13" s="352"/>
      <c r="D13" s="352"/>
      <c r="E13" s="352"/>
      <c r="F13" s="352"/>
      <c r="G13" s="352"/>
      <c r="H13" s="352"/>
    </row>
    <row r="14" spans="1:254" ht="30" x14ac:dyDescent="0.2">
      <c r="A14" s="36" t="s">
        <v>1010</v>
      </c>
      <c r="B14" s="161">
        <f>G4</f>
        <v>175365.96298694602</v>
      </c>
      <c r="C14" s="161">
        <f>B14</f>
        <v>175365.96298694602</v>
      </c>
      <c r="D14" s="161">
        <f>C14</f>
        <v>175365.96298694602</v>
      </c>
      <c r="E14" s="161">
        <f>D14</f>
        <v>175365.96298694602</v>
      </c>
      <c r="F14" s="161">
        <f>E14</f>
        <v>175365.96298694602</v>
      </c>
      <c r="G14" s="161">
        <f>F14</f>
        <v>175365.96298694602</v>
      </c>
      <c r="H14" s="161">
        <f>SUM(B4:G4)+SUM(B14:G14)-0.05</f>
        <v>2104391.5058433525</v>
      </c>
    </row>
    <row r="15" spans="1:254" ht="15" customHeight="1" x14ac:dyDescent="0.2">
      <c r="A15" s="352"/>
      <c r="B15" s="352"/>
      <c r="C15" s="352"/>
      <c r="D15" s="352"/>
      <c r="E15" s="352"/>
      <c r="F15" s="352"/>
      <c r="G15" s="352"/>
      <c r="H15" s="352"/>
    </row>
    <row r="16" spans="1:254" ht="30" x14ac:dyDescent="0.2">
      <c r="A16" s="36" t="s">
        <v>1011</v>
      </c>
      <c r="B16" s="163">
        <f t="shared" ref="B16:G16" si="1">B14/$H$14</f>
        <v>8.3333335313319767E-2</v>
      </c>
      <c r="C16" s="163">
        <f t="shared" si="1"/>
        <v>8.3333335313319767E-2</v>
      </c>
      <c r="D16" s="163">
        <f t="shared" si="1"/>
        <v>8.3333335313319767E-2</v>
      </c>
      <c r="E16" s="163">
        <f t="shared" si="1"/>
        <v>8.3333335313319767E-2</v>
      </c>
      <c r="F16" s="163">
        <f t="shared" si="1"/>
        <v>8.3333335313319767E-2</v>
      </c>
      <c r="G16" s="163">
        <f t="shared" si="1"/>
        <v>8.3333335313319767E-2</v>
      </c>
      <c r="H16" s="165">
        <f>SUM(B6:G6)+SUM(B16:G16)</f>
        <v>1.0000000237598372</v>
      </c>
    </row>
    <row r="17" spans="1:8" ht="15" customHeight="1" x14ac:dyDescent="0.2">
      <c r="A17" s="352"/>
      <c r="B17" s="352"/>
      <c r="C17" s="352"/>
      <c r="D17" s="352"/>
      <c r="E17" s="352"/>
      <c r="F17" s="352"/>
      <c r="G17" s="352"/>
      <c r="H17" s="352"/>
    </row>
    <row r="18" spans="1:8" ht="30.2" customHeight="1" x14ac:dyDescent="0.2">
      <c r="A18" s="36" t="s">
        <v>1012</v>
      </c>
      <c r="B18" s="161">
        <f>G8+B14</f>
        <v>1227561.7409086223</v>
      </c>
      <c r="C18" s="161">
        <f>B18+C14</f>
        <v>1402927.7038955684</v>
      </c>
      <c r="D18" s="161">
        <f>C18+D14</f>
        <v>1578293.6668825145</v>
      </c>
      <c r="E18" s="161">
        <f>D18+E14</f>
        <v>1753659.6298694606</v>
      </c>
      <c r="F18" s="161">
        <f>E18+F14</f>
        <v>1929025.5928564067</v>
      </c>
      <c r="G18" s="161">
        <f>F18+G14</f>
        <v>2104391.5558433528</v>
      </c>
      <c r="H18" s="162"/>
    </row>
    <row r="19" spans="1:8" ht="15" customHeight="1" x14ac:dyDescent="0.2">
      <c r="A19" s="352"/>
      <c r="B19" s="352"/>
      <c r="C19" s="352"/>
      <c r="D19" s="352"/>
      <c r="E19" s="352"/>
      <c r="F19" s="352"/>
      <c r="G19" s="352"/>
      <c r="H19" s="352"/>
    </row>
    <row r="20" spans="1:8" ht="30" x14ac:dyDescent="0.2">
      <c r="A20" s="36" t="s">
        <v>1013</v>
      </c>
      <c r="B20" s="164">
        <f>G10+B16</f>
        <v>0.58333334719323837</v>
      </c>
      <c r="C20" s="164">
        <f>B20+C16</f>
        <v>0.66666668250655814</v>
      </c>
      <c r="D20" s="164">
        <f>C20+D16</f>
        <v>0.75000001781987791</v>
      </c>
      <c r="E20" s="164">
        <f>D20+E16</f>
        <v>0.83333335313319767</v>
      </c>
      <c r="F20" s="164">
        <f>E20+F16</f>
        <v>0.91666668844651744</v>
      </c>
      <c r="G20" s="164">
        <f>F20+G16</f>
        <v>1.0000000237598372</v>
      </c>
      <c r="H20" s="162"/>
    </row>
  </sheetData>
  <mergeCells count="10">
    <mergeCell ref="A11:H11"/>
    <mergeCell ref="A13:H13"/>
    <mergeCell ref="A15:H15"/>
    <mergeCell ref="A17:H17"/>
    <mergeCell ref="A19:H19"/>
    <mergeCell ref="A1:H1"/>
    <mergeCell ref="A3:H3"/>
    <mergeCell ref="A5:H5"/>
    <mergeCell ref="A7:H7"/>
    <mergeCell ref="A9:H9"/>
  </mergeCells>
  <printOptions horizontalCentered="1"/>
  <pageMargins left="0.78740157480314965" right="0.78740157480314965" top="0.9055118110236221" bottom="0.9055118110236221" header="0.51181102362204722" footer="0.51181102362204722"/>
  <pageSetup paperSize="9" scale="64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1:AML65536"/>
  <sheetViews>
    <sheetView view="pageBreakPreview" topLeftCell="A88" zoomScale="85" zoomScaleNormal="100" zoomScalePageLayoutView="85" workbookViewId="0">
      <selection activeCell="F123" sqref="F123"/>
    </sheetView>
  </sheetViews>
  <sheetFormatPr defaultRowHeight="12.75" x14ac:dyDescent="0.2"/>
  <cols>
    <col min="1" max="1" width="6.28515625" style="12" customWidth="1"/>
    <col min="2" max="2" width="9.140625" style="12" customWidth="1"/>
    <col min="3" max="3" width="10" style="12" customWidth="1"/>
    <col min="4" max="4" width="52.85546875" style="12" customWidth="1"/>
    <col min="5" max="5" width="5.7109375" style="12" customWidth="1"/>
    <col min="6" max="6" width="14.85546875" style="12" customWidth="1"/>
    <col min="7" max="7" width="12.42578125" style="12" customWidth="1"/>
    <col min="8" max="8" width="15.5703125" style="12" customWidth="1"/>
    <col min="9" max="9" width="14.85546875" style="12" customWidth="1"/>
    <col min="10" max="11" width="17.85546875" style="12" customWidth="1"/>
    <col min="12" max="12" width="15.7109375" style="12" customWidth="1"/>
    <col min="13" max="13" width="16" style="12" customWidth="1"/>
    <col min="14" max="14" width="12.140625" style="12" customWidth="1"/>
    <col min="15" max="1026" width="12.5703125" style="12" customWidth="1"/>
  </cols>
  <sheetData>
    <row r="1" spans="1:15" ht="20.25" customHeight="1" x14ac:dyDescent="0.2">
      <c r="A1" s="285" t="s">
        <v>100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5" ht="15" customHeight="1" x14ac:dyDescent="0.2">
      <c r="A2" s="273" t="s">
        <v>101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13"/>
    </row>
    <row r="3" spans="1:15" s="16" customFormat="1" ht="60" x14ac:dyDescent="0.2">
      <c r="A3" s="4" t="s">
        <v>102</v>
      </c>
      <c r="B3" s="4" t="s">
        <v>103</v>
      </c>
      <c r="C3" s="4" t="s">
        <v>104</v>
      </c>
      <c r="D3" s="4" t="s">
        <v>105</v>
      </c>
      <c r="E3" s="4" t="s">
        <v>106</v>
      </c>
      <c r="F3" s="14" t="s">
        <v>107</v>
      </c>
      <c r="G3" s="14" t="s">
        <v>108</v>
      </c>
      <c r="H3" s="14" t="s">
        <v>109</v>
      </c>
      <c r="I3" s="14" t="s">
        <v>110</v>
      </c>
      <c r="J3" s="14" t="s">
        <v>111</v>
      </c>
      <c r="K3" s="14"/>
      <c r="L3" s="15" t="s">
        <v>112</v>
      </c>
      <c r="M3" s="14" t="s">
        <v>113</v>
      </c>
      <c r="N3" s="14" t="s">
        <v>114</v>
      </c>
    </row>
    <row r="4" spans="1:15" ht="14.25" x14ac:dyDescent="0.2">
      <c r="A4" s="17">
        <v>1</v>
      </c>
      <c r="B4" s="286">
        <v>1</v>
      </c>
      <c r="C4" s="287">
        <v>1</v>
      </c>
      <c r="D4" s="18" t="s">
        <v>115</v>
      </c>
      <c r="E4" s="19">
        <v>1</v>
      </c>
      <c r="F4" s="20" t="s">
        <v>116</v>
      </c>
      <c r="G4" s="21">
        <v>0</v>
      </c>
      <c r="H4" s="21">
        <v>0</v>
      </c>
      <c r="I4" s="22">
        <f t="shared" ref="I4:I12" si="0">G4+H4</f>
        <v>0</v>
      </c>
      <c r="J4" s="23">
        <v>0</v>
      </c>
      <c r="K4" s="23"/>
      <c r="L4" s="24">
        <f>'IV Caract. Imóveis e Equipes'!I24</f>
        <v>3</v>
      </c>
      <c r="M4" s="19">
        <v>0</v>
      </c>
      <c r="N4" s="25"/>
    </row>
    <row r="5" spans="1:15" ht="14.25" x14ac:dyDescent="0.2">
      <c r="A5" s="17">
        <v>2</v>
      </c>
      <c r="B5" s="286"/>
      <c r="C5" s="287"/>
      <c r="D5" s="18" t="s">
        <v>117</v>
      </c>
      <c r="E5" s="26">
        <v>2</v>
      </c>
      <c r="F5" s="20" t="s">
        <v>116</v>
      </c>
      <c r="G5" s="21">
        <v>2.6</v>
      </c>
      <c r="H5" s="21">
        <v>3</v>
      </c>
      <c r="I5" s="22">
        <f t="shared" si="0"/>
        <v>5.6</v>
      </c>
      <c r="J5" s="23">
        <v>1.3194444444444399E-2</v>
      </c>
      <c r="K5" s="23"/>
      <c r="L5" s="24">
        <f>'IV Caract. Imóveis e Equipes'!I38</f>
        <v>1</v>
      </c>
      <c r="M5" s="19">
        <v>0</v>
      </c>
      <c r="N5" s="25"/>
    </row>
    <row r="6" spans="1:15" ht="14.25" x14ac:dyDescent="0.2">
      <c r="A6" s="17">
        <v>3</v>
      </c>
      <c r="B6" s="286"/>
      <c r="C6" s="287"/>
      <c r="D6" s="18" t="s">
        <v>118</v>
      </c>
      <c r="E6" s="19">
        <v>3</v>
      </c>
      <c r="F6" s="20" t="s">
        <v>116</v>
      </c>
      <c r="G6" s="21">
        <v>3.5</v>
      </c>
      <c r="H6" s="21">
        <v>3.6</v>
      </c>
      <c r="I6" s="22">
        <f t="shared" si="0"/>
        <v>7.1</v>
      </c>
      <c r="J6" s="23">
        <v>1.52777777777778E-2</v>
      </c>
      <c r="K6" s="23"/>
      <c r="L6" s="24">
        <f>'IV Caract. Imóveis e Equipes'!I36</f>
        <v>1</v>
      </c>
      <c r="M6" s="19">
        <v>0</v>
      </c>
      <c r="N6" s="25"/>
    </row>
    <row r="7" spans="1:15" ht="14.25" x14ac:dyDescent="0.2">
      <c r="A7" s="17">
        <v>4</v>
      </c>
      <c r="B7" s="286"/>
      <c r="C7" s="287"/>
      <c r="D7" s="18" t="s">
        <v>119</v>
      </c>
      <c r="E7" s="26">
        <v>4</v>
      </c>
      <c r="F7" s="20" t="s">
        <v>116</v>
      </c>
      <c r="G7" s="21">
        <v>11.7</v>
      </c>
      <c r="H7" s="21">
        <v>10.6</v>
      </c>
      <c r="I7" s="22">
        <f t="shared" si="0"/>
        <v>22.299999999999997</v>
      </c>
      <c r="J7" s="23">
        <v>2.36111111111111E-2</v>
      </c>
      <c r="K7" s="23"/>
      <c r="L7" s="24">
        <f>'IV Caract. Imóveis e Equipes'!I35</f>
        <v>1</v>
      </c>
      <c r="M7" s="19">
        <v>0</v>
      </c>
      <c r="N7" s="25"/>
    </row>
    <row r="8" spans="1:15" ht="14.25" x14ac:dyDescent="0.2">
      <c r="A8" s="17">
        <v>5</v>
      </c>
      <c r="B8" s="286"/>
      <c r="C8" s="287"/>
      <c r="D8" s="18" t="s">
        <v>120</v>
      </c>
      <c r="E8" s="26">
        <v>5</v>
      </c>
      <c r="F8" s="20" t="s">
        <v>116</v>
      </c>
      <c r="G8" s="21">
        <v>16.899999999999999</v>
      </c>
      <c r="H8" s="21">
        <v>16.5</v>
      </c>
      <c r="I8" s="22">
        <f t="shared" si="0"/>
        <v>33.4</v>
      </c>
      <c r="J8" s="23">
        <v>3.7499999999999999E-2</v>
      </c>
      <c r="K8" s="23"/>
      <c r="L8" s="24">
        <f>'IV Caract. Imóveis e Equipes'!I25</f>
        <v>1</v>
      </c>
      <c r="M8" s="19">
        <v>0</v>
      </c>
      <c r="N8" s="25"/>
    </row>
    <row r="9" spans="1:15" ht="14.25" x14ac:dyDescent="0.2">
      <c r="A9" s="17">
        <v>6</v>
      </c>
      <c r="B9" s="286"/>
      <c r="C9" s="288">
        <v>2</v>
      </c>
      <c r="D9" s="18" t="s">
        <v>115</v>
      </c>
      <c r="E9" s="26">
        <v>6</v>
      </c>
      <c r="F9" s="20" t="s">
        <v>116</v>
      </c>
      <c r="G9" s="21">
        <v>0</v>
      </c>
      <c r="H9" s="21">
        <v>0</v>
      </c>
      <c r="I9" s="22">
        <f t="shared" si="0"/>
        <v>0</v>
      </c>
      <c r="J9" s="23">
        <v>0</v>
      </c>
      <c r="K9" s="23"/>
      <c r="L9" s="24" t="s">
        <v>121</v>
      </c>
      <c r="M9" s="19">
        <v>0</v>
      </c>
      <c r="N9" s="25"/>
    </row>
    <row r="10" spans="1:15" ht="14.25" x14ac:dyDescent="0.2">
      <c r="A10" s="17">
        <v>7</v>
      </c>
      <c r="B10" s="286"/>
      <c r="C10" s="288"/>
      <c r="D10" s="18" t="s">
        <v>122</v>
      </c>
      <c r="E10" s="19">
        <v>7</v>
      </c>
      <c r="F10" s="20" t="s">
        <v>116</v>
      </c>
      <c r="G10" s="21">
        <v>15.7</v>
      </c>
      <c r="H10" s="21">
        <v>19.600000000000001</v>
      </c>
      <c r="I10" s="22">
        <f t="shared" si="0"/>
        <v>35.299999999999997</v>
      </c>
      <c r="J10" s="23">
        <v>3.3333333333333298E-2</v>
      </c>
      <c r="K10" s="23"/>
      <c r="L10" s="24">
        <f>'IV Caract. Imóveis e Equipes'!I26</f>
        <v>1</v>
      </c>
      <c r="M10" s="19">
        <v>0</v>
      </c>
      <c r="N10" s="25"/>
    </row>
    <row r="11" spans="1:15" ht="14.25" x14ac:dyDescent="0.2">
      <c r="A11" s="17">
        <v>8</v>
      </c>
      <c r="B11" s="286"/>
      <c r="C11" s="288"/>
      <c r="D11" s="18" t="s">
        <v>123</v>
      </c>
      <c r="E11" s="26">
        <v>8</v>
      </c>
      <c r="F11" s="20" t="s">
        <v>116</v>
      </c>
      <c r="G11" s="21">
        <v>44</v>
      </c>
      <c r="H11" s="21">
        <v>44.8</v>
      </c>
      <c r="I11" s="22">
        <f t="shared" si="0"/>
        <v>88.8</v>
      </c>
      <c r="J11" s="23">
        <v>6.3888888888888898E-2</v>
      </c>
      <c r="K11" s="23"/>
      <c r="L11" s="24">
        <f>'IV Caract. Imóveis e Equipes'!I29</f>
        <v>1</v>
      </c>
      <c r="M11" s="19">
        <v>0</v>
      </c>
      <c r="N11" s="25">
        <v>36.200000000000003</v>
      </c>
    </row>
    <row r="12" spans="1:15" ht="14.25" x14ac:dyDescent="0.2">
      <c r="A12" s="17">
        <v>9</v>
      </c>
      <c r="B12" s="286"/>
      <c r="C12" s="288"/>
      <c r="D12" s="18" t="s">
        <v>124</v>
      </c>
      <c r="E12" s="19">
        <v>9</v>
      </c>
      <c r="F12" s="20" t="s">
        <v>116</v>
      </c>
      <c r="G12" s="21">
        <v>57.3</v>
      </c>
      <c r="H12" s="21">
        <v>58.2</v>
      </c>
      <c r="I12" s="22">
        <f t="shared" si="0"/>
        <v>115.5</v>
      </c>
      <c r="J12" s="23">
        <v>7.3611111111111099E-2</v>
      </c>
      <c r="K12" s="23"/>
      <c r="L12" s="24">
        <f>'IV Caract. Imóveis e Equipes'!I37</f>
        <v>1</v>
      </c>
      <c r="M12" s="19">
        <v>0</v>
      </c>
      <c r="N12" s="25">
        <v>36.200000000000003</v>
      </c>
    </row>
    <row r="13" spans="1:15" ht="14.25" x14ac:dyDescent="0.2">
      <c r="A13" s="17">
        <v>10</v>
      </c>
      <c r="B13" s="286"/>
      <c r="C13" s="288"/>
      <c r="D13" s="26"/>
      <c r="E13" s="26">
        <v>10</v>
      </c>
      <c r="F13" s="20"/>
      <c r="G13" s="21"/>
      <c r="H13" s="21"/>
      <c r="I13" s="22"/>
      <c r="J13" s="27"/>
      <c r="K13" s="27"/>
      <c r="L13" s="24"/>
      <c r="M13" s="19"/>
      <c r="N13" s="25"/>
    </row>
    <row r="14" spans="1:15" ht="14.25" x14ac:dyDescent="0.2">
      <c r="A14" s="17">
        <v>11</v>
      </c>
      <c r="B14" s="286"/>
      <c r="C14" s="288">
        <v>3</v>
      </c>
      <c r="D14" s="18" t="s">
        <v>125</v>
      </c>
      <c r="E14" s="26">
        <v>11</v>
      </c>
      <c r="F14" s="20" t="s">
        <v>116</v>
      </c>
      <c r="G14" s="21">
        <v>25.4</v>
      </c>
      <c r="H14" s="21">
        <v>21</v>
      </c>
      <c r="I14" s="22">
        <f>G14+H14</f>
        <v>46.4</v>
      </c>
      <c r="J14" s="23">
        <v>3.4027777777777803E-2</v>
      </c>
      <c r="K14" s="23"/>
      <c r="L14" s="24">
        <f>'IV Caract. Imóveis e Equipes'!I32</f>
        <v>2</v>
      </c>
      <c r="M14" s="19">
        <v>0</v>
      </c>
      <c r="N14" s="25"/>
    </row>
    <row r="15" spans="1:15" ht="14.25" x14ac:dyDescent="0.2">
      <c r="A15" s="17">
        <v>12</v>
      </c>
      <c r="B15" s="286"/>
      <c r="C15" s="288"/>
      <c r="D15" s="18" t="s">
        <v>126</v>
      </c>
      <c r="E15" s="26">
        <v>12</v>
      </c>
      <c r="F15" s="20" t="s">
        <v>116</v>
      </c>
      <c r="G15" s="21">
        <v>21.7</v>
      </c>
      <c r="H15" s="21">
        <v>19.8</v>
      </c>
      <c r="I15" s="22">
        <f>G15+H15</f>
        <v>41.5</v>
      </c>
      <c r="J15" s="23">
        <v>2.9861111111111099E-2</v>
      </c>
      <c r="K15" s="23"/>
      <c r="L15" s="24">
        <f>'IV Caract. Imóveis e Equipes'!I30</f>
        <v>1</v>
      </c>
      <c r="M15" s="19">
        <v>0</v>
      </c>
      <c r="N15" s="25"/>
    </row>
    <row r="16" spans="1:15" ht="14.25" x14ac:dyDescent="0.2">
      <c r="A16" s="17">
        <v>13</v>
      </c>
      <c r="B16" s="286"/>
      <c r="C16" s="288"/>
      <c r="D16" s="18" t="s">
        <v>127</v>
      </c>
      <c r="E16" s="26">
        <v>13</v>
      </c>
      <c r="F16" s="20" t="s">
        <v>116</v>
      </c>
      <c r="G16" s="21">
        <v>22</v>
      </c>
      <c r="H16" s="21">
        <v>18.2</v>
      </c>
      <c r="I16" s="22">
        <f>G16+H16</f>
        <v>40.200000000000003</v>
      </c>
      <c r="J16" s="23">
        <v>3.4027777777777803E-2</v>
      </c>
      <c r="K16" s="23"/>
      <c r="L16" s="24">
        <f>'IV Caract. Imóveis e Equipes'!I31</f>
        <v>1</v>
      </c>
      <c r="M16" s="19">
        <v>0</v>
      </c>
      <c r="N16" s="25"/>
    </row>
    <row r="17" spans="1:14" ht="14.25" x14ac:dyDescent="0.2">
      <c r="A17" s="17">
        <v>14</v>
      </c>
      <c r="B17" s="286"/>
      <c r="C17" s="288"/>
      <c r="D17" s="18" t="s">
        <v>128</v>
      </c>
      <c r="E17" s="26">
        <v>14</v>
      </c>
      <c r="F17" s="20" t="s">
        <v>116</v>
      </c>
      <c r="G17" s="21">
        <v>58.6</v>
      </c>
      <c r="H17" s="21">
        <v>59.2</v>
      </c>
      <c r="I17" s="22">
        <f>G17+H17</f>
        <v>117.80000000000001</v>
      </c>
      <c r="J17" s="23">
        <v>7.5694444444444398E-2</v>
      </c>
      <c r="K17" s="23"/>
      <c r="L17" s="24">
        <f>'IV Caract. Imóveis e Equipes'!I27</f>
        <v>1</v>
      </c>
      <c r="M17" s="19">
        <v>0</v>
      </c>
      <c r="N17" s="25"/>
    </row>
    <row r="18" spans="1:14" ht="14.25" x14ac:dyDescent="0.2">
      <c r="A18" s="17">
        <v>15</v>
      </c>
      <c r="B18" s="286"/>
      <c r="C18" s="288"/>
      <c r="D18" s="26"/>
      <c r="E18" s="26">
        <v>15</v>
      </c>
      <c r="F18" s="20"/>
      <c r="G18" s="21"/>
      <c r="H18" s="21"/>
      <c r="I18" s="22"/>
      <c r="J18" s="28"/>
      <c r="K18" s="28"/>
      <c r="L18" s="24"/>
      <c r="M18" s="19"/>
      <c r="N18" s="25"/>
    </row>
    <row r="19" spans="1:14" ht="14.25" x14ac:dyDescent="0.2">
      <c r="A19" s="17">
        <v>16</v>
      </c>
      <c r="B19" s="286"/>
      <c r="C19" s="288">
        <v>4</v>
      </c>
      <c r="D19" s="18" t="s">
        <v>115</v>
      </c>
      <c r="E19" s="26">
        <v>16</v>
      </c>
      <c r="F19" s="20" t="s">
        <v>116</v>
      </c>
      <c r="G19" s="21">
        <v>0</v>
      </c>
      <c r="H19" s="21">
        <v>0</v>
      </c>
      <c r="I19" s="22">
        <f>G19+H19</f>
        <v>0</v>
      </c>
      <c r="J19" s="23">
        <v>0</v>
      </c>
      <c r="K19" s="23"/>
      <c r="L19" s="24" t="s">
        <v>121</v>
      </c>
      <c r="M19" s="19">
        <v>0</v>
      </c>
      <c r="N19" s="25"/>
    </row>
    <row r="20" spans="1:14" ht="14.25" x14ac:dyDescent="0.2">
      <c r="A20" s="17">
        <v>17</v>
      </c>
      <c r="B20" s="286"/>
      <c r="C20" s="288"/>
      <c r="D20" s="18" t="s">
        <v>129</v>
      </c>
      <c r="E20" s="26">
        <v>17</v>
      </c>
      <c r="F20" s="20" t="s">
        <v>116</v>
      </c>
      <c r="G20" s="21">
        <v>37.299999999999997</v>
      </c>
      <c r="H20" s="21">
        <v>36.1</v>
      </c>
      <c r="I20" s="22">
        <f>G20+H20</f>
        <v>73.400000000000006</v>
      </c>
      <c r="J20" s="23">
        <v>4.9305555555555602E-2</v>
      </c>
      <c r="K20" s="23"/>
      <c r="L20" s="24">
        <f>'IV Caract. Imóveis e Equipes'!I34</f>
        <v>1</v>
      </c>
      <c r="M20" s="19">
        <v>0</v>
      </c>
      <c r="N20" s="25"/>
    </row>
    <row r="21" spans="1:14" ht="14.25" x14ac:dyDescent="0.2">
      <c r="A21" s="17">
        <v>18</v>
      </c>
      <c r="B21" s="286"/>
      <c r="C21" s="288"/>
      <c r="D21" s="18" t="s">
        <v>130</v>
      </c>
      <c r="E21" s="26">
        <v>18</v>
      </c>
      <c r="F21" s="20" t="s">
        <v>116</v>
      </c>
      <c r="G21" s="21">
        <v>56.5</v>
      </c>
      <c r="H21" s="21">
        <v>59.3</v>
      </c>
      <c r="I21" s="22">
        <f>G21+H21</f>
        <v>115.8</v>
      </c>
      <c r="J21" s="23">
        <v>6.3888888888888898E-2</v>
      </c>
      <c r="K21" s="23"/>
      <c r="L21" s="24">
        <f>'IV Caract. Imóveis e Equipes'!I28</f>
        <v>1</v>
      </c>
      <c r="M21" s="19">
        <v>0</v>
      </c>
      <c r="N21" s="25"/>
    </row>
    <row r="22" spans="1:14" ht="14.25" x14ac:dyDescent="0.2">
      <c r="A22" s="17">
        <v>19</v>
      </c>
      <c r="B22" s="286"/>
      <c r="C22" s="288"/>
      <c r="D22" s="18" t="s">
        <v>131</v>
      </c>
      <c r="E22" s="26">
        <v>19</v>
      </c>
      <c r="F22" s="20" t="s">
        <v>116</v>
      </c>
      <c r="G22" s="21">
        <v>70.5</v>
      </c>
      <c r="H22" s="21">
        <v>70.5</v>
      </c>
      <c r="I22" s="22">
        <f>G22+H22</f>
        <v>141</v>
      </c>
      <c r="J22" s="23">
        <v>9.6527777777777796E-2</v>
      </c>
      <c r="K22" s="23"/>
      <c r="L22" s="24">
        <f>'IV Caract. Imóveis e Equipes'!I33</f>
        <v>1</v>
      </c>
      <c r="M22" s="19">
        <v>0</v>
      </c>
      <c r="N22" s="25"/>
    </row>
    <row r="23" spans="1:14" ht="14.25" x14ac:dyDescent="0.2">
      <c r="A23" s="17">
        <v>20</v>
      </c>
      <c r="B23" s="286"/>
      <c r="C23" s="288"/>
      <c r="D23" s="18" t="s">
        <v>125</v>
      </c>
      <c r="E23" s="26">
        <v>20</v>
      </c>
      <c r="F23" s="20" t="s">
        <v>116</v>
      </c>
      <c r="G23" s="21">
        <v>25.4</v>
      </c>
      <c r="H23" s="21">
        <v>21</v>
      </c>
      <c r="I23" s="22">
        <f>G23+H23</f>
        <v>46.4</v>
      </c>
      <c r="J23" s="23">
        <v>3.4027777777777803E-2</v>
      </c>
      <c r="K23" s="23"/>
      <c r="L23" s="24" t="s">
        <v>121</v>
      </c>
      <c r="M23" s="19">
        <v>0</v>
      </c>
      <c r="N23" s="25"/>
    </row>
    <row r="24" spans="1:14" ht="14.25" x14ac:dyDescent="0.2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</row>
    <row r="25" spans="1:14" ht="14.25" x14ac:dyDescent="0.2">
      <c r="A25" s="17">
        <v>21</v>
      </c>
      <c r="B25" s="286">
        <v>2</v>
      </c>
      <c r="C25" s="288">
        <v>1</v>
      </c>
      <c r="D25" s="18" t="s">
        <v>132</v>
      </c>
      <c r="E25" s="26">
        <v>1</v>
      </c>
      <c r="F25" s="20" t="s">
        <v>133</v>
      </c>
      <c r="G25" s="21">
        <v>1.6</v>
      </c>
      <c r="H25" s="21">
        <v>1.9</v>
      </c>
      <c r="I25" s="22">
        <f t="shared" ref="I25:I43" si="1">G25+H25</f>
        <v>3.5</v>
      </c>
      <c r="J25" s="23">
        <v>1.0416666666666701E-2</v>
      </c>
      <c r="K25" s="23"/>
      <c r="L25" s="24">
        <f>'IV Caract. Imóveis e Equipes'!I41</f>
        <v>2</v>
      </c>
      <c r="M25" s="19">
        <v>0</v>
      </c>
      <c r="N25" s="25"/>
    </row>
    <row r="26" spans="1:14" ht="14.25" x14ac:dyDescent="0.2">
      <c r="A26" s="17">
        <v>22</v>
      </c>
      <c r="B26" s="286"/>
      <c r="C26" s="288"/>
      <c r="D26" s="18" t="s">
        <v>117</v>
      </c>
      <c r="E26" s="26">
        <v>2</v>
      </c>
      <c r="F26" s="20" t="s">
        <v>133</v>
      </c>
      <c r="G26" s="21">
        <v>1.6</v>
      </c>
      <c r="H26" s="21">
        <v>1.9</v>
      </c>
      <c r="I26" s="22">
        <f t="shared" si="1"/>
        <v>3.5</v>
      </c>
      <c r="J26" s="23">
        <v>1.0416666666666701E-2</v>
      </c>
      <c r="K26" s="23"/>
      <c r="L26" s="24">
        <f>'IV Caract. Imóveis e Equipes'!I42</f>
        <v>2</v>
      </c>
      <c r="M26" s="19">
        <v>0</v>
      </c>
      <c r="N26" s="25"/>
    </row>
    <row r="27" spans="1:14" ht="14.25" x14ac:dyDescent="0.2">
      <c r="A27" s="17">
        <v>23</v>
      </c>
      <c r="B27" s="286"/>
      <c r="C27" s="288"/>
      <c r="D27" s="18" t="s">
        <v>134</v>
      </c>
      <c r="E27" s="26">
        <v>3</v>
      </c>
      <c r="F27" s="20" t="s">
        <v>133</v>
      </c>
      <c r="G27" s="21">
        <v>3.2</v>
      </c>
      <c r="H27" s="21">
        <v>5.4</v>
      </c>
      <c r="I27" s="22">
        <f t="shared" si="1"/>
        <v>8.6000000000000014</v>
      </c>
      <c r="J27" s="23">
        <v>1.7361111111111101E-2</v>
      </c>
      <c r="K27" s="23"/>
      <c r="L27" s="24">
        <f>'IV Caract. Imóveis e Equipes'!I43</f>
        <v>1</v>
      </c>
      <c r="M27" s="19">
        <v>0</v>
      </c>
      <c r="N27" s="25"/>
    </row>
    <row r="28" spans="1:14" ht="14.25" x14ac:dyDescent="0.2">
      <c r="A28" s="17">
        <v>24</v>
      </c>
      <c r="B28" s="286"/>
      <c r="C28" s="288"/>
      <c r="D28" s="18" t="s">
        <v>135</v>
      </c>
      <c r="E28" s="26">
        <v>4</v>
      </c>
      <c r="F28" s="20" t="s">
        <v>133</v>
      </c>
      <c r="G28" s="21">
        <v>8.5</v>
      </c>
      <c r="H28" s="21">
        <v>9.1</v>
      </c>
      <c r="I28" s="22">
        <f t="shared" si="1"/>
        <v>17.600000000000001</v>
      </c>
      <c r="J28" s="23">
        <v>2.29166666666667E-2</v>
      </c>
      <c r="K28" s="23"/>
      <c r="L28" s="24">
        <f>'IV Caract. Imóveis e Equipes'!I44</f>
        <v>1</v>
      </c>
      <c r="M28" s="19">
        <v>0</v>
      </c>
      <c r="N28" s="25"/>
    </row>
    <row r="29" spans="1:14" ht="14.25" x14ac:dyDescent="0.2">
      <c r="A29" s="17">
        <v>25</v>
      </c>
      <c r="B29" s="286"/>
      <c r="C29" s="288"/>
      <c r="D29" s="18" t="s">
        <v>136</v>
      </c>
      <c r="E29" s="26">
        <v>5</v>
      </c>
      <c r="F29" s="20" t="s">
        <v>133</v>
      </c>
      <c r="G29" s="21">
        <v>13.4</v>
      </c>
      <c r="H29" s="21">
        <v>16.5</v>
      </c>
      <c r="I29" s="22">
        <f t="shared" si="1"/>
        <v>29.9</v>
      </c>
      <c r="J29" s="23">
        <v>3.7499999999999999E-2</v>
      </c>
      <c r="K29" s="23"/>
      <c r="L29" s="24">
        <f>'IV Caract. Imóveis e Equipes'!I45</f>
        <v>2</v>
      </c>
      <c r="M29" s="19">
        <v>0</v>
      </c>
      <c r="N29" s="25"/>
    </row>
    <row r="30" spans="1:14" ht="14.25" x14ac:dyDescent="0.2">
      <c r="A30" s="17">
        <v>26</v>
      </c>
      <c r="B30" s="286"/>
      <c r="C30" s="288">
        <v>2</v>
      </c>
      <c r="D30" s="18" t="s">
        <v>137</v>
      </c>
      <c r="E30" s="26">
        <v>6</v>
      </c>
      <c r="F30" s="20" t="s">
        <v>133</v>
      </c>
      <c r="G30" s="21">
        <v>149</v>
      </c>
      <c r="H30" s="21">
        <v>149</v>
      </c>
      <c r="I30" s="22">
        <f t="shared" si="1"/>
        <v>298</v>
      </c>
      <c r="J30" s="23">
        <v>0.19027777777777799</v>
      </c>
      <c r="K30" s="23"/>
      <c r="L30" s="24">
        <f>'IV Caract. Imóveis e Equipes'!I54</f>
        <v>1</v>
      </c>
      <c r="M30" s="19">
        <v>0</v>
      </c>
      <c r="N30" s="25">
        <v>24.8</v>
      </c>
    </row>
    <row r="31" spans="1:14" ht="14.25" x14ac:dyDescent="0.2">
      <c r="A31" s="17">
        <v>27</v>
      </c>
      <c r="B31" s="286"/>
      <c r="C31" s="288"/>
      <c r="D31" s="18" t="s">
        <v>138</v>
      </c>
      <c r="E31" s="26">
        <v>7</v>
      </c>
      <c r="F31" s="20" t="s">
        <v>133</v>
      </c>
      <c r="G31" s="21">
        <v>140</v>
      </c>
      <c r="H31" s="21">
        <v>139</v>
      </c>
      <c r="I31" s="22">
        <f t="shared" si="1"/>
        <v>279</v>
      </c>
      <c r="J31" s="23">
        <v>0.17569444444444399</v>
      </c>
      <c r="K31" s="23"/>
      <c r="L31" s="24">
        <f>'IV Caract. Imóveis e Equipes'!I53</f>
        <v>2</v>
      </c>
      <c r="M31" s="19">
        <v>0</v>
      </c>
      <c r="N31" s="25">
        <v>24.8</v>
      </c>
    </row>
    <row r="32" spans="1:14" ht="14.25" x14ac:dyDescent="0.2">
      <c r="A32" s="17">
        <v>28</v>
      </c>
      <c r="B32" s="286"/>
      <c r="C32" s="288"/>
      <c r="D32" s="18" t="s">
        <v>139</v>
      </c>
      <c r="E32" s="26">
        <v>8</v>
      </c>
      <c r="F32" s="20" t="s">
        <v>133</v>
      </c>
      <c r="G32" s="21">
        <v>43</v>
      </c>
      <c r="H32" s="21">
        <v>44.8</v>
      </c>
      <c r="I32" s="22">
        <f t="shared" si="1"/>
        <v>87.8</v>
      </c>
      <c r="J32" s="23">
        <v>7.9861111111111105E-2</v>
      </c>
      <c r="K32" s="23"/>
      <c r="L32" s="24">
        <f>'IV Caract. Imóveis e Equipes'!I46</f>
        <v>1</v>
      </c>
      <c r="M32" s="19">
        <v>0</v>
      </c>
      <c r="N32" s="25"/>
    </row>
    <row r="33" spans="1:14" ht="14.25" x14ac:dyDescent="0.2">
      <c r="A33" s="17">
        <v>29</v>
      </c>
      <c r="B33" s="286"/>
      <c r="C33" s="288"/>
      <c r="D33" s="18" t="s">
        <v>140</v>
      </c>
      <c r="E33" s="26">
        <v>9</v>
      </c>
      <c r="F33" s="20" t="s">
        <v>133</v>
      </c>
      <c r="G33" s="21">
        <v>36.299999999999997</v>
      </c>
      <c r="H33" s="21">
        <v>36.200000000000003</v>
      </c>
      <c r="I33" s="22">
        <f t="shared" si="1"/>
        <v>72.5</v>
      </c>
      <c r="J33" s="23">
        <v>5.9027777777777797E-2</v>
      </c>
      <c r="K33" s="23"/>
      <c r="L33" s="24">
        <f>'IV Caract. Imóveis e Equipes'!I47</f>
        <v>1</v>
      </c>
      <c r="M33" s="19">
        <v>0</v>
      </c>
      <c r="N33" s="25"/>
    </row>
    <row r="34" spans="1:14" ht="14.25" x14ac:dyDescent="0.2">
      <c r="A34" s="17">
        <v>30</v>
      </c>
      <c r="B34" s="286"/>
      <c r="C34" s="288"/>
      <c r="D34" s="18" t="s">
        <v>141</v>
      </c>
      <c r="E34" s="26">
        <v>10</v>
      </c>
      <c r="F34" s="20" t="s">
        <v>133</v>
      </c>
      <c r="G34" s="21">
        <v>61.8</v>
      </c>
      <c r="H34" s="21">
        <v>62.2</v>
      </c>
      <c r="I34" s="22">
        <f t="shared" si="1"/>
        <v>124</v>
      </c>
      <c r="J34" s="23">
        <v>7.9861111111111105E-2</v>
      </c>
      <c r="K34" s="23"/>
      <c r="L34" s="24">
        <f>'IV Caract. Imóveis e Equipes'!I48</f>
        <v>1</v>
      </c>
      <c r="M34" s="19">
        <v>0</v>
      </c>
      <c r="N34" s="25"/>
    </row>
    <row r="35" spans="1:14" ht="14.25" x14ac:dyDescent="0.2">
      <c r="A35" s="17">
        <v>31</v>
      </c>
      <c r="B35" s="286"/>
      <c r="C35" s="288">
        <v>3</v>
      </c>
      <c r="D35" s="18" t="s">
        <v>142</v>
      </c>
      <c r="E35" s="26">
        <v>11</v>
      </c>
      <c r="F35" s="20" t="s">
        <v>133</v>
      </c>
      <c r="G35" s="21">
        <v>2.8</v>
      </c>
      <c r="H35" s="21">
        <v>2.8</v>
      </c>
      <c r="I35" s="22">
        <f t="shared" si="1"/>
        <v>5.6</v>
      </c>
      <c r="J35" s="23">
        <v>1.3194444444444399E-2</v>
      </c>
      <c r="K35" s="23"/>
      <c r="L35" s="24">
        <f>'IV Caract. Imóveis e Equipes'!I56</f>
        <v>1</v>
      </c>
      <c r="M35" s="19">
        <v>0</v>
      </c>
      <c r="N35" s="25"/>
    </row>
    <row r="36" spans="1:14" ht="14.25" x14ac:dyDescent="0.2">
      <c r="A36" s="17">
        <v>32</v>
      </c>
      <c r="B36" s="286"/>
      <c r="C36" s="288"/>
      <c r="D36" s="18" t="s">
        <v>143</v>
      </c>
      <c r="E36" s="26">
        <v>12</v>
      </c>
      <c r="F36" s="20" t="s">
        <v>133</v>
      </c>
      <c r="G36" s="21">
        <v>51</v>
      </c>
      <c r="H36" s="21">
        <v>51.7</v>
      </c>
      <c r="I36" s="22">
        <f t="shared" si="1"/>
        <v>102.7</v>
      </c>
      <c r="J36" s="23">
        <v>6.7361111111111094E-2</v>
      </c>
      <c r="K36" s="23"/>
      <c r="L36" s="24">
        <f>'IV Caract. Imóveis e Equipes'!I49</f>
        <v>1</v>
      </c>
      <c r="M36" s="19">
        <v>0</v>
      </c>
      <c r="N36" s="25"/>
    </row>
    <row r="37" spans="1:14" ht="14.25" x14ac:dyDescent="0.2">
      <c r="A37" s="17">
        <v>33</v>
      </c>
      <c r="B37" s="286"/>
      <c r="C37" s="288"/>
      <c r="D37" s="18" t="s">
        <v>132</v>
      </c>
      <c r="E37" s="26">
        <v>13</v>
      </c>
      <c r="F37" s="20" t="s">
        <v>133</v>
      </c>
      <c r="G37" s="21">
        <v>1.6</v>
      </c>
      <c r="H37" s="21">
        <v>1.9</v>
      </c>
      <c r="I37" s="22">
        <f t="shared" si="1"/>
        <v>3.5</v>
      </c>
      <c r="J37" s="23">
        <v>1.0416666666666701E-2</v>
      </c>
      <c r="K37" s="23"/>
      <c r="L37" s="24" t="s">
        <v>121</v>
      </c>
      <c r="M37" s="19">
        <v>0</v>
      </c>
      <c r="N37" s="25"/>
    </row>
    <row r="38" spans="1:14" ht="14.25" x14ac:dyDescent="0.2">
      <c r="A38" s="17">
        <v>34</v>
      </c>
      <c r="B38" s="286"/>
      <c r="C38" s="288"/>
      <c r="D38" s="18" t="s">
        <v>117</v>
      </c>
      <c r="E38" s="26">
        <v>14</v>
      </c>
      <c r="F38" s="20" t="s">
        <v>133</v>
      </c>
      <c r="G38" s="21">
        <v>1.6</v>
      </c>
      <c r="H38" s="21">
        <v>1.9</v>
      </c>
      <c r="I38" s="22">
        <f t="shared" si="1"/>
        <v>3.5</v>
      </c>
      <c r="J38" s="23">
        <v>1.0416666666666701E-2</v>
      </c>
      <c r="K38" s="23"/>
      <c r="L38" s="24" t="s">
        <v>121</v>
      </c>
      <c r="M38" s="19">
        <v>0</v>
      </c>
      <c r="N38" s="25"/>
    </row>
    <row r="39" spans="1:14" ht="14.25" x14ac:dyDescent="0.2">
      <c r="A39" s="17">
        <v>35</v>
      </c>
      <c r="B39" s="286"/>
      <c r="C39" s="288"/>
      <c r="D39" s="18" t="s">
        <v>136</v>
      </c>
      <c r="E39" s="26">
        <v>15</v>
      </c>
      <c r="F39" s="20" t="s">
        <v>133</v>
      </c>
      <c r="G39" s="21">
        <v>13.4</v>
      </c>
      <c r="H39" s="21">
        <v>16.5</v>
      </c>
      <c r="I39" s="22">
        <f t="shared" si="1"/>
        <v>29.9</v>
      </c>
      <c r="J39" s="23">
        <v>3.7499999999999999E-2</v>
      </c>
      <c r="K39" s="23"/>
      <c r="L39" s="24" t="s">
        <v>121</v>
      </c>
      <c r="M39" s="19">
        <v>0</v>
      </c>
      <c r="N39" s="25"/>
    </row>
    <row r="40" spans="1:14" ht="14.25" x14ac:dyDescent="0.2">
      <c r="A40" s="17">
        <v>36</v>
      </c>
      <c r="B40" s="286"/>
      <c r="C40" s="288">
        <v>4</v>
      </c>
      <c r="D40" s="18" t="s">
        <v>144</v>
      </c>
      <c r="E40" s="26">
        <v>16</v>
      </c>
      <c r="F40" s="20" t="s">
        <v>133</v>
      </c>
      <c r="G40" s="21">
        <v>93.6</v>
      </c>
      <c r="H40" s="21">
        <v>94.5</v>
      </c>
      <c r="I40" s="22">
        <f t="shared" si="1"/>
        <v>188.1</v>
      </c>
      <c r="J40" s="23">
        <v>0.1125</v>
      </c>
      <c r="K40" s="23"/>
      <c r="L40" s="24">
        <f>'IV Caract. Imóveis e Equipes'!I50</f>
        <v>1</v>
      </c>
      <c r="M40" s="19">
        <v>0</v>
      </c>
      <c r="N40" s="25"/>
    </row>
    <row r="41" spans="1:14" ht="14.25" x14ac:dyDescent="0.2">
      <c r="A41" s="17">
        <v>37</v>
      </c>
      <c r="B41" s="286"/>
      <c r="C41" s="288"/>
      <c r="D41" s="18" t="s">
        <v>145</v>
      </c>
      <c r="E41" s="26">
        <v>17</v>
      </c>
      <c r="F41" s="20" t="s">
        <v>133</v>
      </c>
      <c r="G41" s="21">
        <v>126</v>
      </c>
      <c r="H41" s="21">
        <v>127</v>
      </c>
      <c r="I41" s="22">
        <f t="shared" si="1"/>
        <v>253</v>
      </c>
      <c r="J41" s="23">
        <v>0.147916666666667</v>
      </c>
      <c r="K41" s="23"/>
      <c r="L41" s="24">
        <f>'IV Caract. Imóveis e Equipes'!I51</f>
        <v>1</v>
      </c>
      <c r="M41" s="19">
        <v>0</v>
      </c>
      <c r="N41" s="25">
        <v>24.8</v>
      </c>
    </row>
    <row r="42" spans="1:14" ht="14.25" x14ac:dyDescent="0.2">
      <c r="A42" s="17">
        <v>38</v>
      </c>
      <c r="B42" s="286"/>
      <c r="C42" s="288"/>
      <c r="D42" s="18" t="s">
        <v>146</v>
      </c>
      <c r="E42" s="26">
        <v>18</v>
      </c>
      <c r="F42" s="20" t="s">
        <v>133</v>
      </c>
      <c r="G42" s="21">
        <v>104</v>
      </c>
      <c r="H42" s="21">
        <v>106</v>
      </c>
      <c r="I42" s="22">
        <f t="shared" si="1"/>
        <v>210</v>
      </c>
      <c r="J42" s="23">
        <v>0.13611111111111099</v>
      </c>
      <c r="K42" s="23"/>
      <c r="L42" s="24">
        <f>'IV Caract. Imóveis e Equipes'!I52</f>
        <v>1</v>
      </c>
      <c r="M42" s="19">
        <v>0</v>
      </c>
      <c r="N42" s="25">
        <v>24.8</v>
      </c>
    </row>
    <row r="43" spans="1:14" ht="14.25" x14ac:dyDescent="0.2">
      <c r="A43" s="17">
        <v>39</v>
      </c>
      <c r="B43" s="286"/>
      <c r="C43" s="288"/>
      <c r="D43" s="18" t="s">
        <v>138</v>
      </c>
      <c r="E43" s="26">
        <v>19</v>
      </c>
      <c r="F43" s="20" t="s">
        <v>133</v>
      </c>
      <c r="G43" s="21">
        <v>140</v>
      </c>
      <c r="H43" s="21">
        <v>139</v>
      </c>
      <c r="I43" s="22">
        <f t="shared" si="1"/>
        <v>279</v>
      </c>
      <c r="J43" s="23">
        <v>0.17569444444444399</v>
      </c>
      <c r="K43" s="23"/>
      <c r="L43" s="24" t="s">
        <v>121</v>
      </c>
      <c r="M43" s="19">
        <v>0</v>
      </c>
      <c r="N43" s="25">
        <v>24.8</v>
      </c>
    </row>
    <row r="44" spans="1:14" ht="14.25" x14ac:dyDescent="0.2">
      <c r="A44" s="17">
        <v>40</v>
      </c>
      <c r="B44" s="286"/>
      <c r="C44" s="288"/>
      <c r="D44" s="18"/>
      <c r="E44" s="26">
        <v>20</v>
      </c>
      <c r="F44" s="20"/>
      <c r="G44" s="21"/>
      <c r="H44" s="21"/>
      <c r="I44" s="22"/>
      <c r="J44" s="28"/>
      <c r="K44" s="28"/>
      <c r="L44" s="24"/>
      <c r="M44" s="19"/>
      <c r="N44" s="25"/>
    </row>
    <row r="45" spans="1:14" ht="14.25" x14ac:dyDescent="0.2">
      <c r="A45" s="289"/>
      <c r="B45" s="289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</row>
    <row r="46" spans="1:14" ht="14.25" customHeight="1" x14ac:dyDescent="0.2">
      <c r="A46" s="17">
        <v>41</v>
      </c>
      <c r="B46" s="286">
        <v>3</v>
      </c>
      <c r="C46" s="288">
        <v>1</v>
      </c>
      <c r="D46" s="18" t="s">
        <v>147</v>
      </c>
      <c r="E46" s="26">
        <v>1</v>
      </c>
      <c r="F46" s="20" t="s">
        <v>148</v>
      </c>
      <c r="G46" s="21">
        <v>0.7</v>
      </c>
      <c r="H46" s="21">
        <v>0.8</v>
      </c>
      <c r="I46" s="22">
        <f t="shared" ref="I46:I65" si="2">G46+H46</f>
        <v>1.5</v>
      </c>
      <c r="J46" s="23">
        <v>4.8611111111111103E-3</v>
      </c>
      <c r="K46" s="23"/>
      <c r="L46" s="24">
        <f>'IV Caract. Imóveis e Equipes'!I6</f>
        <v>1</v>
      </c>
      <c r="M46" s="19">
        <v>0</v>
      </c>
      <c r="N46" s="25"/>
    </row>
    <row r="47" spans="1:14" ht="14.25" customHeight="1" x14ac:dyDescent="0.2">
      <c r="A47" s="17">
        <v>42</v>
      </c>
      <c r="B47" s="286"/>
      <c r="C47" s="288"/>
      <c r="D47" s="18" t="s">
        <v>149</v>
      </c>
      <c r="E47" s="26">
        <v>2</v>
      </c>
      <c r="F47" s="20" t="s">
        <v>148</v>
      </c>
      <c r="G47" s="21">
        <v>3.3</v>
      </c>
      <c r="H47" s="21">
        <v>3.8</v>
      </c>
      <c r="I47" s="22">
        <f t="shared" si="2"/>
        <v>7.1</v>
      </c>
      <c r="J47" s="23">
        <v>1.2500000000000001E-2</v>
      </c>
      <c r="K47" s="23"/>
      <c r="L47" s="24">
        <f>'IV Caract. Imóveis e Equipes'!I21</f>
        <v>1</v>
      </c>
      <c r="M47" s="19">
        <v>0</v>
      </c>
      <c r="N47" s="25"/>
    </row>
    <row r="48" spans="1:14" ht="14.25" customHeight="1" x14ac:dyDescent="0.2">
      <c r="A48" s="17">
        <v>43</v>
      </c>
      <c r="B48" s="286"/>
      <c r="C48" s="288"/>
      <c r="D48" s="18" t="s">
        <v>150</v>
      </c>
      <c r="E48" s="26">
        <v>3</v>
      </c>
      <c r="F48" s="20" t="s">
        <v>148</v>
      </c>
      <c r="G48" s="21">
        <v>52.2</v>
      </c>
      <c r="H48" s="21">
        <v>52.4</v>
      </c>
      <c r="I48" s="22">
        <f t="shared" si="2"/>
        <v>104.6</v>
      </c>
      <c r="J48" s="23">
        <v>7.0138888888888903E-2</v>
      </c>
      <c r="K48" s="23"/>
      <c r="L48" s="24">
        <f>'IV Caract. Imóveis e Equipes'!I16</f>
        <v>1</v>
      </c>
      <c r="M48" s="19">
        <v>0</v>
      </c>
      <c r="N48" s="25"/>
    </row>
    <row r="49" spans="1:14" ht="14.25" customHeight="1" x14ac:dyDescent="0.2">
      <c r="A49" s="17">
        <v>44</v>
      </c>
      <c r="B49" s="286"/>
      <c r="C49" s="288"/>
      <c r="D49" s="18" t="s">
        <v>151</v>
      </c>
      <c r="E49" s="26">
        <v>4</v>
      </c>
      <c r="F49" s="20" t="s">
        <v>148</v>
      </c>
      <c r="G49" s="21">
        <v>78.8</v>
      </c>
      <c r="H49" s="21">
        <v>79.099999999999994</v>
      </c>
      <c r="I49" s="22">
        <f t="shared" si="2"/>
        <v>157.89999999999998</v>
      </c>
      <c r="J49" s="23">
        <v>0.12638888888888899</v>
      </c>
      <c r="K49" s="23"/>
      <c r="L49" s="24">
        <f>'IV Caract. Imóveis e Equipes'!I7</f>
        <v>1</v>
      </c>
      <c r="M49" s="19">
        <v>0</v>
      </c>
      <c r="N49" s="25"/>
    </row>
    <row r="50" spans="1:14" ht="14.25" customHeight="1" x14ac:dyDescent="0.2">
      <c r="A50" s="17">
        <v>45</v>
      </c>
      <c r="B50" s="286"/>
      <c r="C50" s="288"/>
      <c r="D50" s="18" t="s">
        <v>152</v>
      </c>
      <c r="E50" s="26">
        <v>5</v>
      </c>
      <c r="F50" s="20" t="s">
        <v>148</v>
      </c>
      <c r="G50" s="21">
        <v>104</v>
      </c>
      <c r="H50" s="21">
        <v>104</v>
      </c>
      <c r="I50" s="22">
        <f t="shared" si="2"/>
        <v>208</v>
      </c>
      <c r="J50" s="23">
        <v>0.14652777777777801</v>
      </c>
      <c r="K50" s="23"/>
      <c r="L50" s="24">
        <f>'IV Caract. Imóveis e Equipes'!I9</f>
        <v>1</v>
      </c>
      <c r="M50" s="19">
        <v>0</v>
      </c>
      <c r="N50" s="25"/>
    </row>
    <row r="51" spans="1:14" ht="14.25" customHeight="1" x14ac:dyDescent="0.2">
      <c r="A51" s="17">
        <v>46</v>
      </c>
      <c r="B51" s="286"/>
      <c r="C51" s="288">
        <v>2</v>
      </c>
      <c r="D51" s="18" t="s">
        <v>153</v>
      </c>
      <c r="E51" s="26">
        <v>6</v>
      </c>
      <c r="F51" s="20" t="s">
        <v>148</v>
      </c>
      <c r="G51" s="21">
        <v>53.7</v>
      </c>
      <c r="H51" s="21">
        <v>53.1</v>
      </c>
      <c r="I51" s="22">
        <f t="shared" si="2"/>
        <v>106.80000000000001</v>
      </c>
      <c r="J51" s="23">
        <v>7.4999999999999997E-2</v>
      </c>
      <c r="K51" s="23"/>
      <c r="L51" s="24">
        <f>'IV Caract. Imóveis e Equipes'!I8</f>
        <v>1</v>
      </c>
      <c r="M51" s="19">
        <v>0</v>
      </c>
      <c r="N51" s="25"/>
    </row>
    <row r="52" spans="1:14" ht="14.25" customHeight="1" x14ac:dyDescent="0.2">
      <c r="A52" s="17">
        <v>47</v>
      </c>
      <c r="B52" s="286"/>
      <c r="C52" s="288"/>
      <c r="D52" s="18" t="s">
        <v>154</v>
      </c>
      <c r="E52" s="26">
        <v>7</v>
      </c>
      <c r="F52" s="20" t="s">
        <v>148</v>
      </c>
      <c r="G52" s="21">
        <v>64.400000000000006</v>
      </c>
      <c r="H52" s="21">
        <v>64</v>
      </c>
      <c r="I52" s="22">
        <f t="shared" si="2"/>
        <v>128.4</v>
      </c>
      <c r="J52" s="23">
        <v>8.4027777777777798E-2</v>
      </c>
      <c r="K52" s="23"/>
      <c r="L52" s="24">
        <f>'IV Caract. Imóveis e Equipes'!I10</f>
        <v>1</v>
      </c>
      <c r="M52" s="19">
        <v>0</v>
      </c>
      <c r="N52" s="25"/>
    </row>
    <row r="53" spans="1:14" ht="14.25" customHeight="1" x14ac:dyDescent="0.2">
      <c r="A53" s="17">
        <v>48</v>
      </c>
      <c r="B53" s="286"/>
      <c r="C53" s="288"/>
      <c r="D53" s="18" t="s">
        <v>155</v>
      </c>
      <c r="E53" s="26">
        <v>8</v>
      </c>
      <c r="F53" s="20" t="s">
        <v>148</v>
      </c>
      <c r="G53" s="21">
        <v>107</v>
      </c>
      <c r="H53" s="21">
        <v>107</v>
      </c>
      <c r="I53" s="22">
        <f t="shared" si="2"/>
        <v>214</v>
      </c>
      <c r="J53" s="23">
        <v>0.14305555555555599</v>
      </c>
      <c r="K53" s="23"/>
      <c r="L53" s="24">
        <f>'IV Caract. Imóveis e Equipes'!I22</f>
        <v>3</v>
      </c>
      <c r="M53" s="19">
        <v>0</v>
      </c>
      <c r="N53" s="25"/>
    </row>
    <row r="54" spans="1:14" ht="14.25" customHeight="1" x14ac:dyDescent="0.2">
      <c r="A54" s="17">
        <v>49</v>
      </c>
      <c r="B54" s="286"/>
      <c r="C54" s="288"/>
      <c r="D54" s="18" t="s">
        <v>156</v>
      </c>
      <c r="E54" s="26">
        <v>9</v>
      </c>
      <c r="F54" s="20" t="s">
        <v>148</v>
      </c>
      <c r="G54" s="21">
        <v>107</v>
      </c>
      <c r="H54" s="21">
        <v>107</v>
      </c>
      <c r="I54" s="22">
        <f t="shared" si="2"/>
        <v>214</v>
      </c>
      <c r="J54" s="23">
        <v>0.148611111111111</v>
      </c>
      <c r="K54" s="23"/>
      <c r="L54" s="24">
        <f>'IV Caract. Imóveis e Equipes'!I11</f>
        <v>1</v>
      </c>
      <c r="M54" s="19">
        <v>0</v>
      </c>
      <c r="N54" s="25"/>
    </row>
    <row r="55" spans="1:14" ht="14.25" customHeight="1" x14ac:dyDescent="0.2">
      <c r="A55" s="17">
        <v>50</v>
      </c>
      <c r="B55" s="286"/>
      <c r="C55" s="288"/>
      <c r="D55" s="18" t="s">
        <v>157</v>
      </c>
      <c r="E55" s="26">
        <v>10</v>
      </c>
      <c r="F55" s="20" t="s">
        <v>148</v>
      </c>
      <c r="G55" s="21">
        <v>137</v>
      </c>
      <c r="H55" s="21">
        <v>137</v>
      </c>
      <c r="I55" s="22">
        <f t="shared" si="2"/>
        <v>274</v>
      </c>
      <c r="J55" s="23">
        <v>0.19097222222222199</v>
      </c>
      <c r="K55" s="23"/>
      <c r="L55" s="24">
        <f>'IV Caract. Imóveis e Equipes'!I13</f>
        <v>1</v>
      </c>
      <c r="M55" s="19">
        <v>0</v>
      </c>
      <c r="N55" s="25"/>
    </row>
    <row r="56" spans="1:14" ht="14.25" customHeight="1" x14ac:dyDescent="0.2">
      <c r="A56" s="17">
        <v>51</v>
      </c>
      <c r="B56" s="286"/>
      <c r="C56" s="288">
        <v>3</v>
      </c>
      <c r="D56" s="18" t="s">
        <v>158</v>
      </c>
      <c r="E56" s="26">
        <v>11</v>
      </c>
      <c r="F56" s="20" t="s">
        <v>148</v>
      </c>
      <c r="G56" s="21">
        <v>37.799999999999997</v>
      </c>
      <c r="H56" s="21">
        <v>37.200000000000003</v>
      </c>
      <c r="I56" s="22">
        <f t="shared" si="2"/>
        <v>75</v>
      </c>
      <c r="J56" s="23">
        <v>6.18055555555556E-2</v>
      </c>
      <c r="K56" s="23"/>
      <c r="L56" s="24">
        <f>'IV Caract. Imóveis e Equipes'!I17</f>
        <v>1</v>
      </c>
      <c r="M56" s="19">
        <v>0</v>
      </c>
      <c r="N56" s="25"/>
    </row>
    <row r="57" spans="1:14" ht="14.25" customHeight="1" x14ac:dyDescent="0.2">
      <c r="A57" s="17">
        <v>52</v>
      </c>
      <c r="B57" s="286"/>
      <c r="C57" s="288"/>
      <c r="D57" s="18" t="s">
        <v>159</v>
      </c>
      <c r="E57" s="26">
        <v>12</v>
      </c>
      <c r="F57" s="20" t="s">
        <v>148</v>
      </c>
      <c r="G57" s="21">
        <v>125</v>
      </c>
      <c r="H57" s="21">
        <v>107</v>
      </c>
      <c r="I57" s="22">
        <f t="shared" si="2"/>
        <v>232</v>
      </c>
      <c r="J57" s="23">
        <v>0.19097222222222199</v>
      </c>
      <c r="K57" s="23"/>
      <c r="L57" s="24">
        <f>'IV Caract. Imóveis e Equipes'!I19</f>
        <v>2</v>
      </c>
      <c r="M57" s="19">
        <v>0</v>
      </c>
      <c r="N57" s="25"/>
    </row>
    <row r="58" spans="1:14" ht="14.25" customHeight="1" x14ac:dyDescent="0.2">
      <c r="A58" s="17">
        <v>53</v>
      </c>
      <c r="B58" s="286"/>
      <c r="C58" s="288"/>
      <c r="D58" s="18" t="s">
        <v>160</v>
      </c>
      <c r="E58" s="26">
        <v>13</v>
      </c>
      <c r="F58" s="20" t="s">
        <v>148</v>
      </c>
      <c r="G58" s="21">
        <v>174</v>
      </c>
      <c r="H58" s="21">
        <v>171</v>
      </c>
      <c r="I58" s="22">
        <f t="shared" si="2"/>
        <v>345</v>
      </c>
      <c r="J58" s="23">
        <v>0.265277777777778</v>
      </c>
      <c r="K58" s="23"/>
      <c r="L58" s="24">
        <f>'IV Caract. Imóveis e Equipes'!I18</f>
        <v>1</v>
      </c>
      <c r="M58" s="19">
        <v>0</v>
      </c>
      <c r="N58" s="25"/>
    </row>
    <row r="59" spans="1:14" ht="14.25" x14ac:dyDescent="0.2">
      <c r="A59" s="17">
        <v>54</v>
      </c>
      <c r="B59" s="286"/>
      <c r="C59" s="288"/>
      <c r="D59" s="18" t="s">
        <v>161</v>
      </c>
      <c r="E59" s="26">
        <v>14</v>
      </c>
      <c r="F59" s="20" t="s">
        <v>148</v>
      </c>
      <c r="G59" s="21">
        <v>49.6</v>
      </c>
      <c r="H59" s="21">
        <v>50.4</v>
      </c>
      <c r="I59" s="22">
        <f t="shared" si="2"/>
        <v>100</v>
      </c>
      <c r="J59" s="23">
        <v>7.8472222222222193E-2</v>
      </c>
      <c r="K59" s="23"/>
      <c r="L59" s="24">
        <f>'IV Caract. Imóveis e Equipes'!I23</f>
        <v>1</v>
      </c>
      <c r="M59" s="19">
        <v>0</v>
      </c>
      <c r="N59" s="25"/>
    </row>
    <row r="60" spans="1:14" ht="14.25" customHeight="1" x14ac:dyDescent="0.2">
      <c r="A60" s="17">
        <v>55</v>
      </c>
      <c r="B60" s="286"/>
      <c r="C60" s="288"/>
      <c r="D60" s="18" t="s">
        <v>155</v>
      </c>
      <c r="E60" s="26">
        <v>15</v>
      </c>
      <c r="F60" s="20" t="s">
        <v>148</v>
      </c>
      <c r="G60" s="21">
        <v>107</v>
      </c>
      <c r="H60" s="21">
        <v>107</v>
      </c>
      <c r="I60" s="22">
        <f t="shared" si="2"/>
        <v>214</v>
      </c>
      <c r="J60" s="23">
        <v>0.14305555555555599</v>
      </c>
      <c r="K60" s="23"/>
      <c r="L60" s="24" t="s">
        <v>121</v>
      </c>
      <c r="M60" s="19">
        <v>0</v>
      </c>
      <c r="N60" s="25"/>
    </row>
    <row r="61" spans="1:14" ht="14.25" customHeight="1" x14ac:dyDescent="0.2">
      <c r="A61" s="17">
        <v>56</v>
      </c>
      <c r="B61" s="286"/>
      <c r="C61" s="288">
        <v>4</v>
      </c>
      <c r="D61" s="18" t="s">
        <v>159</v>
      </c>
      <c r="E61" s="26">
        <v>16</v>
      </c>
      <c r="F61" s="20" t="s">
        <v>148</v>
      </c>
      <c r="G61" s="21">
        <v>125</v>
      </c>
      <c r="H61" s="21">
        <v>107</v>
      </c>
      <c r="I61" s="22">
        <f t="shared" si="2"/>
        <v>232</v>
      </c>
      <c r="J61" s="23">
        <v>0.19097222222222199</v>
      </c>
      <c r="K61" s="23"/>
      <c r="L61" s="24" t="s">
        <v>121</v>
      </c>
      <c r="M61" s="19">
        <v>0</v>
      </c>
      <c r="N61" s="25"/>
    </row>
    <row r="62" spans="1:14" ht="14.25" customHeight="1" x14ac:dyDescent="0.2">
      <c r="A62" s="17">
        <v>57</v>
      </c>
      <c r="B62" s="286"/>
      <c r="C62" s="288"/>
      <c r="D62" s="18" t="s">
        <v>162</v>
      </c>
      <c r="E62" s="26">
        <v>17</v>
      </c>
      <c r="F62" s="20" t="s">
        <v>148</v>
      </c>
      <c r="G62" s="21">
        <v>126</v>
      </c>
      <c r="H62" s="21">
        <v>126</v>
      </c>
      <c r="I62" s="22">
        <f t="shared" si="2"/>
        <v>252</v>
      </c>
      <c r="J62" s="23">
        <v>0.17777777777777801</v>
      </c>
      <c r="K62" s="23"/>
      <c r="L62" s="24">
        <f>'IV Caract. Imóveis e Equipes'!I15</f>
        <v>1</v>
      </c>
      <c r="M62" s="19">
        <v>0</v>
      </c>
      <c r="N62" s="25"/>
    </row>
    <row r="63" spans="1:14" ht="14.25" customHeight="1" x14ac:dyDescent="0.2">
      <c r="A63" s="17">
        <v>58</v>
      </c>
      <c r="B63" s="286"/>
      <c r="C63" s="288"/>
      <c r="D63" s="18" t="s">
        <v>163</v>
      </c>
      <c r="E63" s="26">
        <v>18</v>
      </c>
      <c r="F63" s="20" t="s">
        <v>148</v>
      </c>
      <c r="G63" s="21">
        <v>143</v>
      </c>
      <c r="H63" s="21">
        <v>142</v>
      </c>
      <c r="I63" s="22">
        <f t="shared" si="2"/>
        <v>285</v>
      </c>
      <c r="J63" s="23">
        <v>0.20138888888888901</v>
      </c>
      <c r="K63" s="23"/>
      <c r="L63" s="24">
        <f>'IV Caract. Imóveis e Equipes'!I12</f>
        <v>1</v>
      </c>
      <c r="M63" s="19">
        <v>0</v>
      </c>
      <c r="N63" s="25"/>
    </row>
    <row r="64" spans="1:14" ht="14.25" customHeight="1" x14ac:dyDescent="0.2">
      <c r="A64" s="17">
        <v>59</v>
      </c>
      <c r="B64" s="286"/>
      <c r="C64" s="288"/>
      <c r="D64" s="18" t="s">
        <v>164</v>
      </c>
      <c r="E64" s="26">
        <v>19</v>
      </c>
      <c r="F64" s="20" t="s">
        <v>148</v>
      </c>
      <c r="G64" s="21">
        <v>148</v>
      </c>
      <c r="H64" s="29">
        <v>148</v>
      </c>
      <c r="I64" s="22">
        <f t="shared" si="2"/>
        <v>296</v>
      </c>
      <c r="J64" s="23">
        <v>0.20763888888888901</v>
      </c>
      <c r="K64" s="23"/>
      <c r="L64" s="24">
        <f>'IV Caract. Imóveis e Equipes'!I14</f>
        <v>1</v>
      </c>
      <c r="M64" s="19">
        <v>0</v>
      </c>
      <c r="N64" s="25"/>
    </row>
    <row r="65" spans="1:14" ht="14.25" customHeight="1" x14ac:dyDescent="0.2">
      <c r="A65" s="17">
        <v>60</v>
      </c>
      <c r="B65" s="286"/>
      <c r="C65" s="288"/>
      <c r="D65" s="18" t="s">
        <v>155</v>
      </c>
      <c r="E65" s="26">
        <v>20</v>
      </c>
      <c r="F65" s="20" t="s">
        <v>148</v>
      </c>
      <c r="G65" s="21">
        <v>107</v>
      </c>
      <c r="H65" s="21">
        <v>107</v>
      </c>
      <c r="I65" s="22">
        <f t="shared" si="2"/>
        <v>214</v>
      </c>
      <c r="J65" s="23">
        <v>0.14305555555555599</v>
      </c>
      <c r="K65" s="23"/>
      <c r="L65" s="24" t="s">
        <v>121</v>
      </c>
      <c r="M65" s="19">
        <v>0</v>
      </c>
      <c r="N65" s="25"/>
    </row>
    <row r="66" spans="1:14" ht="14.25" x14ac:dyDescent="0.2">
      <c r="A66" s="289"/>
      <c r="B66" s="289"/>
      <c r="C66" s="289"/>
      <c r="D66" s="289"/>
      <c r="E66" s="289"/>
      <c r="F66" s="289"/>
      <c r="G66" s="289"/>
      <c r="H66" s="289"/>
      <c r="I66" s="289"/>
      <c r="J66" s="289"/>
      <c r="K66" s="289"/>
      <c r="L66" s="289"/>
      <c r="M66" s="289"/>
      <c r="N66" s="289"/>
    </row>
    <row r="67" spans="1:14" ht="14.25" x14ac:dyDescent="0.2">
      <c r="A67" s="17">
        <v>61</v>
      </c>
      <c r="B67" s="290">
        <v>4</v>
      </c>
      <c r="C67" s="288">
        <v>1</v>
      </c>
      <c r="D67" s="30" t="s">
        <v>165</v>
      </c>
      <c r="E67" s="26">
        <v>1</v>
      </c>
      <c r="F67" s="20" t="s">
        <v>148</v>
      </c>
      <c r="G67" s="21">
        <v>0</v>
      </c>
      <c r="H67" s="21">
        <v>0</v>
      </c>
      <c r="I67" s="22">
        <f>G67+H67</f>
        <v>0</v>
      </c>
      <c r="J67" s="31">
        <v>0</v>
      </c>
      <c r="K67" s="31"/>
      <c r="L67" s="24">
        <f>'IV Caract. Imóveis e Equipes'!I4</f>
        <v>5</v>
      </c>
      <c r="M67" s="19">
        <v>0</v>
      </c>
      <c r="N67" s="25"/>
    </row>
    <row r="68" spans="1:14" ht="14.25" x14ac:dyDescent="0.2">
      <c r="A68" s="17">
        <v>62</v>
      </c>
      <c r="B68" s="290"/>
      <c r="C68" s="288"/>
      <c r="D68" s="30" t="s">
        <v>165</v>
      </c>
      <c r="E68" s="26">
        <v>2</v>
      </c>
      <c r="F68" s="20" t="s">
        <v>148</v>
      </c>
      <c r="G68" s="21">
        <v>0</v>
      </c>
      <c r="H68" s="21">
        <v>0</v>
      </c>
      <c r="I68" s="22">
        <f>G68+H68</f>
        <v>0</v>
      </c>
      <c r="J68" s="31">
        <v>0</v>
      </c>
      <c r="K68" s="31"/>
      <c r="L68" s="24" t="s">
        <v>121</v>
      </c>
      <c r="M68" s="19">
        <v>0</v>
      </c>
      <c r="N68" s="25"/>
    </row>
    <row r="69" spans="1:14" ht="14.25" x14ac:dyDescent="0.2">
      <c r="A69" s="17">
        <v>63</v>
      </c>
      <c r="B69" s="290"/>
      <c r="C69" s="288"/>
      <c r="D69" s="30" t="s">
        <v>166</v>
      </c>
      <c r="E69" s="26">
        <v>3</v>
      </c>
      <c r="F69" s="20" t="s">
        <v>148</v>
      </c>
      <c r="G69" s="21">
        <v>0</v>
      </c>
      <c r="H69" s="21">
        <v>0</v>
      </c>
      <c r="I69" s="22">
        <f>G69+H69</f>
        <v>0</v>
      </c>
      <c r="J69" s="31">
        <v>0</v>
      </c>
      <c r="K69" s="31"/>
      <c r="L69" s="24">
        <f>'IV Caract. Imóveis e Equipes'!I5</f>
        <v>3</v>
      </c>
      <c r="M69" s="19">
        <v>0</v>
      </c>
      <c r="N69" s="25"/>
    </row>
    <row r="70" spans="1:14" ht="14.25" customHeight="1" x14ac:dyDescent="0.2">
      <c r="A70" s="17">
        <v>64</v>
      </c>
      <c r="B70" s="290"/>
      <c r="C70" s="288"/>
      <c r="D70" s="30" t="s">
        <v>167</v>
      </c>
      <c r="E70" s="26">
        <v>4</v>
      </c>
      <c r="F70" s="20" t="s">
        <v>148</v>
      </c>
      <c r="G70" s="21">
        <v>0</v>
      </c>
      <c r="H70" s="21">
        <v>0</v>
      </c>
      <c r="I70" s="22">
        <f>G70+H70</f>
        <v>0</v>
      </c>
      <c r="J70" s="31">
        <v>0</v>
      </c>
      <c r="K70" s="31"/>
      <c r="L70" s="24">
        <f>'IV Caract. Imóveis e Equipes'!I20</f>
        <v>2</v>
      </c>
      <c r="M70" s="19">
        <v>0</v>
      </c>
      <c r="N70" s="25"/>
    </row>
    <row r="71" spans="1:14" ht="14.25" x14ac:dyDescent="0.2">
      <c r="A71" s="17">
        <v>65</v>
      </c>
      <c r="B71" s="290"/>
      <c r="C71" s="288"/>
      <c r="D71" s="30"/>
      <c r="E71" s="26">
        <v>5</v>
      </c>
      <c r="F71" s="32"/>
      <c r="G71" s="21"/>
      <c r="H71" s="21"/>
      <c r="I71" s="22"/>
      <c r="J71" s="31"/>
      <c r="K71" s="31"/>
      <c r="L71" s="24"/>
      <c r="M71" s="19"/>
      <c r="N71" s="25"/>
    </row>
    <row r="72" spans="1:14" ht="14.25" x14ac:dyDescent="0.2">
      <c r="A72" s="17">
        <v>66</v>
      </c>
      <c r="B72" s="290"/>
      <c r="C72" s="288">
        <v>2</v>
      </c>
      <c r="D72" s="30"/>
      <c r="E72" s="26">
        <v>6</v>
      </c>
      <c r="F72" s="32"/>
      <c r="G72" s="21"/>
      <c r="H72" s="21"/>
      <c r="I72" s="22"/>
      <c r="J72" s="31"/>
      <c r="K72" s="31"/>
      <c r="L72" s="24"/>
      <c r="M72" s="19"/>
      <c r="N72" s="25"/>
    </row>
    <row r="73" spans="1:14" ht="14.25" x14ac:dyDescent="0.2">
      <c r="A73" s="17">
        <v>67</v>
      </c>
      <c r="B73" s="290"/>
      <c r="C73" s="288"/>
      <c r="D73" s="30" t="s">
        <v>166</v>
      </c>
      <c r="E73" s="26">
        <v>7</v>
      </c>
      <c r="F73" s="20" t="s">
        <v>148</v>
      </c>
      <c r="G73" s="21">
        <v>0</v>
      </c>
      <c r="H73" s="21">
        <v>0</v>
      </c>
      <c r="I73" s="22">
        <f>G73+H73</f>
        <v>0</v>
      </c>
      <c r="J73" s="31">
        <v>0</v>
      </c>
      <c r="K73" s="31"/>
      <c r="L73" s="24" t="s">
        <v>121</v>
      </c>
      <c r="M73" s="19">
        <v>0</v>
      </c>
      <c r="N73" s="25"/>
    </row>
    <row r="74" spans="1:14" ht="14.25" x14ac:dyDescent="0.2">
      <c r="A74" s="17">
        <v>68</v>
      </c>
      <c r="B74" s="290"/>
      <c r="C74" s="288"/>
      <c r="D74" s="30" t="s">
        <v>165</v>
      </c>
      <c r="E74" s="26">
        <v>8</v>
      </c>
      <c r="F74" s="20" t="s">
        <v>148</v>
      </c>
      <c r="G74" s="21">
        <v>0</v>
      </c>
      <c r="H74" s="21">
        <v>0</v>
      </c>
      <c r="I74" s="22">
        <f>G74+H74</f>
        <v>0</v>
      </c>
      <c r="J74" s="31">
        <v>0</v>
      </c>
      <c r="K74" s="31"/>
      <c r="L74" s="24" t="s">
        <v>121</v>
      </c>
      <c r="M74" s="19">
        <v>0</v>
      </c>
      <c r="N74" s="25"/>
    </row>
    <row r="75" spans="1:14" ht="14.25" x14ac:dyDescent="0.2">
      <c r="A75" s="17">
        <v>69</v>
      </c>
      <c r="B75" s="290"/>
      <c r="C75" s="288"/>
      <c r="D75" s="30" t="s">
        <v>165</v>
      </c>
      <c r="E75" s="26">
        <v>9</v>
      </c>
      <c r="F75" s="20" t="s">
        <v>148</v>
      </c>
      <c r="G75" s="21">
        <v>0</v>
      </c>
      <c r="H75" s="21">
        <v>0</v>
      </c>
      <c r="I75" s="22">
        <f>G75+H75</f>
        <v>0</v>
      </c>
      <c r="J75" s="31">
        <v>0</v>
      </c>
      <c r="K75" s="31"/>
      <c r="L75" s="24" t="s">
        <v>121</v>
      </c>
      <c r="M75" s="19">
        <v>0</v>
      </c>
      <c r="N75" s="25"/>
    </row>
    <row r="76" spans="1:14" ht="14.25" x14ac:dyDescent="0.2">
      <c r="A76" s="17">
        <v>70</v>
      </c>
      <c r="B76" s="290"/>
      <c r="C76" s="288"/>
      <c r="D76" s="30"/>
      <c r="E76" s="26">
        <v>10</v>
      </c>
      <c r="F76" s="32"/>
      <c r="G76" s="21"/>
      <c r="H76" s="21"/>
      <c r="I76" s="22"/>
      <c r="J76" s="31"/>
      <c r="K76" s="31"/>
      <c r="L76" s="24"/>
      <c r="M76" s="19"/>
      <c r="N76" s="25"/>
    </row>
    <row r="77" spans="1:14" ht="14.25" x14ac:dyDescent="0.2">
      <c r="A77" s="17">
        <v>71</v>
      </c>
      <c r="B77" s="290"/>
      <c r="C77" s="288">
        <v>3</v>
      </c>
      <c r="D77" s="30" t="s">
        <v>168</v>
      </c>
      <c r="E77" s="26">
        <v>11</v>
      </c>
      <c r="F77" s="20" t="s">
        <v>148</v>
      </c>
      <c r="G77" s="21">
        <v>263</v>
      </c>
      <c r="H77" s="21">
        <v>0</v>
      </c>
      <c r="I77" s="22">
        <f>G77+H77</f>
        <v>263</v>
      </c>
      <c r="J77" s="31">
        <v>0.147222222222222</v>
      </c>
      <c r="K77" s="31"/>
      <c r="L77" s="24">
        <f>'IV Caract. Imóveis e Equipes'!I39</f>
        <v>3</v>
      </c>
      <c r="M77" s="19">
        <v>0</v>
      </c>
      <c r="N77" s="25">
        <v>24</v>
      </c>
    </row>
    <row r="78" spans="1:14" ht="14.25" x14ac:dyDescent="0.2">
      <c r="A78" s="17">
        <v>72</v>
      </c>
      <c r="B78" s="290"/>
      <c r="C78" s="288"/>
      <c r="D78" s="30" t="s">
        <v>168</v>
      </c>
      <c r="E78" s="26">
        <v>12</v>
      </c>
      <c r="F78" s="20" t="s">
        <v>133</v>
      </c>
      <c r="G78" s="21">
        <v>0</v>
      </c>
      <c r="H78" s="21">
        <v>0</v>
      </c>
      <c r="I78" s="22">
        <f>G78+H78</f>
        <v>0</v>
      </c>
      <c r="J78" s="31">
        <v>0</v>
      </c>
      <c r="K78" s="31"/>
      <c r="L78" s="24" t="s">
        <v>121</v>
      </c>
      <c r="M78" s="19">
        <v>1</v>
      </c>
      <c r="N78" s="25"/>
    </row>
    <row r="79" spans="1:14" ht="14.25" x14ac:dyDescent="0.2">
      <c r="A79" s="17">
        <v>73</v>
      </c>
      <c r="B79" s="290"/>
      <c r="C79" s="288"/>
      <c r="D79" s="30" t="s">
        <v>168</v>
      </c>
      <c r="E79" s="26">
        <v>13</v>
      </c>
      <c r="F79" s="20" t="s">
        <v>133</v>
      </c>
      <c r="G79" s="21">
        <v>0</v>
      </c>
      <c r="H79" s="21">
        <v>0</v>
      </c>
      <c r="I79" s="22">
        <f>G79+H79</f>
        <v>0</v>
      </c>
      <c r="J79" s="31">
        <v>0</v>
      </c>
      <c r="K79" s="31"/>
      <c r="L79" s="24" t="s">
        <v>121</v>
      </c>
      <c r="M79" s="19">
        <v>1</v>
      </c>
      <c r="N79" s="33"/>
    </row>
    <row r="80" spans="1:14" ht="14.25" x14ac:dyDescent="0.2">
      <c r="A80" s="17">
        <v>74</v>
      </c>
      <c r="B80" s="290"/>
      <c r="C80" s="288"/>
      <c r="D80" s="30" t="s">
        <v>169</v>
      </c>
      <c r="E80" s="26">
        <v>14</v>
      </c>
      <c r="F80" s="20" t="s">
        <v>133</v>
      </c>
      <c r="G80" s="21">
        <v>0.45</v>
      </c>
      <c r="H80" s="21">
        <v>0.35</v>
      </c>
      <c r="I80" s="22">
        <f>G80+H80</f>
        <v>0.8</v>
      </c>
      <c r="J80" s="31">
        <v>2.0833333333333298E-3</v>
      </c>
      <c r="K80" s="31"/>
      <c r="L80" s="24">
        <f>'IV Caract. Imóveis e Equipes'!I40</f>
        <v>1</v>
      </c>
      <c r="M80" s="19">
        <v>1</v>
      </c>
      <c r="N80" s="33"/>
    </row>
    <row r="81" spans="1:14" ht="14.25" x14ac:dyDescent="0.2">
      <c r="A81" s="17">
        <v>75</v>
      </c>
      <c r="B81" s="290"/>
      <c r="C81" s="288"/>
      <c r="D81" s="30" t="s">
        <v>170</v>
      </c>
      <c r="E81" s="26">
        <v>15</v>
      </c>
      <c r="F81" s="20" t="s">
        <v>148</v>
      </c>
      <c r="G81" s="21">
        <v>0</v>
      </c>
      <c r="H81" s="21">
        <v>262.8</v>
      </c>
      <c r="I81" s="22">
        <f>G81+H81</f>
        <v>262.8</v>
      </c>
      <c r="J81" s="31">
        <v>0.14583333333333301</v>
      </c>
      <c r="K81" s="31"/>
      <c r="L81" s="24">
        <f>'IV Caract. Imóveis e Equipes'!I55</f>
        <v>1</v>
      </c>
      <c r="M81" s="19">
        <v>1</v>
      </c>
      <c r="N81" s="33">
        <v>18</v>
      </c>
    </row>
    <row r="82" spans="1:14" ht="14.25" x14ac:dyDescent="0.2">
      <c r="A82" s="17">
        <v>76</v>
      </c>
      <c r="B82" s="290"/>
      <c r="C82" s="288">
        <v>4</v>
      </c>
      <c r="D82" s="30"/>
      <c r="E82" s="26">
        <v>16</v>
      </c>
      <c r="F82" s="34"/>
      <c r="G82" s="21"/>
      <c r="H82" s="21"/>
      <c r="I82" s="22"/>
      <c r="J82" s="31"/>
      <c r="K82" s="31"/>
      <c r="L82" s="24"/>
      <c r="M82" s="19"/>
      <c r="N82" s="33"/>
    </row>
    <row r="83" spans="1:14" ht="14.25" customHeight="1" x14ac:dyDescent="0.2">
      <c r="A83" s="17">
        <v>77</v>
      </c>
      <c r="B83" s="290"/>
      <c r="C83" s="288"/>
      <c r="D83" s="30" t="s">
        <v>167</v>
      </c>
      <c r="E83" s="26">
        <v>17</v>
      </c>
      <c r="F83" s="20" t="s">
        <v>148</v>
      </c>
      <c r="G83" s="21">
        <v>0</v>
      </c>
      <c r="H83" s="21">
        <v>0</v>
      </c>
      <c r="I83" s="22">
        <f>G83+H83</f>
        <v>0</v>
      </c>
      <c r="J83" s="31">
        <v>0</v>
      </c>
      <c r="K83" s="31"/>
      <c r="L83" s="24" t="s">
        <v>121</v>
      </c>
      <c r="M83" s="19">
        <v>0</v>
      </c>
      <c r="N83" s="33"/>
    </row>
    <row r="84" spans="1:14" ht="14.25" customHeight="1" x14ac:dyDescent="0.2">
      <c r="A84" s="17">
        <v>78</v>
      </c>
      <c r="B84" s="290"/>
      <c r="C84" s="288"/>
      <c r="D84" s="30" t="s">
        <v>166</v>
      </c>
      <c r="E84" s="26">
        <v>18</v>
      </c>
      <c r="F84" s="20" t="s">
        <v>148</v>
      </c>
      <c r="G84" s="21">
        <v>0</v>
      </c>
      <c r="H84" s="21">
        <v>0</v>
      </c>
      <c r="I84" s="22">
        <f>G84+H84</f>
        <v>0</v>
      </c>
      <c r="J84" s="31">
        <v>0</v>
      </c>
      <c r="K84" s="31"/>
      <c r="L84" s="24" t="s">
        <v>121</v>
      </c>
      <c r="M84" s="19">
        <v>0</v>
      </c>
      <c r="N84" s="33"/>
    </row>
    <row r="85" spans="1:14" ht="14.25" x14ac:dyDescent="0.2">
      <c r="A85" s="17">
        <v>79</v>
      </c>
      <c r="B85" s="290"/>
      <c r="C85" s="288"/>
      <c r="D85" s="30" t="s">
        <v>165</v>
      </c>
      <c r="E85" s="26">
        <v>19</v>
      </c>
      <c r="F85" s="20" t="s">
        <v>148</v>
      </c>
      <c r="G85" s="21">
        <v>0</v>
      </c>
      <c r="H85" s="21">
        <v>0</v>
      </c>
      <c r="I85" s="22">
        <f>G85+H85</f>
        <v>0</v>
      </c>
      <c r="J85" s="31">
        <v>0</v>
      </c>
      <c r="K85" s="31"/>
      <c r="L85" s="24" t="s">
        <v>121</v>
      </c>
      <c r="M85" s="19">
        <v>0</v>
      </c>
      <c r="N85" s="33"/>
    </row>
    <row r="86" spans="1:14" ht="14.25" x14ac:dyDescent="0.2">
      <c r="A86" s="17">
        <v>80</v>
      </c>
      <c r="B86" s="290"/>
      <c r="C86" s="288"/>
      <c r="D86" s="30"/>
      <c r="E86" s="26">
        <v>20</v>
      </c>
      <c r="F86" s="34"/>
      <c r="G86" s="21"/>
      <c r="H86" s="35"/>
      <c r="I86" s="22"/>
      <c r="J86" s="31"/>
      <c r="K86" s="31"/>
      <c r="L86" s="24"/>
      <c r="M86" s="19"/>
      <c r="N86" s="33"/>
    </row>
    <row r="87" spans="1:14" ht="15" customHeight="1" x14ac:dyDescent="0.2">
      <c r="A87" s="291" t="s">
        <v>171</v>
      </c>
      <c r="B87" s="291"/>
      <c r="C87" s="291"/>
      <c r="D87" s="291"/>
      <c r="E87" s="291"/>
      <c r="F87" s="291"/>
      <c r="G87" s="37">
        <f t="shared" ref="G87:N87" si="3">SUM(G4:G86)</f>
        <v>3575.45</v>
      </c>
      <c r="H87" s="37">
        <f t="shared" si="3"/>
        <v>3542.6499999999996</v>
      </c>
      <c r="I87" s="38">
        <f t="shared" si="3"/>
        <v>7118.1</v>
      </c>
      <c r="J87" s="39">
        <f t="shared" si="3"/>
        <v>5.0298611111111118</v>
      </c>
      <c r="K87" s="39"/>
      <c r="L87" s="40">
        <f t="shared" si="3"/>
        <v>72</v>
      </c>
      <c r="M87" s="40">
        <f t="shared" si="3"/>
        <v>4</v>
      </c>
      <c r="N87" s="41">
        <f t="shared" si="3"/>
        <v>238.40000000000003</v>
      </c>
    </row>
    <row r="88" spans="1:14" ht="14.65" customHeight="1" x14ac:dyDescent="0.2">
      <c r="A88" s="292"/>
      <c r="B88" s="292"/>
      <c r="C88" s="292"/>
      <c r="D88" s="292"/>
      <c r="E88" s="292"/>
      <c r="F88" s="292"/>
      <c r="G88" s="292"/>
      <c r="H88" s="292"/>
      <c r="I88" s="292"/>
      <c r="J88" s="292"/>
      <c r="K88" s="292"/>
      <c r="L88" s="292"/>
      <c r="M88" s="292"/>
      <c r="N88" s="292"/>
    </row>
    <row r="89" spans="1:14" ht="15" customHeight="1" x14ac:dyDescent="0.2">
      <c r="A89" s="273" t="s">
        <v>172</v>
      </c>
      <c r="B89" s="273"/>
      <c r="C89" s="273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</row>
    <row r="90" spans="1:14" ht="60" x14ac:dyDescent="0.2">
      <c r="A90" s="4" t="s">
        <v>102</v>
      </c>
      <c r="B90" s="4" t="s">
        <v>103</v>
      </c>
      <c r="C90" s="4" t="s">
        <v>104</v>
      </c>
      <c r="D90" s="4" t="s">
        <v>105</v>
      </c>
      <c r="E90" s="4" t="s">
        <v>106</v>
      </c>
      <c r="F90" s="14" t="s">
        <v>107</v>
      </c>
      <c r="G90" s="14" t="s">
        <v>108</v>
      </c>
      <c r="H90" s="14" t="s">
        <v>109</v>
      </c>
      <c r="I90" s="14" t="s">
        <v>110</v>
      </c>
      <c r="J90" s="14" t="s">
        <v>111</v>
      </c>
      <c r="K90" s="14"/>
      <c r="L90" s="15" t="s">
        <v>173</v>
      </c>
      <c r="M90" s="14" t="s">
        <v>174</v>
      </c>
      <c r="N90" s="14" t="s">
        <v>175</v>
      </c>
    </row>
    <row r="91" spans="1:14" ht="14.65" customHeight="1" x14ac:dyDescent="0.2">
      <c r="A91" s="42">
        <f>A22</f>
        <v>19</v>
      </c>
      <c r="B91" s="7" t="s">
        <v>121</v>
      </c>
      <c r="C91" s="43" t="s">
        <v>116</v>
      </c>
      <c r="D91" s="30" t="str">
        <f>D22</f>
        <v>APS PARACAMBI</v>
      </c>
      <c r="E91" s="44" t="s">
        <v>121</v>
      </c>
      <c r="F91" s="45" t="str">
        <f>F12</f>
        <v>GEXDUQ</v>
      </c>
      <c r="G91" s="45">
        <f>G22</f>
        <v>70.5</v>
      </c>
      <c r="H91" s="45">
        <f>H22</f>
        <v>70.5</v>
      </c>
      <c r="I91" s="46">
        <f>G91+H91</f>
        <v>141</v>
      </c>
      <c r="J91" s="31">
        <f>J22</f>
        <v>9.6527777777777796E-2</v>
      </c>
      <c r="K91" s="31"/>
      <c r="L91" s="47">
        <f>L22</f>
        <v>1</v>
      </c>
      <c r="M91" s="19">
        <v>0</v>
      </c>
      <c r="N91" s="25">
        <f>N17</f>
        <v>0</v>
      </c>
    </row>
    <row r="92" spans="1:14" ht="14.65" customHeight="1" x14ac:dyDescent="0.2">
      <c r="A92" s="42">
        <f>A30</f>
        <v>26</v>
      </c>
      <c r="B92" s="7" t="s">
        <v>121</v>
      </c>
      <c r="C92" s="43" t="s">
        <v>133</v>
      </c>
      <c r="D92" s="30" t="str">
        <f>D30</f>
        <v>APS ARRAIAL DO CABO</v>
      </c>
      <c r="E92" s="44" t="s">
        <v>121</v>
      </c>
      <c r="F92" s="45" t="str">
        <f>F31</f>
        <v>GEXNIT</v>
      </c>
      <c r="G92" s="45">
        <f>G30</f>
        <v>149</v>
      </c>
      <c r="H92" s="45">
        <f>H30</f>
        <v>149</v>
      </c>
      <c r="I92" s="46">
        <f>G92+H92</f>
        <v>298</v>
      </c>
      <c r="J92" s="31">
        <f>J30</f>
        <v>0.19027777777777799</v>
      </c>
      <c r="K92" s="31"/>
      <c r="L92" s="47">
        <f>L30</f>
        <v>1</v>
      </c>
      <c r="M92" s="19">
        <v>0</v>
      </c>
      <c r="N92" s="25">
        <f>N31</f>
        <v>24.8</v>
      </c>
    </row>
    <row r="93" spans="1:14" ht="14.25" x14ac:dyDescent="0.2">
      <c r="A93" s="42">
        <f>A58</f>
        <v>53</v>
      </c>
      <c r="B93" s="7" t="s">
        <v>121</v>
      </c>
      <c r="C93" s="43" t="s">
        <v>148</v>
      </c>
      <c r="D93" s="30" t="str">
        <f>D58</f>
        <v>APS CASIMIRO DE ABREU</v>
      </c>
      <c r="E93" s="43" t="s">
        <v>121</v>
      </c>
      <c r="F93" s="45" t="str">
        <f>F58</f>
        <v>GEXCGT</v>
      </c>
      <c r="G93" s="45">
        <f>G58</f>
        <v>174</v>
      </c>
      <c r="H93" s="45">
        <f>H58</f>
        <v>171</v>
      </c>
      <c r="I93" s="46">
        <f>G93+H93</f>
        <v>345</v>
      </c>
      <c r="J93" s="31">
        <f>J58</f>
        <v>0.265277777777778</v>
      </c>
      <c r="K93" s="31"/>
      <c r="L93" s="47">
        <f>L58</f>
        <v>1</v>
      </c>
      <c r="M93" s="19">
        <v>0</v>
      </c>
      <c r="N93" s="25">
        <v>0</v>
      </c>
    </row>
    <row r="94" spans="1:14" ht="15" customHeight="1" x14ac:dyDescent="0.2">
      <c r="A94" s="291" t="s">
        <v>171</v>
      </c>
      <c r="B94" s="291"/>
      <c r="C94" s="291"/>
      <c r="D94" s="291"/>
      <c r="E94" s="291"/>
      <c r="F94" s="291"/>
      <c r="G94" s="48">
        <f t="shared" ref="G94:N94" si="4">SUM(G91:G93)</f>
        <v>393.5</v>
      </c>
      <c r="H94" s="49">
        <f t="shared" si="4"/>
        <v>390.5</v>
      </c>
      <c r="I94" s="49">
        <f t="shared" si="4"/>
        <v>784</v>
      </c>
      <c r="J94" s="39">
        <f t="shared" si="4"/>
        <v>0.5520833333333337</v>
      </c>
      <c r="K94" s="260"/>
      <c r="L94" s="50">
        <f t="shared" si="4"/>
        <v>3</v>
      </c>
      <c r="M94" s="50">
        <f t="shared" si="4"/>
        <v>0</v>
      </c>
      <c r="N94" s="51">
        <f t="shared" si="4"/>
        <v>24.8</v>
      </c>
    </row>
    <row r="95" spans="1:14" ht="15" x14ac:dyDescent="0.2">
      <c r="A95" s="293"/>
      <c r="B95" s="293"/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</row>
    <row r="96" spans="1:14" ht="15" customHeight="1" x14ac:dyDescent="0.2">
      <c r="A96" s="52" t="s">
        <v>2</v>
      </c>
      <c r="B96" s="52" t="s">
        <v>176</v>
      </c>
      <c r="C96" s="52" t="s">
        <v>177</v>
      </c>
      <c r="D96" s="294" t="s">
        <v>3</v>
      </c>
      <c r="E96" s="294"/>
      <c r="F96" s="294"/>
      <c r="G96" s="294"/>
      <c r="H96" s="294"/>
      <c r="I96" s="294"/>
      <c r="J96" s="52" t="s">
        <v>4</v>
      </c>
      <c r="K96" s="242"/>
      <c r="L96" s="52" t="s">
        <v>5</v>
      </c>
      <c r="M96" s="52" t="s">
        <v>6</v>
      </c>
      <c r="N96" s="52" t="s">
        <v>86</v>
      </c>
    </row>
    <row r="97" spans="1:14" ht="15" customHeight="1" x14ac:dyDescent="0.2">
      <c r="A97" s="3">
        <v>1</v>
      </c>
      <c r="B97" s="53" t="s">
        <v>178</v>
      </c>
      <c r="C97" s="54">
        <v>14185</v>
      </c>
      <c r="D97" s="295" t="s">
        <v>179</v>
      </c>
      <c r="E97" s="295"/>
      <c r="F97" s="295"/>
      <c r="G97" s="295"/>
      <c r="H97" s="295"/>
      <c r="I97" s="295"/>
      <c r="J97" s="53" t="s">
        <v>180</v>
      </c>
      <c r="K97" s="53"/>
      <c r="L97" s="55"/>
      <c r="M97" s="55"/>
      <c r="N97" s="56">
        <f>SUM(N98:N107)</f>
        <v>1.25583</v>
      </c>
    </row>
    <row r="98" spans="1:14" ht="14.25" customHeight="1" x14ac:dyDescent="0.2">
      <c r="A98" s="180" t="s">
        <v>181</v>
      </c>
      <c r="B98" s="179" t="s">
        <v>182</v>
      </c>
      <c r="C98" s="178">
        <v>4222</v>
      </c>
      <c r="D98" s="296" t="s">
        <v>183</v>
      </c>
      <c r="E98" s="296"/>
      <c r="F98" s="296"/>
      <c r="G98" s="296"/>
      <c r="H98" s="296"/>
      <c r="I98" s="296"/>
      <c r="J98" s="178" t="s">
        <v>184</v>
      </c>
      <c r="K98" s="244"/>
      <c r="L98" s="58">
        <v>0.11799999999999999</v>
      </c>
      <c r="M98" s="59">
        <v>4.59</v>
      </c>
      <c r="N98" s="59">
        <f t="shared" ref="N98:N107" si="5">L98*M98</f>
        <v>0.54161999999999999</v>
      </c>
    </row>
    <row r="99" spans="1:14" ht="14.25" customHeight="1" x14ac:dyDescent="0.2">
      <c r="A99" s="180" t="s">
        <v>185</v>
      </c>
      <c r="B99" s="179" t="s">
        <v>178</v>
      </c>
      <c r="C99" s="178">
        <v>11090</v>
      </c>
      <c r="D99" s="296" t="s">
        <v>186</v>
      </c>
      <c r="E99" s="296"/>
      <c r="F99" s="296"/>
      <c r="G99" s="296"/>
      <c r="H99" s="296"/>
      <c r="I99" s="296"/>
      <c r="J99" s="180" t="s">
        <v>187</v>
      </c>
      <c r="K99" s="243"/>
      <c r="L99" s="58">
        <v>0.125</v>
      </c>
      <c r="M99" s="59">
        <v>0.26</v>
      </c>
      <c r="N99" s="59">
        <f t="shared" si="5"/>
        <v>3.2500000000000001E-2</v>
      </c>
    </row>
    <row r="100" spans="1:14" ht="14.25" customHeight="1" x14ac:dyDescent="0.2">
      <c r="A100" s="180" t="s">
        <v>188</v>
      </c>
      <c r="B100" s="179" t="s">
        <v>178</v>
      </c>
      <c r="C100" s="178">
        <v>30302</v>
      </c>
      <c r="D100" s="296" t="s">
        <v>189</v>
      </c>
      <c r="E100" s="296"/>
      <c r="F100" s="296"/>
      <c r="G100" s="296"/>
      <c r="H100" s="296"/>
      <c r="I100" s="296"/>
      <c r="J100" s="180" t="s">
        <v>190</v>
      </c>
      <c r="K100" s="243"/>
      <c r="L100" s="58">
        <v>0.2</v>
      </c>
      <c r="M100" s="59">
        <v>0.11</v>
      </c>
      <c r="N100" s="59">
        <f t="shared" si="5"/>
        <v>2.2000000000000002E-2</v>
      </c>
    </row>
    <row r="101" spans="1:14" ht="14.25" customHeight="1" x14ac:dyDescent="0.2">
      <c r="A101" s="180" t="s">
        <v>191</v>
      </c>
      <c r="B101" s="179" t="s">
        <v>178</v>
      </c>
      <c r="C101" s="178">
        <v>30311</v>
      </c>
      <c r="D101" s="296" t="s">
        <v>192</v>
      </c>
      <c r="E101" s="296"/>
      <c r="F101" s="296"/>
      <c r="G101" s="296"/>
      <c r="H101" s="296"/>
      <c r="I101" s="296"/>
      <c r="J101" s="180" t="s">
        <v>184</v>
      </c>
      <c r="K101" s="243"/>
      <c r="L101" s="58">
        <v>0.1</v>
      </c>
      <c r="M101" s="59">
        <v>0.06</v>
      </c>
      <c r="N101" s="59">
        <f t="shared" si="5"/>
        <v>6.0000000000000001E-3</v>
      </c>
    </row>
    <row r="102" spans="1:14" ht="14.25" customHeight="1" x14ac:dyDescent="0.2">
      <c r="A102" s="180" t="s">
        <v>193</v>
      </c>
      <c r="B102" s="179" t="s">
        <v>178</v>
      </c>
      <c r="C102" s="178">
        <v>30323</v>
      </c>
      <c r="D102" s="296" t="s">
        <v>194</v>
      </c>
      <c r="E102" s="296"/>
      <c r="F102" s="296"/>
      <c r="G102" s="296"/>
      <c r="H102" s="296"/>
      <c r="I102" s="296"/>
      <c r="J102" s="180" t="s">
        <v>187</v>
      </c>
      <c r="K102" s="243"/>
      <c r="L102" s="58">
        <v>0.1</v>
      </c>
      <c r="M102" s="59">
        <v>0.43</v>
      </c>
      <c r="N102" s="59">
        <f t="shared" si="5"/>
        <v>4.3000000000000003E-2</v>
      </c>
    </row>
    <row r="103" spans="1:14" ht="14.25" customHeight="1" x14ac:dyDescent="0.2">
      <c r="A103" s="180" t="s">
        <v>195</v>
      </c>
      <c r="B103" s="179" t="s">
        <v>178</v>
      </c>
      <c r="C103" s="178">
        <v>30333</v>
      </c>
      <c r="D103" s="296" t="s">
        <v>196</v>
      </c>
      <c r="E103" s="296"/>
      <c r="F103" s="296"/>
      <c r="G103" s="296"/>
      <c r="H103" s="296"/>
      <c r="I103" s="296"/>
      <c r="J103" s="180" t="s">
        <v>187</v>
      </c>
      <c r="K103" s="243"/>
      <c r="L103" s="58">
        <v>0.08</v>
      </c>
      <c r="M103" s="59">
        <v>0.42</v>
      </c>
      <c r="N103" s="59">
        <f t="shared" si="5"/>
        <v>3.3599999999999998E-2</v>
      </c>
    </row>
    <row r="104" spans="1:14" ht="14.25" customHeight="1" x14ac:dyDescent="0.2">
      <c r="A104" s="180" t="s">
        <v>197</v>
      </c>
      <c r="B104" s="179" t="s">
        <v>178</v>
      </c>
      <c r="C104" s="178">
        <v>30420</v>
      </c>
      <c r="D104" s="296" t="s">
        <v>198</v>
      </c>
      <c r="E104" s="296"/>
      <c r="F104" s="296"/>
      <c r="G104" s="296"/>
      <c r="H104" s="296"/>
      <c r="I104" s="296"/>
      <c r="J104" s="180" t="s">
        <v>187</v>
      </c>
      <c r="K104" s="243"/>
      <c r="L104" s="58">
        <v>4.0000000000000001E-3</v>
      </c>
      <c r="M104" s="59">
        <v>1.49</v>
      </c>
      <c r="N104" s="59">
        <f t="shared" si="5"/>
        <v>5.96E-3</v>
      </c>
    </row>
    <row r="105" spans="1:14" ht="14.25" customHeight="1" x14ac:dyDescent="0.2">
      <c r="A105" s="180" t="s">
        <v>199</v>
      </c>
      <c r="B105" s="179" t="s">
        <v>178</v>
      </c>
      <c r="C105" s="178">
        <v>30469</v>
      </c>
      <c r="D105" s="296" t="s">
        <v>200</v>
      </c>
      <c r="E105" s="296"/>
      <c r="F105" s="296"/>
      <c r="G105" s="296"/>
      <c r="H105" s="296"/>
      <c r="I105" s="296"/>
      <c r="J105" s="180" t="s">
        <v>187</v>
      </c>
      <c r="K105" s="243"/>
      <c r="L105" s="58">
        <v>0.01</v>
      </c>
      <c r="M105" s="59">
        <v>49.9</v>
      </c>
      <c r="N105" s="59">
        <f t="shared" si="5"/>
        <v>0.499</v>
      </c>
    </row>
    <row r="106" spans="1:14" ht="14.25" customHeight="1" x14ac:dyDescent="0.2">
      <c r="A106" s="180" t="s">
        <v>201</v>
      </c>
      <c r="B106" s="179" t="s">
        <v>178</v>
      </c>
      <c r="C106" s="178">
        <v>30620</v>
      </c>
      <c r="D106" s="296" t="s">
        <v>202</v>
      </c>
      <c r="E106" s="296"/>
      <c r="F106" s="296"/>
      <c r="G106" s="296"/>
      <c r="H106" s="296"/>
      <c r="I106" s="296"/>
      <c r="J106" s="180" t="s">
        <v>187</v>
      </c>
      <c r="K106" s="243"/>
      <c r="L106" s="58">
        <v>1E-3</v>
      </c>
      <c r="M106" s="59">
        <v>6.49</v>
      </c>
      <c r="N106" s="59">
        <f t="shared" si="5"/>
        <v>6.4900000000000001E-3</v>
      </c>
    </row>
    <row r="107" spans="1:14" ht="14.25" customHeight="1" x14ac:dyDescent="0.2">
      <c r="A107" s="180" t="s">
        <v>203</v>
      </c>
      <c r="B107" s="179" t="s">
        <v>178</v>
      </c>
      <c r="C107" s="178">
        <v>30725</v>
      </c>
      <c r="D107" s="296" t="s">
        <v>204</v>
      </c>
      <c r="E107" s="296"/>
      <c r="F107" s="296"/>
      <c r="G107" s="296"/>
      <c r="H107" s="296"/>
      <c r="I107" s="296"/>
      <c r="J107" s="180" t="s">
        <v>187</v>
      </c>
      <c r="K107" s="243"/>
      <c r="L107" s="58">
        <v>4.9000000000000002E-2</v>
      </c>
      <c r="M107" s="59">
        <v>1.34</v>
      </c>
      <c r="N107" s="59">
        <f t="shared" si="5"/>
        <v>6.566000000000001E-2</v>
      </c>
    </row>
    <row r="108" spans="1:14" ht="15" customHeight="1" x14ac:dyDescent="0.2">
      <c r="A108" s="175">
        <v>2</v>
      </c>
      <c r="B108" s="53"/>
      <c r="C108" s="175"/>
      <c r="D108" s="273" t="s">
        <v>205</v>
      </c>
      <c r="E108" s="273"/>
      <c r="F108" s="273"/>
      <c r="G108" s="273"/>
      <c r="H108" s="273"/>
      <c r="I108" s="273"/>
      <c r="J108" s="53" t="s">
        <v>97</v>
      </c>
      <c r="K108" s="53"/>
      <c r="L108" s="55"/>
      <c r="M108" s="55"/>
      <c r="N108" s="56">
        <f>SUM(N109:N110)</f>
        <v>195</v>
      </c>
    </row>
    <row r="109" spans="1:14" ht="14.25" customHeight="1" x14ac:dyDescent="0.2">
      <c r="A109" s="180" t="s">
        <v>206</v>
      </c>
      <c r="B109" s="179" t="s">
        <v>178</v>
      </c>
      <c r="C109" s="178">
        <v>19904</v>
      </c>
      <c r="D109" s="296" t="s">
        <v>207</v>
      </c>
      <c r="E109" s="296"/>
      <c r="F109" s="296"/>
      <c r="G109" s="296"/>
      <c r="H109" s="296"/>
      <c r="I109" s="296"/>
      <c r="J109" s="180" t="s">
        <v>187</v>
      </c>
      <c r="K109" s="243"/>
      <c r="L109" s="58">
        <v>1</v>
      </c>
      <c r="M109" s="59">
        <v>120</v>
      </c>
      <c r="N109" s="59">
        <f>L109*M109</f>
        <v>120</v>
      </c>
    </row>
    <row r="110" spans="1:14" ht="14.25" customHeight="1" x14ac:dyDescent="0.2">
      <c r="A110" s="180" t="s">
        <v>208</v>
      </c>
      <c r="B110" s="179" t="s">
        <v>178</v>
      </c>
      <c r="C110" s="178">
        <v>19907</v>
      </c>
      <c r="D110" s="296" t="s">
        <v>209</v>
      </c>
      <c r="E110" s="296"/>
      <c r="F110" s="296"/>
      <c r="G110" s="296"/>
      <c r="H110" s="296"/>
      <c r="I110" s="296"/>
      <c r="J110" s="180" t="s">
        <v>187</v>
      </c>
      <c r="K110" s="243"/>
      <c r="L110" s="58">
        <v>1</v>
      </c>
      <c r="M110" s="59">
        <v>75</v>
      </c>
      <c r="N110" s="59">
        <f>L110*M110</f>
        <v>75</v>
      </c>
    </row>
    <row r="111" spans="1:14" s="61" customFormat="1" ht="14.25" x14ac:dyDescent="0.2">
      <c r="A111" s="297"/>
      <c r="B111" s="297"/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</row>
    <row r="112" spans="1:14" ht="15" customHeight="1" x14ac:dyDescent="0.2">
      <c r="A112" s="298" t="s">
        <v>210</v>
      </c>
      <c r="B112" s="298"/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</row>
    <row r="113" spans="1:14" ht="15" customHeight="1" x14ac:dyDescent="0.2">
      <c r="A113" s="181" t="s">
        <v>2</v>
      </c>
      <c r="B113" s="299" t="s">
        <v>3</v>
      </c>
      <c r="C113" s="299"/>
      <c r="D113" s="299"/>
      <c r="E113" s="299"/>
      <c r="F113" s="299"/>
      <c r="G113" s="299"/>
      <c r="H113" s="299"/>
      <c r="I113" s="299"/>
      <c r="J113" s="175" t="s">
        <v>6</v>
      </c>
      <c r="K113" s="241"/>
      <c r="L113" s="175" t="s">
        <v>211</v>
      </c>
      <c r="M113" s="63" t="s">
        <v>212</v>
      </c>
      <c r="N113" s="63" t="s">
        <v>213</v>
      </c>
    </row>
    <row r="114" spans="1:14" ht="14.25" customHeight="1" x14ac:dyDescent="0.2">
      <c r="A114" s="17">
        <v>1</v>
      </c>
      <c r="B114" s="300" t="s">
        <v>214</v>
      </c>
      <c r="C114" s="300"/>
      <c r="D114" s="300"/>
      <c r="E114" s="300"/>
      <c r="F114" s="300"/>
      <c r="G114" s="300"/>
      <c r="H114" s="300"/>
      <c r="I114" s="300"/>
      <c r="J114" s="59">
        <f>N97</f>
        <v>1.25583</v>
      </c>
      <c r="K114" s="59">
        <f>J114*$J$133</f>
        <v>1.4319901155869987</v>
      </c>
      <c r="L114" s="25">
        <f>K114*I87</f>
        <v>10193.048841759815</v>
      </c>
      <c r="M114" s="25">
        <f t="shared" ref="M114:M119" si="6">12*L114</f>
        <v>122316.58610111778</v>
      </c>
      <c r="N114" s="64">
        <f>M114/M120</f>
        <v>0.63457021603196817</v>
      </c>
    </row>
    <row r="115" spans="1:14" ht="14.25" customHeight="1" x14ac:dyDescent="0.2">
      <c r="A115" s="17">
        <v>2</v>
      </c>
      <c r="B115" s="301" t="s">
        <v>215</v>
      </c>
      <c r="C115" s="301"/>
      <c r="D115" s="301"/>
      <c r="E115" s="301"/>
      <c r="F115" s="301"/>
      <c r="G115" s="301"/>
      <c r="H115" s="301"/>
      <c r="I115" s="301"/>
      <c r="J115" s="59">
        <v>1</v>
      </c>
      <c r="K115" s="59">
        <f t="shared" ref="K115:K119" si="7">J115*$J$133</f>
        <v>1.1402738552089047</v>
      </c>
      <c r="L115" s="25">
        <f>K115*N87</f>
        <v>271.84128708180293</v>
      </c>
      <c r="M115" s="25">
        <f t="shared" si="6"/>
        <v>3262.0954449816354</v>
      </c>
      <c r="N115" s="64">
        <f>M115/M120</f>
        <v>1.6923531609422338E-2</v>
      </c>
    </row>
    <row r="116" spans="1:14" ht="14.25" customHeight="1" x14ac:dyDescent="0.2">
      <c r="A116" s="17">
        <v>3</v>
      </c>
      <c r="B116" s="301" t="s">
        <v>216</v>
      </c>
      <c r="C116" s="301"/>
      <c r="D116" s="301"/>
      <c r="E116" s="301"/>
      <c r="F116" s="301"/>
      <c r="G116" s="301"/>
      <c r="H116" s="301"/>
      <c r="I116" s="301"/>
      <c r="J116" s="59">
        <f>N108*5</f>
        <v>975</v>
      </c>
      <c r="K116" s="59">
        <f t="shared" si="7"/>
        <v>1111.767008828682</v>
      </c>
      <c r="L116" s="25">
        <f>K116*M87</f>
        <v>4447.0680353147281</v>
      </c>
      <c r="M116" s="25">
        <f t="shared" si="6"/>
        <v>53364.816423776734</v>
      </c>
      <c r="N116" s="64">
        <f>M116/M120</f>
        <v>0.27685307582528146</v>
      </c>
    </row>
    <row r="117" spans="1:14" ht="14.25" customHeight="1" x14ac:dyDescent="0.2">
      <c r="A117" s="17">
        <v>4</v>
      </c>
      <c r="B117" s="300" t="s">
        <v>217</v>
      </c>
      <c r="C117" s="300"/>
      <c r="D117" s="300"/>
      <c r="E117" s="300"/>
      <c r="F117" s="300"/>
      <c r="G117" s="300"/>
      <c r="H117" s="300"/>
      <c r="I117" s="300"/>
      <c r="J117" s="59">
        <f>N97</f>
        <v>1.25583</v>
      </c>
      <c r="K117" s="59">
        <f t="shared" si="7"/>
        <v>1.4319901155869987</v>
      </c>
      <c r="L117" s="25">
        <f>K117*I94</f>
        <v>1122.6802506202071</v>
      </c>
      <c r="M117" s="25">
        <f t="shared" si="6"/>
        <v>13472.163007442485</v>
      </c>
      <c r="N117" s="64">
        <f>M117/M120</f>
        <v>6.9892674922951786E-2</v>
      </c>
    </row>
    <row r="118" spans="1:14" ht="14.25" customHeight="1" x14ac:dyDescent="0.2">
      <c r="A118" s="17">
        <v>5</v>
      </c>
      <c r="B118" s="301" t="s">
        <v>218</v>
      </c>
      <c r="C118" s="301"/>
      <c r="D118" s="301"/>
      <c r="E118" s="301"/>
      <c r="F118" s="301"/>
      <c r="G118" s="301"/>
      <c r="H118" s="301"/>
      <c r="I118" s="301"/>
      <c r="J118" s="59">
        <v>1</v>
      </c>
      <c r="K118" s="59">
        <f t="shared" si="7"/>
        <v>1.1402738552089047</v>
      </c>
      <c r="L118" s="25">
        <f>K118*N94</f>
        <v>28.278791609180836</v>
      </c>
      <c r="M118" s="25">
        <f t="shared" si="6"/>
        <v>339.34549931017</v>
      </c>
      <c r="N118" s="64">
        <f>M118/M120</f>
        <v>1.7605016103761485E-3</v>
      </c>
    </row>
    <row r="119" spans="1:14" ht="14.25" customHeight="1" x14ac:dyDescent="0.2">
      <c r="A119" s="17">
        <v>6</v>
      </c>
      <c r="B119" s="301" t="s">
        <v>219</v>
      </c>
      <c r="C119" s="301"/>
      <c r="D119" s="301"/>
      <c r="E119" s="301"/>
      <c r="F119" s="301"/>
      <c r="G119" s="301"/>
      <c r="H119" s="301"/>
      <c r="I119" s="301"/>
      <c r="J119" s="59">
        <f>N108*5</f>
        <v>975</v>
      </c>
      <c r="K119" s="59">
        <f t="shared" si="7"/>
        <v>1111.767008828682</v>
      </c>
      <c r="L119" s="25">
        <f>K119*M94</f>
        <v>0</v>
      </c>
      <c r="M119" s="25">
        <f t="shared" si="6"/>
        <v>0</v>
      </c>
      <c r="N119" s="64">
        <f>M119/M120</f>
        <v>0</v>
      </c>
    </row>
    <row r="120" spans="1:14" ht="15" customHeight="1" x14ac:dyDescent="0.2">
      <c r="A120" s="302" t="s">
        <v>171</v>
      </c>
      <c r="B120" s="302"/>
      <c r="C120" s="302"/>
      <c r="D120" s="302"/>
      <c r="E120" s="302"/>
      <c r="F120" s="302"/>
      <c r="G120" s="302"/>
      <c r="H120" s="302"/>
      <c r="I120" s="302"/>
      <c r="L120" s="201">
        <f>SUM(L114:L119)</f>
        <v>16062.917206385733</v>
      </c>
      <c r="M120" s="201">
        <f>SUM(M114:M119)</f>
        <v>192755.00647662883</v>
      </c>
      <c r="N120" s="65">
        <f>SUM(N114:N119)</f>
        <v>0.99999999999999978</v>
      </c>
    </row>
    <row r="122" spans="1:14" ht="25.5" x14ac:dyDescent="0.2">
      <c r="I122" s="248" t="s">
        <v>1034</v>
      </c>
    </row>
    <row r="124" spans="1:14" x14ac:dyDescent="0.2">
      <c r="I124" s="249" t="s">
        <v>1035</v>
      </c>
      <c r="J124"/>
      <c r="K124"/>
      <c r="L124"/>
    </row>
    <row r="125" spans="1:14" x14ac:dyDescent="0.2">
      <c r="I125" s="249" t="s">
        <v>1036</v>
      </c>
      <c r="J125"/>
      <c r="K125"/>
      <c r="L125"/>
    </row>
    <row r="126" spans="1:14" x14ac:dyDescent="0.2">
      <c r="I126" s="249" t="s">
        <v>1043</v>
      </c>
      <c r="J126" s="250" t="s">
        <v>1044</v>
      </c>
      <c r="K126" s="251"/>
      <c r="L126" s="251"/>
    </row>
    <row r="127" spans="1:14" ht="16.5" x14ac:dyDescent="0.3">
      <c r="I127" s="252" t="s">
        <v>1045</v>
      </c>
      <c r="J127" s="253">
        <v>1.26</v>
      </c>
      <c r="K127" s="254"/>
      <c r="L127" s="254"/>
    </row>
    <row r="128" spans="1:14" ht="16.5" x14ac:dyDescent="0.3">
      <c r="I128" s="249" t="s">
        <v>985</v>
      </c>
      <c r="J128" s="255">
        <v>3334.9659000000001</v>
      </c>
      <c r="K128" s="261"/>
      <c r="L128" t="s">
        <v>1041</v>
      </c>
    </row>
    <row r="129" spans="9:12" ht="16.5" x14ac:dyDescent="0.3">
      <c r="I129" s="249" t="s">
        <v>1037</v>
      </c>
      <c r="J129" s="255">
        <v>2924.7060999999999</v>
      </c>
      <c r="K129" s="261"/>
      <c r="L129" t="s">
        <v>1042</v>
      </c>
    </row>
    <row r="130" spans="9:12" ht="16.5" x14ac:dyDescent="0.3">
      <c r="I130" s="249"/>
      <c r="J130" s="253">
        <f>(J127*(J128-J129))/J129</f>
        <v>0.17674505756321993</v>
      </c>
      <c r="K130" s="254"/>
      <c r="L130" s="254"/>
    </row>
    <row r="131" spans="9:12" ht="16.5" x14ac:dyDescent="0.3">
      <c r="I131" s="249" t="s">
        <v>1038</v>
      </c>
      <c r="J131" s="256">
        <f>J127+J130</f>
        <v>1.4367450575632199</v>
      </c>
      <c r="K131" s="257"/>
      <c r="L131" s="257"/>
    </row>
    <row r="132" spans="9:12" ht="16.5" x14ac:dyDescent="0.3">
      <c r="I132"/>
      <c r="J132" s="258"/>
      <c r="K132" s="259"/>
      <c r="L132" s="259"/>
    </row>
    <row r="133" spans="9:12" ht="16.5" x14ac:dyDescent="0.3">
      <c r="I133"/>
      <c r="J133" s="258">
        <f>J131/J127</f>
        <v>1.1402738552089047</v>
      </c>
      <c r="K133" s="259"/>
      <c r="L133" s="259"/>
    </row>
    <row r="65536" ht="14.65" customHeight="1" x14ac:dyDescent="0.2"/>
  </sheetData>
  <mergeCells count="55">
    <mergeCell ref="B116:I116"/>
    <mergeCell ref="B117:I117"/>
    <mergeCell ref="B118:I118"/>
    <mergeCell ref="B119:I119"/>
    <mergeCell ref="A120:I120"/>
    <mergeCell ref="A111:N111"/>
    <mergeCell ref="A112:N112"/>
    <mergeCell ref="B113:I113"/>
    <mergeCell ref="B114:I114"/>
    <mergeCell ref="B115:I115"/>
    <mergeCell ref="D106:I106"/>
    <mergeCell ref="D107:I107"/>
    <mergeCell ref="D108:I108"/>
    <mergeCell ref="D109:I109"/>
    <mergeCell ref="D110:I110"/>
    <mergeCell ref="D101:I101"/>
    <mergeCell ref="D102:I102"/>
    <mergeCell ref="D103:I103"/>
    <mergeCell ref="D104:I104"/>
    <mergeCell ref="D105:I105"/>
    <mergeCell ref="D96:I96"/>
    <mergeCell ref="D97:I97"/>
    <mergeCell ref="D98:I98"/>
    <mergeCell ref="D99:I99"/>
    <mergeCell ref="D100:I100"/>
    <mergeCell ref="A87:F87"/>
    <mergeCell ref="A88:N88"/>
    <mergeCell ref="A89:N89"/>
    <mergeCell ref="A94:F94"/>
    <mergeCell ref="A95:N95"/>
    <mergeCell ref="A66:N66"/>
    <mergeCell ref="B67:B86"/>
    <mergeCell ref="C67:C71"/>
    <mergeCell ref="C72:C76"/>
    <mergeCell ref="C77:C81"/>
    <mergeCell ref="C82:C86"/>
    <mergeCell ref="A45:N45"/>
    <mergeCell ref="B46:B65"/>
    <mergeCell ref="C46:C50"/>
    <mergeCell ref="C51:C55"/>
    <mergeCell ref="C56:C60"/>
    <mergeCell ref="C61:C65"/>
    <mergeCell ref="A24:N24"/>
    <mergeCell ref="B25:B44"/>
    <mergeCell ref="C25:C29"/>
    <mergeCell ref="C30:C34"/>
    <mergeCell ref="C35:C39"/>
    <mergeCell ref="C40:C44"/>
    <mergeCell ref="A1:N1"/>
    <mergeCell ref="A2:N2"/>
    <mergeCell ref="B4:B23"/>
    <mergeCell ref="C4:C8"/>
    <mergeCell ref="C9:C13"/>
    <mergeCell ref="C14:C18"/>
    <mergeCell ref="C19:C23"/>
  </mergeCells>
  <conditionalFormatting sqref="E5 E93 E8:E23">
    <cfRule type="cellIs" dxfId="41" priority="2" operator="equal">
      <formula>"F"</formula>
    </cfRule>
  </conditionalFormatting>
  <conditionalFormatting sqref="E7 E9 E11">
    <cfRule type="cellIs" dxfId="40" priority="3" operator="equal">
      <formula>"F"</formula>
    </cfRule>
  </conditionalFormatting>
  <conditionalFormatting sqref="E7 E65">
    <cfRule type="cellIs" dxfId="39" priority="4" operator="equal">
      <formula>"F"</formula>
    </cfRule>
  </conditionalFormatting>
  <conditionalFormatting sqref="E65">
    <cfRule type="cellIs" dxfId="38" priority="5" operator="equal">
      <formula>"F"</formula>
    </cfRule>
  </conditionalFormatting>
  <conditionalFormatting sqref="E46:E64">
    <cfRule type="cellIs" dxfId="37" priority="6" operator="equal">
      <formula>"F"</formula>
    </cfRule>
  </conditionalFormatting>
  <conditionalFormatting sqref="E46:E64">
    <cfRule type="cellIs" dxfId="36" priority="7" operator="equal">
      <formula>"F"</formula>
    </cfRule>
  </conditionalFormatting>
  <conditionalFormatting sqref="E67">
    <cfRule type="cellIs" dxfId="35" priority="8" operator="equal">
      <formula>"F"</formula>
    </cfRule>
  </conditionalFormatting>
  <conditionalFormatting sqref="E67">
    <cfRule type="cellIs" dxfId="34" priority="9" operator="equal">
      <formula>"F"</formula>
    </cfRule>
  </conditionalFormatting>
  <conditionalFormatting sqref="H65 H68:H69">
    <cfRule type="expression" dxfId="33" priority="10">
      <formula>#REF!="f"</formula>
    </cfRule>
  </conditionalFormatting>
  <conditionalFormatting sqref="H5:H7">
    <cfRule type="expression" dxfId="32" priority="11">
      <formula>#REF!="f"</formula>
    </cfRule>
  </conditionalFormatting>
  <conditionalFormatting sqref="H9">
    <cfRule type="expression" dxfId="31" priority="12">
      <formula>#REF!="f"</formula>
    </cfRule>
  </conditionalFormatting>
  <conditionalFormatting sqref="H13">
    <cfRule type="expression" dxfId="30" priority="13">
      <formula>#REF!="f"</formula>
    </cfRule>
  </conditionalFormatting>
  <conditionalFormatting sqref="H10">
    <cfRule type="expression" dxfId="29" priority="14">
      <formula>#REF!="f"</formula>
    </cfRule>
  </conditionalFormatting>
  <conditionalFormatting sqref="H11">
    <cfRule type="expression" dxfId="28" priority="15">
      <formula>#REF!="f"</formula>
    </cfRule>
  </conditionalFormatting>
  <conditionalFormatting sqref="H12">
    <cfRule type="expression" dxfId="27" priority="16">
      <formula>#REF!="f"</formula>
    </cfRule>
  </conditionalFormatting>
  <conditionalFormatting sqref="H20">
    <cfRule type="expression" dxfId="26" priority="17">
      <formula>#REF!="f"</formula>
    </cfRule>
  </conditionalFormatting>
  <conditionalFormatting sqref="H58:H63 H46:H51">
    <cfRule type="expression" dxfId="25" priority="18">
      <formula>#REF!="f"</formula>
    </cfRule>
  </conditionalFormatting>
  <conditionalFormatting sqref="H55:H56">
    <cfRule type="expression" dxfId="24" priority="19">
      <formula>#REF!="f"</formula>
    </cfRule>
  </conditionalFormatting>
  <conditionalFormatting sqref="H54">
    <cfRule type="expression" dxfId="23" priority="20">
      <formula>#REF!="f"</formula>
    </cfRule>
  </conditionalFormatting>
  <conditionalFormatting sqref="H14">
    <cfRule type="expression" dxfId="22" priority="21">
      <formula>#REF!="f"</formula>
    </cfRule>
  </conditionalFormatting>
  <conditionalFormatting sqref="H15">
    <cfRule type="expression" dxfId="21" priority="22">
      <formula>#REF!="f"</formula>
    </cfRule>
  </conditionalFormatting>
  <conditionalFormatting sqref="H17">
    <cfRule type="expression" dxfId="20" priority="23">
      <formula>#REF!="f"</formula>
    </cfRule>
  </conditionalFormatting>
  <conditionalFormatting sqref="H16">
    <cfRule type="expression" dxfId="19" priority="24">
      <formula>#REF!="f"</formula>
    </cfRule>
  </conditionalFormatting>
  <conditionalFormatting sqref="H67">
    <cfRule type="expression" dxfId="18" priority="25">
      <formula>#REF!="f"</formula>
    </cfRule>
  </conditionalFormatting>
  <conditionalFormatting sqref="H21">
    <cfRule type="expression" dxfId="17" priority="26">
      <formula>#REF!="f"</formula>
    </cfRule>
  </conditionalFormatting>
  <conditionalFormatting sqref="H22">
    <cfRule type="expression" dxfId="16" priority="27">
      <formula>#REF!="f"</formula>
    </cfRule>
  </conditionalFormatting>
  <conditionalFormatting sqref="E8">
    <cfRule type="cellIs" dxfId="15" priority="28" operator="equal">
      <formula>"F"</formula>
    </cfRule>
  </conditionalFormatting>
  <conditionalFormatting sqref="H8">
    <cfRule type="expression" dxfId="14" priority="29">
      <formula>#REF!="f"</formula>
    </cfRule>
  </conditionalFormatting>
  <conditionalFormatting sqref="H23">
    <cfRule type="expression" dxfId="13" priority="30">
      <formula>#REF!="f"</formula>
    </cfRule>
  </conditionalFormatting>
  <conditionalFormatting sqref="H18">
    <cfRule type="expression" dxfId="12" priority="31">
      <formula>#REF!="f"</formula>
    </cfRule>
  </conditionalFormatting>
  <conditionalFormatting sqref="E25:E35">
    <cfRule type="cellIs" dxfId="11" priority="32" operator="equal">
      <formula>"F"</formula>
    </cfRule>
  </conditionalFormatting>
  <conditionalFormatting sqref="E34:E35">
    <cfRule type="cellIs" dxfId="10" priority="33" operator="equal">
      <formula>"F"</formula>
    </cfRule>
  </conditionalFormatting>
  <conditionalFormatting sqref="E36:E44">
    <cfRule type="cellIs" dxfId="9" priority="34" operator="equal">
      <formula>"F"</formula>
    </cfRule>
  </conditionalFormatting>
  <conditionalFormatting sqref="E36:E44">
    <cfRule type="cellIs" dxfId="8" priority="35" operator="equal">
      <formula>"F"</formula>
    </cfRule>
  </conditionalFormatting>
  <conditionalFormatting sqref="H34:H35">
    <cfRule type="expression" dxfId="7" priority="36">
      <formula>#REF!="f"</formula>
    </cfRule>
  </conditionalFormatting>
  <conditionalFormatting sqref="H32">
    <cfRule type="expression" dxfId="6" priority="37">
      <formula>#REF!="f"</formula>
    </cfRule>
  </conditionalFormatting>
  <conditionalFormatting sqref="H37:H44">
    <cfRule type="expression" dxfId="5" priority="38">
      <formula>#REF!="f"</formula>
    </cfRule>
  </conditionalFormatting>
  <conditionalFormatting sqref="H30">
    <cfRule type="expression" dxfId="4" priority="39">
      <formula>#REF!="f"</formula>
    </cfRule>
  </conditionalFormatting>
  <conditionalFormatting sqref="H31">
    <cfRule type="expression" dxfId="3" priority="40">
      <formula>#REF!="f"</formula>
    </cfRule>
  </conditionalFormatting>
  <conditionalFormatting sqref="H28">
    <cfRule type="expression" dxfId="2" priority="41">
      <formula>#REF!="f"</formula>
    </cfRule>
  </conditionalFormatting>
  <conditionalFormatting sqref="H29">
    <cfRule type="expression" dxfId="1" priority="42">
      <formula>#REF!="f"</formula>
    </cfRule>
  </conditionalFormatting>
  <conditionalFormatting sqref="H70:H85">
    <cfRule type="expression" dxfId="0" priority="43">
      <formula>#REF!="f"</formula>
    </cfRule>
  </conditionalFormatting>
  <printOptions horizontalCentered="1"/>
  <pageMargins left="0.78740157480314965" right="0.78740157480314965" top="0.9055118110236221" bottom="0.9055118110236221" header="0.51181102362204722" footer="0.51181102362204722"/>
  <pageSetup paperSize="9" scale="39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5" max="16383" man="1"/>
  </rowBreaks>
  <colBreaks count="1" manualBreakCount="1">
    <brk id="14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HY78"/>
  <sheetViews>
    <sheetView view="pageBreakPreview" topLeftCell="A69" zoomScale="90" zoomScaleNormal="60" zoomScalePageLayoutView="90" workbookViewId="0">
      <selection activeCell="B4" sqref="B4:B23"/>
    </sheetView>
  </sheetViews>
  <sheetFormatPr defaultRowHeight="14.25" x14ac:dyDescent="0.2"/>
  <cols>
    <col min="1" max="1" width="6.28515625" style="66" customWidth="1"/>
    <col min="2" max="2" width="52.85546875" style="66" customWidth="1"/>
    <col min="3" max="3" width="18" style="66" customWidth="1"/>
    <col min="4" max="4" width="14.5703125" style="66" customWidth="1"/>
    <col min="5" max="5" width="10.140625" style="66" customWidth="1"/>
    <col min="6" max="6" width="18.140625" style="66" customWidth="1"/>
    <col min="7" max="7" width="18.5703125" style="66" customWidth="1"/>
    <col min="8" max="8" width="18.42578125" style="66" customWidth="1"/>
    <col min="9" max="9" width="12.5703125" style="66" customWidth="1"/>
    <col min="10" max="10" width="11.85546875" style="66" customWidth="1"/>
    <col min="11" max="11" width="8.140625" style="66" customWidth="1"/>
    <col min="12" max="233" width="8.7109375" style="66" customWidth="1"/>
    <col min="234" max="1025" width="8.7109375" customWidth="1"/>
  </cols>
  <sheetData>
    <row r="1" spans="1:11" ht="20.25" customHeight="1" x14ac:dyDescent="0.2">
      <c r="A1" s="303" t="s">
        <v>220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 ht="15.75" customHeight="1" x14ac:dyDescent="0.2">
      <c r="A2" s="304" t="s">
        <v>2</v>
      </c>
      <c r="B2" s="304" t="s">
        <v>4</v>
      </c>
      <c r="C2" s="304" t="s">
        <v>221</v>
      </c>
      <c r="D2" s="304"/>
      <c r="E2" s="304"/>
      <c r="F2" s="304"/>
      <c r="G2" s="304"/>
      <c r="H2" s="304"/>
      <c r="I2" s="305" t="s">
        <v>222</v>
      </c>
      <c r="J2" s="305"/>
      <c r="K2" s="305"/>
    </row>
    <row r="3" spans="1:11" ht="60" x14ac:dyDescent="0.2">
      <c r="A3" s="304"/>
      <c r="B3" s="304"/>
      <c r="C3" s="68" t="s">
        <v>223</v>
      </c>
      <c r="D3" s="68" t="s">
        <v>224</v>
      </c>
      <c r="E3" s="69" t="s">
        <v>225</v>
      </c>
      <c r="F3" s="69" t="s">
        <v>226</v>
      </c>
      <c r="G3" s="15" t="s">
        <v>227</v>
      </c>
      <c r="H3" s="70" t="s">
        <v>228</v>
      </c>
      <c r="I3" s="15" t="s">
        <v>229</v>
      </c>
      <c r="J3" s="15" t="s">
        <v>230</v>
      </c>
      <c r="K3" s="15" t="s">
        <v>231</v>
      </c>
    </row>
    <row r="4" spans="1:11" ht="15" x14ac:dyDescent="0.2">
      <c r="A4" s="71">
        <v>1</v>
      </c>
      <c r="B4" s="72" t="s">
        <v>165</v>
      </c>
      <c r="C4" s="73">
        <v>2315.5500000000002</v>
      </c>
      <c r="D4" s="73">
        <v>2315.5500000000002</v>
      </c>
      <c r="E4" s="74">
        <v>50</v>
      </c>
      <c r="F4" s="73" t="s">
        <v>232</v>
      </c>
      <c r="G4" s="75">
        <f>C71</f>
        <v>0.752</v>
      </c>
      <c r="H4" s="76">
        <f t="shared" ref="H4:H35" si="0">1/2*((E4/65)+(E4/65)^2)+(1-1/2*((E4/65)+(E4/65)^2))*G4</f>
        <v>0.92075739644970411</v>
      </c>
      <c r="I4" s="77">
        <v>5</v>
      </c>
      <c r="J4" s="77">
        <f>I4</f>
        <v>5</v>
      </c>
      <c r="K4" s="306">
        <v>4</v>
      </c>
    </row>
    <row r="5" spans="1:11" x14ac:dyDescent="0.2">
      <c r="A5" s="71">
        <v>2</v>
      </c>
      <c r="B5" s="79" t="s">
        <v>166</v>
      </c>
      <c r="C5" s="73">
        <v>1102</v>
      </c>
      <c r="D5" s="73">
        <v>1102</v>
      </c>
      <c r="E5" s="74">
        <v>50</v>
      </c>
      <c r="F5" s="73" t="s">
        <v>232</v>
      </c>
      <c r="G5" s="75">
        <f>C71</f>
        <v>0.752</v>
      </c>
      <c r="H5" s="76">
        <f t="shared" si="0"/>
        <v>0.92075739644970411</v>
      </c>
      <c r="I5" s="77">
        <v>3</v>
      </c>
      <c r="J5" s="77">
        <f>I5</f>
        <v>3</v>
      </c>
      <c r="K5" s="306"/>
    </row>
    <row r="6" spans="1:11" x14ac:dyDescent="0.2">
      <c r="A6" s="71">
        <v>3</v>
      </c>
      <c r="B6" s="80" t="s">
        <v>147</v>
      </c>
      <c r="C6" s="81">
        <v>1426</v>
      </c>
      <c r="D6" s="81">
        <v>1426</v>
      </c>
      <c r="E6" s="82">
        <v>30</v>
      </c>
      <c r="F6" s="81" t="s">
        <v>233</v>
      </c>
      <c r="G6" s="83">
        <f>C68</f>
        <v>0.18099999999999999</v>
      </c>
      <c r="H6" s="84">
        <f t="shared" si="0"/>
        <v>0.45723076923076927</v>
      </c>
      <c r="I6" s="77">
        <v>1</v>
      </c>
      <c r="J6" s="307">
        <f>SUM(I6:I19)</f>
        <v>15</v>
      </c>
      <c r="K6" s="306">
        <v>3</v>
      </c>
    </row>
    <row r="7" spans="1:11" x14ac:dyDescent="0.2">
      <c r="A7" s="71">
        <v>4</v>
      </c>
      <c r="B7" s="80" t="s">
        <v>151</v>
      </c>
      <c r="C7" s="81">
        <v>136</v>
      </c>
      <c r="D7" s="81">
        <v>136</v>
      </c>
      <c r="E7" s="82">
        <v>30</v>
      </c>
      <c r="F7" s="81" t="s">
        <v>234</v>
      </c>
      <c r="G7" s="83">
        <f>C69</f>
        <v>0.33200000000000002</v>
      </c>
      <c r="H7" s="84">
        <f t="shared" si="0"/>
        <v>0.557301775147929</v>
      </c>
      <c r="I7" s="77">
        <v>1</v>
      </c>
      <c r="J7" s="307"/>
      <c r="K7" s="306"/>
    </row>
    <row r="8" spans="1:11" x14ac:dyDescent="0.2">
      <c r="A8" s="71">
        <v>5</v>
      </c>
      <c r="B8" s="80" t="s">
        <v>153</v>
      </c>
      <c r="C8" s="81">
        <v>240</v>
      </c>
      <c r="D8" s="81">
        <v>240</v>
      </c>
      <c r="E8" s="82">
        <v>30</v>
      </c>
      <c r="F8" s="81" t="s">
        <v>233</v>
      </c>
      <c r="G8" s="83">
        <f>C68</f>
        <v>0.18099999999999999</v>
      </c>
      <c r="H8" s="84">
        <f t="shared" si="0"/>
        <v>0.45723076923076927</v>
      </c>
      <c r="I8" s="77">
        <v>1</v>
      </c>
      <c r="J8" s="307"/>
      <c r="K8" s="306"/>
    </row>
    <row r="9" spans="1:11" x14ac:dyDescent="0.2">
      <c r="A9" s="71">
        <v>6</v>
      </c>
      <c r="B9" s="80" t="s">
        <v>152</v>
      </c>
      <c r="C9" s="81">
        <v>239</v>
      </c>
      <c r="D9" s="81">
        <v>239</v>
      </c>
      <c r="E9" s="82">
        <v>30</v>
      </c>
      <c r="F9" s="81" t="s">
        <v>233</v>
      </c>
      <c r="G9" s="83">
        <f>C68</f>
        <v>0.18099999999999999</v>
      </c>
      <c r="H9" s="84">
        <f t="shared" si="0"/>
        <v>0.45723076923076927</v>
      </c>
      <c r="I9" s="77">
        <v>1</v>
      </c>
      <c r="J9" s="307"/>
      <c r="K9" s="306"/>
    </row>
    <row r="10" spans="1:11" x14ac:dyDescent="0.2">
      <c r="A10" s="71">
        <v>7</v>
      </c>
      <c r="B10" s="80" t="s">
        <v>154</v>
      </c>
      <c r="C10" s="81">
        <v>150</v>
      </c>
      <c r="D10" s="81">
        <v>150</v>
      </c>
      <c r="E10" s="82">
        <v>30</v>
      </c>
      <c r="F10" s="81" t="s">
        <v>233</v>
      </c>
      <c r="G10" s="83">
        <f>C68</f>
        <v>0.18099999999999999</v>
      </c>
      <c r="H10" s="84">
        <f t="shared" si="0"/>
        <v>0.45723076923076927</v>
      </c>
      <c r="I10" s="77">
        <v>1</v>
      </c>
      <c r="J10" s="307"/>
      <c r="K10" s="306"/>
    </row>
    <row r="11" spans="1:11" x14ac:dyDescent="0.2">
      <c r="A11" s="71">
        <v>8</v>
      </c>
      <c r="B11" s="80" t="s">
        <v>156</v>
      </c>
      <c r="C11" s="81">
        <v>1884</v>
      </c>
      <c r="D11" s="81">
        <v>1037</v>
      </c>
      <c r="E11" s="82">
        <v>30</v>
      </c>
      <c r="F11" s="81" t="s">
        <v>234</v>
      </c>
      <c r="G11" s="83">
        <f>C69</f>
        <v>0.33200000000000002</v>
      </c>
      <c r="H11" s="84">
        <f t="shared" si="0"/>
        <v>0.557301775147929</v>
      </c>
      <c r="I11" s="77">
        <v>1</v>
      </c>
      <c r="J11" s="307"/>
      <c r="K11" s="306"/>
    </row>
    <row r="12" spans="1:11" x14ac:dyDescent="0.2">
      <c r="A12" s="71">
        <v>9</v>
      </c>
      <c r="B12" s="80" t="s">
        <v>163</v>
      </c>
      <c r="C12" s="81">
        <v>524</v>
      </c>
      <c r="D12" s="81">
        <v>524</v>
      </c>
      <c r="E12" s="82">
        <v>30</v>
      </c>
      <c r="F12" s="81" t="s">
        <v>233</v>
      </c>
      <c r="G12" s="83">
        <f>C68</f>
        <v>0.18099999999999999</v>
      </c>
      <c r="H12" s="84">
        <f t="shared" si="0"/>
        <v>0.45723076923076927</v>
      </c>
      <c r="I12" s="77">
        <v>1</v>
      </c>
      <c r="J12" s="307"/>
      <c r="K12" s="306"/>
    </row>
    <row r="13" spans="1:11" x14ac:dyDescent="0.2">
      <c r="A13" s="71">
        <v>10</v>
      </c>
      <c r="B13" s="80" t="s">
        <v>157</v>
      </c>
      <c r="C13" s="81">
        <v>177</v>
      </c>
      <c r="D13" s="81">
        <v>177</v>
      </c>
      <c r="E13" s="82">
        <v>30</v>
      </c>
      <c r="F13" s="81" t="s">
        <v>233</v>
      </c>
      <c r="G13" s="83">
        <f>C68</f>
        <v>0.18099999999999999</v>
      </c>
      <c r="H13" s="84">
        <f t="shared" si="0"/>
        <v>0.45723076923076927</v>
      </c>
      <c r="I13" s="77">
        <v>1</v>
      </c>
      <c r="J13" s="307"/>
      <c r="K13" s="306"/>
    </row>
    <row r="14" spans="1:11" x14ac:dyDescent="0.2">
      <c r="A14" s="71">
        <v>11</v>
      </c>
      <c r="B14" s="80" t="s">
        <v>164</v>
      </c>
      <c r="C14" s="81">
        <v>104</v>
      </c>
      <c r="D14" s="81">
        <v>104</v>
      </c>
      <c r="E14" s="82">
        <v>30</v>
      </c>
      <c r="F14" s="81" t="s">
        <v>233</v>
      </c>
      <c r="G14" s="83">
        <f>C68</f>
        <v>0.18099999999999999</v>
      </c>
      <c r="H14" s="84">
        <f t="shared" si="0"/>
        <v>0.45723076923076927</v>
      </c>
      <c r="I14" s="77">
        <v>1</v>
      </c>
      <c r="J14" s="307"/>
      <c r="K14" s="306"/>
    </row>
    <row r="15" spans="1:11" x14ac:dyDescent="0.2">
      <c r="A15" s="71">
        <v>12</v>
      </c>
      <c r="B15" s="80" t="s">
        <v>162</v>
      </c>
      <c r="C15" s="81">
        <v>432</v>
      </c>
      <c r="D15" s="81">
        <v>432</v>
      </c>
      <c r="E15" s="82">
        <v>30</v>
      </c>
      <c r="F15" s="81" t="s">
        <v>233</v>
      </c>
      <c r="G15" s="83">
        <f>C68</f>
        <v>0.18099999999999999</v>
      </c>
      <c r="H15" s="84">
        <f t="shared" si="0"/>
        <v>0.45723076923076927</v>
      </c>
      <c r="I15" s="77">
        <v>1</v>
      </c>
      <c r="J15" s="307"/>
      <c r="K15" s="306"/>
    </row>
    <row r="16" spans="1:11" x14ac:dyDescent="0.2">
      <c r="A16" s="71">
        <v>13</v>
      </c>
      <c r="B16" s="80" t="s">
        <v>150</v>
      </c>
      <c r="C16" s="81">
        <v>783.17</v>
      </c>
      <c r="D16" s="81">
        <v>783.17</v>
      </c>
      <c r="E16" s="82">
        <v>30</v>
      </c>
      <c r="F16" s="81" t="s">
        <v>233</v>
      </c>
      <c r="G16" s="83">
        <f>C68</f>
        <v>0.18099999999999999</v>
      </c>
      <c r="H16" s="84">
        <f t="shared" si="0"/>
        <v>0.45723076923076927</v>
      </c>
      <c r="I16" s="77">
        <v>1</v>
      </c>
      <c r="J16" s="307"/>
      <c r="K16" s="306"/>
    </row>
    <row r="17" spans="1:11" x14ac:dyDescent="0.2">
      <c r="A17" s="71">
        <v>14</v>
      </c>
      <c r="B17" s="80" t="s">
        <v>158</v>
      </c>
      <c r="C17" s="81">
        <v>104</v>
      </c>
      <c r="D17" s="81">
        <v>104</v>
      </c>
      <c r="E17" s="82">
        <v>30</v>
      </c>
      <c r="F17" s="81" t="s">
        <v>233</v>
      </c>
      <c r="G17" s="83">
        <f>C68</f>
        <v>0.18099999999999999</v>
      </c>
      <c r="H17" s="84">
        <f t="shared" si="0"/>
        <v>0.45723076923076927</v>
      </c>
      <c r="I17" s="77">
        <v>1</v>
      </c>
      <c r="J17" s="307"/>
      <c r="K17" s="306"/>
    </row>
    <row r="18" spans="1:11" x14ac:dyDescent="0.2">
      <c r="A18" s="71">
        <v>15</v>
      </c>
      <c r="B18" s="80" t="s">
        <v>160</v>
      </c>
      <c r="C18" s="81">
        <v>432</v>
      </c>
      <c r="D18" s="81">
        <v>432</v>
      </c>
      <c r="E18" s="82">
        <v>30</v>
      </c>
      <c r="F18" s="81" t="s">
        <v>233</v>
      </c>
      <c r="G18" s="83">
        <f>C68</f>
        <v>0.18099999999999999</v>
      </c>
      <c r="H18" s="84">
        <f t="shared" si="0"/>
        <v>0.45723076923076927</v>
      </c>
      <c r="I18" s="77">
        <v>1</v>
      </c>
      <c r="J18" s="307"/>
      <c r="K18" s="306"/>
    </row>
    <row r="19" spans="1:11" x14ac:dyDescent="0.2">
      <c r="A19" s="71">
        <v>16</v>
      </c>
      <c r="B19" s="80" t="s">
        <v>159</v>
      </c>
      <c r="C19" s="81">
        <v>2714</v>
      </c>
      <c r="D19" s="81">
        <v>2714</v>
      </c>
      <c r="E19" s="82">
        <v>30</v>
      </c>
      <c r="F19" s="81" t="s">
        <v>234</v>
      </c>
      <c r="G19" s="83">
        <f>C69</f>
        <v>0.33200000000000002</v>
      </c>
      <c r="H19" s="84">
        <f t="shared" si="0"/>
        <v>0.557301775147929</v>
      </c>
      <c r="I19" s="77">
        <v>2</v>
      </c>
      <c r="J19" s="307"/>
      <c r="K19" s="306"/>
    </row>
    <row r="20" spans="1:11" x14ac:dyDescent="0.2">
      <c r="A20" s="71">
        <v>17</v>
      </c>
      <c r="B20" s="80" t="s">
        <v>167</v>
      </c>
      <c r="C20" s="81">
        <v>762</v>
      </c>
      <c r="D20" s="81">
        <v>762</v>
      </c>
      <c r="E20" s="82">
        <v>40</v>
      </c>
      <c r="F20" s="81" t="s">
        <v>233</v>
      </c>
      <c r="G20" s="83">
        <f>C68</f>
        <v>0.18099999999999999</v>
      </c>
      <c r="H20" s="84">
        <f t="shared" si="0"/>
        <v>0.58807692307692305</v>
      </c>
      <c r="I20" s="77">
        <v>2</v>
      </c>
      <c r="J20" s="77">
        <f>I20</f>
        <v>2</v>
      </c>
      <c r="K20" s="78">
        <v>4</v>
      </c>
    </row>
    <row r="21" spans="1:11" x14ac:dyDescent="0.2">
      <c r="A21" s="71">
        <v>18</v>
      </c>
      <c r="B21" s="80" t="s">
        <v>149</v>
      </c>
      <c r="C21" s="81">
        <v>99</v>
      </c>
      <c r="D21" s="81">
        <v>99</v>
      </c>
      <c r="E21" s="82">
        <v>50</v>
      </c>
      <c r="F21" s="81" t="s">
        <v>232</v>
      </c>
      <c r="G21" s="83">
        <f>C71</f>
        <v>0.752</v>
      </c>
      <c r="H21" s="84">
        <f t="shared" si="0"/>
        <v>0.92075739644970411</v>
      </c>
      <c r="I21" s="77">
        <v>1</v>
      </c>
      <c r="J21" s="307">
        <f>SUM(I21:I23)</f>
        <v>5</v>
      </c>
      <c r="K21" s="306">
        <v>3</v>
      </c>
    </row>
    <row r="22" spans="1:11" x14ac:dyDescent="0.2">
      <c r="A22" s="71">
        <v>19</v>
      </c>
      <c r="B22" s="80" t="s">
        <v>155</v>
      </c>
      <c r="C22" s="81">
        <v>2807</v>
      </c>
      <c r="D22" s="81">
        <v>2807</v>
      </c>
      <c r="E22" s="82">
        <v>50</v>
      </c>
      <c r="F22" s="81" t="s">
        <v>232</v>
      </c>
      <c r="G22" s="83">
        <f>C71</f>
        <v>0.752</v>
      </c>
      <c r="H22" s="84">
        <f t="shared" si="0"/>
        <v>0.92075739644970411</v>
      </c>
      <c r="I22" s="77">
        <v>3</v>
      </c>
      <c r="J22" s="307"/>
      <c r="K22" s="306"/>
    </row>
    <row r="23" spans="1:11" x14ac:dyDescent="0.2">
      <c r="A23" s="71">
        <v>20</v>
      </c>
      <c r="B23" s="80" t="s">
        <v>161</v>
      </c>
      <c r="C23" s="81">
        <v>330</v>
      </c>
      <c r="D23" s="81">
        <v>330</v>
      </c>
      <c r="E23" s="82">
        <v>7</v>
      </c>
      <c r="F23" s="81" t="s">
        <v>235</v>
      </c>
      <c r="G23" s="83">
        <f>C66</f>
        <v>2.52E-2</v>
      </c>
      <c r="H23" s="84">
        <f t="shared" si="0"/>
        <v>8.3341917159763315E-2</v>
      </c>
      <c r="I23" s="77">
        <v>1</v>
      </c>
      <c r="J23" s="307"/>
      <c r="K23" s="306"/>
    </row>
    <row r="24" spans="1:11" ht="15" x14ac:dyDescent="0.2">
      <c r="A24" s="71">
        <v>21</v>
      </c>
      <c r="B24" s="72" t="s">
        <v>115</v>
      </c>
      <c r="C24" s="73">
        <v>7836.1</v>
      </c>
      <c r="D24" s="73">
        <v>7836.1</v>
      </c>
      <c r="E24" s="74">
        <v>50</v>
      </c>
      <c r="F24" s="73" t="s">
        <v>233</v>
      </c>
      <c r="G24" s="75">
        <f>C68</f>
        <v>0.18099999999999999</v>
      </c>
      <c r="H24" s="76">
        <f t="shared" si="0"/>
        <v>0.73830769230769233</v>
      </c>
      <c r="I24" s="77">
        <v>3</v>
      </c>
      <c r="J24" s="307">
        <f>SUM(I24:I38)</f>
        <v>18</v>
      </c>
      <c r="K24" s="306">
        <v>1</v>
      </c>
    </row>
    <row r="25" spans="1:11" x14ac:dyDescent="0.2">
      <c r="A25" s="71">
        <v>22</v>
      </c>
      <c r="B25" s="79" t="s">
        <v>120</v>
      </c>
      <c r="C25" s="73">
        <v>407.71</v>
      </c>
      <c r="D25" s="73">
        <v>407.71</v>
      </c>
      <c r="E25" s="74">
        <v>23</v>
      </c>
      <c r="F25" s="73" t="s">
        <v>236</v>
      </c>
      <c r="G25" s="75">
        <f>C64</f>
        <v>0</v>
      </c>
      <c r="H25" s="76">
        <f t="shared" si="0"/>
        <v>0.23952662721893492</v>
      </c>
      <c r="I25" s="77">
        <v>1</v>
      </c>
      <c r="J25" s="307"/>
      <c r="K25" s="306"/>
    </row>
    <row r="26" spans="1:11" x14ac:dyDescent="0.2">
      <c r="A26" s="71">
        <v>23</v>
      </c>
      <c r="B26" s="79" t="s">
        <v>122</v>
      </c>
      <c r="C26" s="73">
        <v>519.22</v>
      </c>
      <c r="D26" s="73">
        <v>519.22</v>
      </c>
      <c r="E26" s="74">
        <v>17</v>
      </c>
      <c r="F26" s="73" t="s">
        <v>234</v>
      </c>
      <c r="G26" s="75">
        <f>C69</f>
        <v>0.33200000000000002</v>
      </c>
      <c r="H26" s="76">
        <f t="shared" si="0"/>
        <v>0.44220023668639052</v>
      </c>
      <c r="I26" s="77">
        <v>1</v>
      </c>
      <c r="J26" s="307"/>
      <c r="K26" s="306"/>
    </row>
    <row r="27" spans="1:11" x14ac:dyDescent="0.2">
      <c r="A27" s="71">
        <v>24</v>
      </c>
      <c r="B27" s="79" t="s">
        <v>128</v>
      </c>
      <c r="C27" s="73">
        <v>426</v>
      </c>
      <c r="D27" s="73">
        <v>426</v>
      </c>
      <c r="E27" s="74">
        <v>27</v>
      </c>
      <c r="F27" s="73" t="s">
        <v>236</v>
      </c>
      <c r="G27" s="75">
        <f>C64</f>
        <v>0</v>
      </c>
      <c r="H27" s="76">
        <f t="shared" si="0"/>
        <v>0.29396449704142014</v>
      </c>
      <c r="I27" s="77">
        <v>1</v>
      </c>
      <c r="J27" s="307"/>
      <c r="K27" s="306"/>
    </row>
    <row r="28" spans="1:11" x14ac:dyDescent="0.2">
      <c r="A28" s="71">
        <v>25</v>
      </c>
      <c r="B28" s="79" t="s">
        <v>130</v>
      </c>
      <c r="C28" s="73">
        <v>176</v>
      </c>
      <c r="D28" s="73">
        <v>176</v>
      </c>
      <c r="E28" s="74">
        <v>27</v>
      </c>
      <c r="F28" s="73" t="s">
        <v>234</v>
      </c>
      <c r="G28" s="75">
        <f>C69</f>
        <v>0.33200000000000002</v>
      </c>
      <c r="H28" s="76">
        <f t="shared" si="0"/>
        <v>0.52836828402366864</v>
      </c>
      <c r="I28" s="77">
        <v>1</v>
      </c>
      <c r="J28" s="307"/>
      <c r="K28" s="306"/>
    </row>
    <row r="29" spans="1:11" x14ac:dyDescent="0.2">
      <c r="A29" s="71">
        <v>26</v>
      </c>
      <c r="B29" s="79" t="s">
        <v>123</v>
      </c>
      <c r="C29" s="73">
        <v>1291.1300000000001</v>
      </c>
      <c r="D29" s="73">
        <v>1291.1300000000001</v>
      </c>
      <c r="E29" s="74">
        <v>24</v>
      </c>
      <c r="F29" s="73" t="s">
        <v>234</v>
      </c>
      <c r="G29" s="75">
        <f>C69</f>
        <v>0.33200000000000002</v>
      </c>
      <c r="H29" s="76">
        <f t="shared" si="0"/>
        <v>0.50085775147929001</v>
      </c>
      <c r="I29" s="77">
        <v>1</v>
      </c>
      <c r="J29" s="307"/>
      <c r="K29" s="306"/>
    </row>
    <row r="30" spans="1:11" x14ac:dyDescent="0.2">
      <c r="A30" s="71">
        <v>27</v>
      </c>
      <c r="B30" s="79" t="s">
        <v>126</v>
      </c>
      <c r="C30" s="73">
        <v>554.29</v>
      </c>
      <c r="D30" s="73">
        <v>554.29</v>
      </c>
      <c r="E30" s="74">
        <v>15</v>
      </c>
      <c r="F30" s="73" t="s">
        <v>234</v>
      </c>
      <c r="G30" s="75">
        <f>C69</f>
        <v>0.33200000000000002</v>
      </c>
      <c r="H30" s="76">
        <f t="shared" si="0"/>
        <v>0.42686390532544377</v>
      </c>
      <c r="I30" s="77">
        <v>1</v>
      </c>
      <c r="J30" s="307"/>
      <c r="K30" s="306"/>
    </row>
    <row r="31" spans="1:11" x14ac:dyDescent="0.2">
      <c r="A31" s="71">
        <v>28</v>
      </c>
      <c r="B31" s="79" t="s">
        <v>127</v>
      </c>
      <c r="C31" s="73">
        <v>674</v>
      </c>
      <c r="D31" s="73">
        <v>674</v>
      </c>
      <c r="E31" s="74">
        <v>22</v>
      </c>
      <c r="F31" s="73" t="s">
        <v>234</v>
      </c>
      <c r="G31" s="75">
        <f>C69</f>
        <v>0.33200000000000002</v>
      </c>
      <c r="H31" s="76">
        <f t="shared" si="0"/>
        <v>0.48330792899408292</v>
      </c>
      <c r="I31" s="77">
        <v>1</v>
      </c>
      <c r="J31" s="307"/>
      <c r="K31" s="306"/>
    </row>
    <row r="32" spans="1:11" x14ac:dyDescent="0.2">
      <c r="A32" s="71">
        <v>29</v>
      </c>
      <c r="B32" s="79" t="s">
        <v>125</v>
      </c>
      <c r="C32" s="73">
        <v>6033</v>
      </c>
      <c r="D32" s="73">
        <v>6033</v>
      </c>
      <c r="E32" s="74">
        <v>70</v>
      </c>
      <c r="F32" s="73" t="s">
        <v>234</v>
      </c>
      <c r="G32" s="75">
        <f>C69</f>
        <v>0.33200000000000002</v>
      </c>
      <c r="H32" s="76">
        <f t="shared" si="0"/>
        <v>1.0790532544378697</v>
      </c>
      <c r="I32" s="77">
        <v>2</v>
      </c>
      <c r="J32" s="307"/>
      <c r="K32" s="306"/>
    </row>
    <row r="33" spans="1:11" x14ac:dyDescent="0.2">
      <c r="A33" s="71">
        <v>30</v>
      </c>
      <c r="B33" s="79" t="s">
        <v>131</v>
      </c>
      <c r="C33" s="73">
        <v>374.63</v>
      </c>
      <c r="D33" s="73">
        <v>374.63</v>
      </c>
      <c r="E33" s="74">
        <v>21</v>
      </c>
      <c r="F33" s="73" t="s">
        <v>233</v>
      </c>
      <c r="G33" s="75">
        <f>C68</f>
        <v>0.18099999999999999</v>
      </c>
      <c r="H33" s="76">
        <f t="shared" si="0"/>
        <v>0.35604307692307691</v>
      </c>
      <c r="I33" s="77">
        <v>1</v>
      </c>
      <c r="J33" s="307"/>
      <c r="K33" s="306"/>
    </row>
    <row r="34" spans="1:11" x14ac:dyDescent="0.2">
      <c r="A34" s="71">
        <v>31</v>
      </c>
      <c r="B34" s="79" t="s">
        <v>129</v>
      </c>
      <c r="C34" s="73">
        <v>626.45000000000005</v>
      </c>
      <c r="D34" s="73">
        <v>626.45000000000005</v>
      </c>
      <c r="E34" s="74">
        <v>21</v>
      </c>
      <c r="F34" s="73" t="s">
        <v>233</v>
      </c>
      <c r="G34" s="75">
        <f>C68</f>
        <v>0.18099999999999999</v>
      </c>
      <c r="H34" s="76">
        <f t="shared" si="0"/>
        <v>0.35604307692307691</v>
      </c>
      <c r="I34" s="77">
        <v>1</v>
      </c>
      <c r="J34" s="307"/>
      <c r="K34" s="306"/>
    </row>
    <row r="35" spans="1:11" x14ac:dyDescent="0.2">
      <c r="A35" s="71">
        <v>32</v>
      </c>
      <c r="B35" s="79" t="s">
        <v>119</v>
      </c>
      <c r="C35" s="73">
        <v>821.75</v>
      </c>
      <c r="D35" s="73">
        <v>821.75</v>
      </c>
      <c r="E35" s="74">
        <v>21</v>
      </c>
      <c r="F35" s="73" t="s">
        <v>234</v>
      </c>
      <c r="G35" s="75">
        <f>C69</f>
        <v>0.33200000000000002</v>
      </c>
      <c r="H35" s="76">
        <f t="shared" si="0"/>
        <v>0.47477017751479295</v>
      </c>
      <c r="I35" s="77">
        <v>1</v>
      </c>
      <c r="J35" s="307"/>
      <c r="K35" s="306"/>
    </row>
    <row r="36" spans="1:11" x14ac:dyDescent="0.2">
      <c r="A36" s="71">
        <v>33</v>
      </c>
      <c r="B36" s="79" t="s">
        <v>118</v>
      </c>
      <c r="C36" s="73">
        <v>861.41</v>
      </c>
      <c r="D36" s="73">
        <v>861.41</v>
      </c>
      <c r="E36" s="74">
        <v>12</v>
      </c>
      <c r="F36" s="73" t="s">
        <v>233</v>
      </c>
      <c r="G36" s="75">
        <f>C68</f>
        <v>0.18099999999999999</v>
      </c>
      <c r="H36" s="76">
        <f t="shared" ref="H36:H56" si="1">1/2*((E36/65)+(E36/65)^2)+(1-1/2*((E36/65)+(E36/65)^2))*G36</f>
        <v>0.27055692307692308</v>
      </c>
      <c r="I36" s="77">
        <v>1</v>
      </c>
      <c r="J36" s="307"/>
      <c r="K36" s="306"/>
    </row>
    <row r="37" spans="1:11" x14ac:dyDescent="0.2">
      <c r="A37" s="71">
        <v>34</v>
      </c>
      <c r="B37" s="79" t="s">
        <v>124</v>
      </c>
      <c r="C37" s="73">
        <v>330</v>
      </c>
      <c r="D37" s="73">
        <v>330</v>
      </c>
      <c r="E37" s="74">
        <v>7</v>
      </c>
      <c r="F37" s="73" t="s">
        <v>235</v>
      </c>
      <c r="G37" s="75">
        <f>C66</f>
        <v>2.52E-2</v>
      </c>
      <c r="H37" s="76">
        <f t="shared" si="1"/>
        <v>8.3341917159763315E-2</v>
      </c>
      <c r="I37" s="77">
        <v>1</v>
      </c>
      <c r="J37" s="307"/>
      <c r="K37" s="306"/>
    </row>
    <row r="38" spans="1:11" x14ac:dyDescent="0.2">
      <c r="A38" s="71">
        <v>35</v>
      </c>
      <c r="B38" s="79" t="s">
        <v>117</v>
      </c>
      <c r="C38" s="73">
        <v>318</v>
      </c>
      <c r="D38" s="73">
        <v>318</v>
      </c>
      <c r="E38" s="74">
        <v>7</v>
      </c>
      <c r="F38" s="73" t="s">
        <v>234</v>
      </c>
      <c r="G38" s="75">
        <f>C69</f>
        <v>0.33200000000000002</v>
      </c>
      <c r="H38" s="76">
        <f t="shared" si="1"/>
        <v>0.37184284023668646</v>
      </c>
      <c r="I38" s="77">
        <v>1</v>
      </c>
      <c r="J38" s="307"/>
      <c r="K38" s="306"/>
    </row>
    <row r="39" spans="1:11" ht="15" x14ac:dyDescent="0.2">
      <c r="A39" s="71">
        <v>36</v>
      </c>
      <c r="B39" s="85" t="s">
        <v>168</v>
      </c>
      <c r="C39" s="81">
        <v>2356.92</v>
      </c>
      <c r="D39" s="81">
        <v>2356.92</v>
      </c>
      <c r="E39" s="82">
        <v>47</v>
      </c>
      <c r="F39" s="81" t="s">
        <v>233</v>
      </c>
      <c r="G39" s="83">
        <f>C68</f>
        <v>0.18099999999999999</v>
      </c>
      <c r="H39" s="84">
        <f t="shared" si="1"/>
        <v>0.69120307692307692</v>
      </c>
      <c r="I39" s="77">
        <v>3</v>
      </c>
      <c r="J39" s="77">
        <f>I39</f>
        <v>3</v>
      </c>
      <c r="K39" s="307">
        <v>4</v>
      </c>
    </row>
    <row r="40" spans="1:11" x14ac:dyDescent="0.2">
      <c r="A40" s="71">
        <v>37</v>
      </c>
      <c r="B40" s="80" t="s">
        <v>169</v>
      </c>
      <c r="C40" s="81">
        <v>655.71</v>
      </c>
      <c r="D40" s="81">
        <v>655.71</v>
      </c>
      <c r="E40" s="82">
        <v>78</v>
      </c>
      <c r="F40" s="81" t="s">
        <v>234</v>
      </c>
      <c r="G40" s="83">
        <f>C69</f>
        <v>0.33200000000000002</v>
      </c>
      <c r="H40" s="84">
        <f t="shared" si="1"/>
        <v>1.21376</v>
      </c>
      <c r="I40" s="77">
        <v>1</v>
      </c>
      <c r="J40" s="77">
        <f>I40</f>
        <v>1</v>
      </c>
      <c r="K40" s="307"/>
    </row>
    <row r="41" spans="1:11" x14ac:dyDescent="0.2">
      <c r="A41" s="71">
        <v>38</v>
      </c>
      <c r="B41" s="80" t="s">
        <v>132</v>
      </c>
      <c r="C41" s="81">
        <v>3959.6</v>
      </c>
      <c r="D41" s="81">
        <v>3959.6</v>
      </c>
      <c r="E41" s="82">
        <v>37</v>
      </c>
      <c r="F41" s="81" t="s">
        <v>234</v>
      </c>
      <c r="G41" s="83">
        <f>C69</f>
        <v>0.33200000000000002</v>
      </c>
      <c r="H41" s="84">
        <f t="shared" si="1"/>
        <v>0.6303469822485207</v>
      </c>
      <c r="I41" s="77">
        <v>2</v>
      </c>
      <c r="J41" s="307">
        <f>SUM(I41:I54)</f>
        <v>18</v>
      </c>
      <c r="K41" s="307">
        <v>2</v>
      </c>
    </row>
    <row r="42" spans="1:11" x14ac:dyDescent="0.2">
      <c r="A42" s="71">
        <v>39</v>
      </c>
      <c r="B42" s="80" t="s">
        <v>117</v>
      </c>
      <c r="C42" s="81">
        <v>2600.5500000000002</v>
      </c>
      <c r="D42" s="81">
        <v>2600.5500000000002</v>
      </c>
      <c r="E42" s="82">
        <v>37</v>
      </c>
      <c r="F42" s="81" t="s">
        <v>234</v>
      </c>
      <c r="G42" s="83">
        <f>C69</f>
        <v>0.33200000000000002</v>
      </c>
      <c r="H42" s="84">
        <f t="shared" si="1"/>
        <v>0.6303469822485207</v>
      </c>
      <c r="I42" s="77">
        <v>2</v>
      </c>
      <c r="J42" s="307"/>
      <c r="K42" s="307"/>
    </row>
    <row r="43" spans="1:11" x14ac:dyDescent="0.2">
      <c r="A43" s="71">
        <v>40</v>
      </c>
      <c r="B43" s="80" t="s">
        <v>134</v>
      </c>
      <c r="C43" s="81">
        <v>980</v>
      </c>
      <c r="D43" s="81">
        <v>980</v>
      </c>
      <c r="E43" s="82">
        <v>65</v>
      </c>
      <c r="F43" s="81" t="s">
        <v>233</v>
      </c>
      <c r="G43" s="83">
        <f>C68</f>
        <v>0.18099999999999999</v>
      </c>
      <c r="H43" s="84">
        <f t="shared" si="1"/>
        <v>1</v>
      </c>
      <c r="I43" s="77">
        <v>1</v>
      </c>
      <c r="J43" s="307"/>
      <c r="K43" s="307"/>
    </row>
    <row r="44" spans="1:11" x14ac:dyDescent="0.2">
      <c r="A44" s="71">
        <v>41</v>
      </c>
      <c r="B44" s="80" t="s">
        <v>135</v>
      </c>
      <c r="C44" s="81">
        <v>674.86</v>
      </c>
      <c r="D44" s="81">
        <v>674.86</v>
      </c>
      <c r="E44" s="82">
        <v>27</v>
      </c>
      <c r="F44" s="81" t="s">
        <v>234</v>
      </c>
      <c r="G44" s="83">
        <f>C69</f>
        <v>0.33200000000000002</v>
      </c>
      <c r="H44" s="84">
        <f t="shared" si="1"/>
        <v>0.52836828402366864</v>
      </c>
      <c r="I44" s="77">
        <v>1</v>
      </c>
      <c r="J44" s="307"/>
      <c r="K44" s="307"/>
    </row>
    <row r="45" spans="1:11" x14ac:dyDescent="0.2">
      <c r="A45" s="71">
        <v>42</v>
      </c>
      <c r="B45" s="80" t="s">
        <v>136</v>
      </c>
      <c r="C45" s="81">
        <v>4295.0600000000004</v>
      </c>
      <c r="D45" s="81">
        <v>4295.0600000000004</v>
      </c>
      <c r="E45" s="82">
        <v>12.1</v>
      </c>
      <c r="F45" s="81" t="s">
        <v>234</v>
      </c>
      <c r="G45" s="83">
        <f>C69</f>
        <v>0.33200000000000002</v>
      </c>
      <c r="H45" s="84">
        <f t="shared" si="1"/>
        <v>0.40574957159763314</v>
      </c>
      <c r="I45" s="77">
        <v>2</v>
      </c>
      <c r="J45" s="307"/>
      <c r="K45" s="307"/>
    </row>
    <row r="46" spans="1:11" x14ac:dyDescent="0.2">
      <c r="A46" s="71">
        <v>43</v>
      </c>
      <c r="B46" s="80" t="s">
        <v>139</v>
      </c>
      <c r="C46" s="81">
        <v>214.7</v>
      </c>
      <c r="D46" s="81">
        <v>214.7</v>
      </c>
      <c r="E46" s="82">
        <v>38</v>
      </c>
      <c r="F46" s="81" t="s">
        <v>233</v>
      </c>
      <c r="G46" s="83">
        <f>C68</f>
        <v>0.18099999999999999</v>
      </c>
      <c r="H46" s="84">
        <f t="shared" si="1"/>
        <v>0.56035692307692309</v>
      </c>
      <c r="I46" s="77">
        <v>1</v>
      </c>
      <c r="J46" s="307"/>
      <c r="K46" s="307"/>
    </row>
    <row r="47" spans="1:11" x14ac:dyDescent="0.2">
      <c r="A47" s="71">
        <v>44</v>
      </c>
      <c r="B47" s="80" t="s">
        <v>140</v>
      </c>
      <c r="C47" s="81">
        <v>818.88</v>
      </c>
      <c r="D47" s="81">
        <v>818.88</v>
      </c>
      <c r="E47" s="82">
        <v>36</v>
      </c>
      <c r="F47" s="81" t="s">
        <v>234</v>
      </c>
      <c r="G47" s="83">
        <f>C69</f>
        <v>0.33200000000000002</v>
      </c>
      <c r="H47" s="84">
        <f t="shared" si="1"/>
        <v>0.61943763313609468</v>
      </c>
      <c r="I47" s="77">
        <v>1</v>
      </c>
      <c r="J47" s="307"/>
      <c r="K47" s="307"/>
    </row>
    <row r="48" spans="1:11" x14ac:dyDescent="0.2">
      <c r="A48" s="71">
        <v>45</v>
      </c>
      <c r="B48" s="80" t="s">
        <v>141</v>
      </c>
      <c r="C48" s="81">
        <v>382.94</v>
      </c>
      <c r="D48" s="81">
        <v>382.94</v>
      </c>
      <c r="E48" s="82">
        <v>43</v>
      </c>
      <c r="F48" s="81" t="s">
        <v>233</v>
      </c>
      <c r="G48" s="83">
        <f>C68</f>
        <v>0.18099999999999999</v>
      </c>
      <c r="H48" s="84">
        <f t="shared" si="1"/>
        <v>0.63111076923076914</v>
      </c>
      <c r="I48" s="77">
        <v>1</v>
      </c>
      <c r="J48" s="307"/>
      <c r="K48" s="307"/>
    </row>
    <row r="49" spans="1:11" x14ac:dyDescent="0.2">
      <c r="A49" s="71">
        <v>46</v>
      </c>
      <c r="B49" s="80" t="s">
        <v>143</v>
      </c>
      <c r="C49" s="81">
        <v>340.8</v>
      </c>
      <c r="D49" s="81">
        <v>340.8</v>
      </c>
      <c r="E49" s="82">
        <v>8</v>
      </c>
      <c r="F49" s="81" t="s">
        <v>233</v>
      </c>
      <c r="G49" s="83">
        <f>C68</f>
        <v>0.18099999999999999</v>
      </c>
      <c r="H49" s="84">
        <f t="shared" si="1"/>
        <v>0.23760307692307692</v>
      </c>
      <c r="I49" s="77">
        <v>1</v>
      </c>
      <c r="J49" s="307"/>
      <c r="K49" s="307"/>
    </row>
    <row r="50" spans="1:11" x14ac:dyDescent="0.2">
      <c r="A50" s="71">
        <v>47</v>
      </c>
      <c r="B50" s="80" t="s">
        <v>144</v>
      </c>
      <c r="C50" s="81">
        <v>330</v>
      </c>
      <c r="D50" s="81">
        <v>330</v>
      </c>
      <c r="E50" s="82">
        <v>8</v>
      </c>
      <c r="F50" s="81" t="s">
        <v>233</v>
      </c>
      <c r="G50" s="83">
        <f>C68</f>
        <v>0.18099999999999999</v>
      </c>
      <c r="H50" s="84">
        <f t="shared" si="1"/>
        <v>0.23760307692307692</v>
      </c>
      <c r="I50" s="77">
        <v>1</v>
      </c>
      <c r="J50" s="307"/>
      <c r="K50" s="307"/>
    </row>
    <row r="51" spans="1:11" ht="15" customHeight="1" x14ac:dyDescent="0.2">
      <c r="A51" s="71">
        <v>48</v>
      </c>
      <c r="B51" s="80" t="s">
        <v>145</v>
      </c>
      <c r="C51" s="81">
        <v>218.2</v>
      </c>
      <c r="D51" s="81">
        <v>218.2</v>
      </c>
      <c r="E51" s="82">
        <v>34</v>
      </c>
      <c r="F51" s="81" t="s">
        <v>233</v>
      </c>
      <c r="G51" s="83">
        <f>C68</f>
        <v>0.18099999999999999</v>
      </c>
      <c r="H51" s="84">
        <f t="shared" si="1"/>
        <v>0.50724307692307691</v>
      </c>
      <c r="I51" s="77">
        <v>1</v>
      </c>
      <c r="J51" s="307"/>
      <c r="K51" s="307"/>
    </row>
    <row r="52" spans="1:11" x14ac:dyDescent="0.2">
      <c r="A52" s="71">
        <v>49</v>
      </c>
      <c r="B52" s="80" t="s">
        <v>146</v>
      </c>
      <c r="C52" s="81">
        <v>572.54</v>
      </c>
      <c r="D52" s="81">
        <v>572.54</v>
      </c>
      <c r="E52" s="82">
        <v>17</v>
      </c>
      <c r="F52" s="81" t="s">
        <v>234</v>
      </c>
      <c r="G52" s="83">
        <f>C69</f>
        <v>0.33200000000000002</v>
      </c>
      <c r="H52" s="84">
        <f t="shared" si="1"/>
        <v>0.44220023668639052</v>
      </c>
      <c r="I52" s="77">
        <v>1</v>
      </c>
      <c r="J52" s="307"/>
      <c r="K52" s="307"/>
    </row>
    <row r="53" spans="1:11" x14ac:dyDescent="0.2">
      <c r="A53" s="71">
        <v>50</v>
      </c>
      <c r="B53" s="80" t="s">
        <v>138</v>
      </c>
      <c r="C53" s="81">
        <v>2990.82</v>
      </c>
      <c r="D53" s="81">
        <v>2990.82</v>
      </c>
      <c r="E53" s="82">
        <v>62</v>
      </c>
      <c r="F53" s="81" t="s">
        <v>234</v>
      </c>
      <c r="G53" s="83">
        <f>C69</f>
        <v>0.33200000000000002</v>
      </c>
      <c r="H53" s="84">
        <f t="shared" si="1"/>
        <v>0.95446532544378704</v>
      </c>
      <c r="I53" s="77">
        <v>2</v>
      </c>
      <c r="J53" s="307"/>
      <c r="K53" s="307"/>
    </row>
    <row r="54" spans="1:11" x14ac:dyDescent="0.2">
      <c r="A54" s="71">
        <v>51</v>
      </c>
      <c r="B54" s="80" t="s">
        <v>137</v>
      </c>
      <c r="C54" s="81">
        <v>151.15</v>
      </c>
      <c r="D54" s="81">
        <v>151.15</v>
      </c>
      <c r="E54" s="82">
        <v>37</v>
      </c>
      <c r="F54" s="81" t="s">
        <v>234</v>
      </c>
      <c r="G54" s="83">
        <f>C69</f>
        <v>0.33200000000000002</v>
      </c>
      <c r="H54" s="84">
        <f t="shared" si="1"/>
        <v>0.6303469822485207</v>
      </c>
      <c r="I54" s="77">
        <v>1</v>
      </c>
      <c r="J54" s="307"/>
      <c r="K54" s="307"/>
    </row>
    <row r="55" spans="1:11" x14ac:dyDescent="0.2">
      <c r="A55" s="71">
        <v>52</v>
      </c>
      <c r="B55" s="80" t="s">
        <v>170</v>
      </c>
      <c r="C55" s="81">
        <v>272.72000000000003</v>
      </c>
      <c r="D55" s="81">
        <v>272.72000000000003</v>
      </c>
      <c r="E55" s="82">
        <v>71</v>
      </c>
      <c r="F55" s="81" t="s">
        <v>233</v>
      </c>
      <c r="G55" s="83">
        <f>C68</f>
        <v>0.18099999999999999</v>
      </c>
      <c r="H55" s="84">
        <f t="shared" si="1"/>
        <v>1.1168892307692306</v>
      </c>
      <c r="I55" s="77">
        <v>1</v>
      </c>
      <c r="J55" s="77">
        <f>I55</f>
        <v>1</v>
      </c>
      <c r="K55" s="77">
        <v>4</v>
      </c>
    </row>
    <row r="56" spans="1:11" x14ac:dyDescent="0.2">
      <c r="A56" s="71">
        <v>53</v>
      </c>
      <c r="B56" s="80" t="s">
        <v>142</v>
      </c>
      <c r="C56" s="81">
        <v>659.11</v>
      </c>
      <c r="D56" s="81">
        <v>659.11</v>
      </c>
      <c r="E56" s="82">
        <v>53</v>
      </c>
      <c r="F56" s="81" t="s">
        <v>233</v>
      </c>
      <c r="G56" s="83">
        <f>C68</f>
        <v>0.18099999999999999</v>
      </c>
      <c r="H56" s="84">
        <f t="shared" si="1"/>
        <v>0.78715692307692309</v>
      </c>
      <c r="I56" s="77">
        <v>1</v>
      </c>
      <c r="J56" s="77">
        <f>I56</f>
        <v>1</v>
      </c>
      <c r="K56" s="77">
        <v>2</v>
      </c>
    </row>
    <row r="57" spans="1:11" ht="15" x14ac:dyDescent="0.2">
      <c r="A57" s="86"/>
      <c r="B57" s="87" t="s">
        <v>171</v>
      </c>
      <c r="C57" s="88">
        <f>SUM(C4:C56)</f>
        <v>60484.969999999994</v>
      </c>
      <c r="D57" s="88">
        <f>SUM(D4:D56)</f>
        <v>59637.969999999994</v>
      </c>
      <c r="E57" s="308"/>
      <c r="F57" s="308"/>
      <c r="G57" s="308"/>
      <c r="H57" s="308"/>
      <c r="I57" s="89">
        <f>SUM(I4:I56)</f>
        <v>72</v>
      </c>
      <c r="J57" s="89">
        <f>SUM(J4:J56)</f>
        <v>72</v>
      </c>
      <c r="K57" s="88"/>
    </row>
    <row r="58" spans="1:11" x14ac:dyDescent="0.2">
      <c r="A58" s="309"/>
      <c r="B58" s="309"/>
      <c r="C58" s="309"/>
      <c r="D58" s="309"/>
      <c r="E58" s="309"/>
      <c r="F58" s="309"/>
      <c r="G58" s="309"/>
      <c r="H58" s="309"/>
      <c r="I58" s="309"/>
      <c r="J58" s="309"/>
      <c r="K58" s="309"/>
    </row>
    <row r="59" spans="1:11" ht="34.5" customHeight="1" x14ac:dyDescent="0.2">
      <c r="A59" s="90"/>
      <c r="C59" s="310" t="s">
        <v>237</v>
      </c>
      <c r="D59" s="310"/>
      <c r="E59" s="310"/>
      <c r="F59" s="310"/>
      <c r="G59" s="91">
        <f>SUM(I4:I56)/20</f>
        <v>3.6</v>
      </c>
      <c r="H59" s="90"/>
      <c r="I59" s="90"/>
    </row>
    <row r="60" spans="1:11" ht="24" customHeight="1" x14ac:dyDescent="0.2">
      <c r="A60" s="92"/>
      <c r="C60" s="310" t="s">
        <v>238</v>
      </c>
      <c r="D60" s="310"/>
      <c r="E60" s="310"/>
      <c r="F60" s="93">
        <f>G59</f>
        <v>3.6</v>
      </c>
      <c r="G60" s="94" t="s">
        <v>239</v>
      </c>
      <c r="H60" s="90"/>
      <c r="I60" s="95"/>
    </row>
    <row r="61" spans="1:11" x14ac:dyDescent="0.2">
      <c r="A61" s="311"/>
      <c r="B61" s="311"/>
      <c r="C61" s="311"/>
      <c r="D61" s="311"/>
      <c r="E61" s="311"/>
      <c r="F61" s="311"/>
      <c r="G61" s="311"/>
      <c r="H61" s="311"/>
      <c r="I61" s="311"/>
      <c r="J61" s="311"/>
      <c r="K61" s="311"/>
    </row>
    <row r="62" spans="1:11" ht="20.25" customHeight="1" x14ac:dyDescent="0.2">
      <c r="A62" s="312" t="s">
        <v>240</v>
      </c>
      <c r="B62" s="312"/>
      <c r="C62" s="312"/>
      <c r="D62" s="312"/>
      <c r="E62" s="312"/>
      <c r="F62" s="312"/>
      <c r="G62" s="312"/>
      <c r="H62" s="312"/>
      <c r="I62" s="312"/>
      <c r="J62" s="312"/>
      <c r="K62" s="312"/>
    </row>
    <row r="63" spans="1:11" ht="15" customHeight="1" x14ac:dyDescent="0.2">
      <c r="A63" s="96" t="s">
        <v>102</v>
      </c>
      <c r="B63" s="67" t="s">
        <v>241</v>
      </c>
      <c r="C63" s="67" t="s">
        <v>242</v>
      </c>
      <c r="D63" s="304" t="s">
        <v>243</v>
      </c>
      <c r="E63" s="304"/>
      <c r="F63" s="304"/>
      <c r="G63" s="304"/>
      <c r="H63" s="304"/>
      <c r="I63" s="304"/>
      <c r="J63" s="304"/>
      <c r="K63" s="304"/>
    </row>
    <row r="64" spans="1:11" ht="48.2" customHeight="1" x14ac:dyDescent="0.2">
      <c r="A64" s="97" t="s">
        <v>236</v>
      </c>
      <c r="B64" s="98" t="s">
        <v>244</v>
      </c>
      <c r="C64" s="99">
        <v>0</v>
      </c>
      <c r="D64" s="313" t="s">
        <v>245</v>
      </c>
      <c r="E64" s="313"/>
      <c r="F64" s="313"/>
      <c r="G64" s="313"/>
      <c r="H64" s="313"/>
      <c r="I64" s="313"/>
      <c r="J64" s="313"/>
      <c r="K64" s="313"/>
    </row>
    <row r="65" spans="1:11" ht="48.2" customHeight="1" x14ac:dyDescent="0.2">
      <c r="A65" s="97" t="s">
        <v>246</v>
      </c>
      <c r="B65" s="98" t="s">
        <v>247</v>
      </c>
      <c r="C65" s="99">
        <v>3.2000000000000002E-3</v>
      </c>
      <c r="D65" s="313" t="s">
        <v>248</v>
      </c>
      <c r="E65" s="313"/>
      <c r="F65" s="313"/>
      <c r="G65" s="313"/>
      <c r="H65" s="313"/>
      <c r="I65" s="313"/>
      <c r="J65" s="313"/>
      <c r="K65" s="313"/>
    </row>
    <row r="66" spans="1:11" ht="48.2" customHeight="1" x14ac:dyDescent="0.2">
      <c r="A66" s="97" t="s">
        <v>235</v>
      </c>
      <c r="B66" s="98" t="s">
        <v>249</v>
      </c>
      <c r="C66" s="99">
        <v>2.52E-2</v>
      </c>
      <c r="D66" s="313" t="s">
        <v>250</v>
      </c>
      <c r="E66" s="313"/>
      <c r="F66" s="313"/>
      <c r="G66" s="313"/>
      <c r="H66" s="313"/>
      <c r="I66" s="313"/>
      <c r="J66" s="313"/>
      <c r="K66" s="313"/>
    </row>
    <row r="67" spans="1:11" ht="48.2" customHeight="1" x14ac:dyDescent="0.2">
      <c r="A67" s="97" t="s">
        <v>251</v>
      </c>
      <c r="B67" s="98" t="s">
        <v>252</v>
      </c>
      <c r="C67" s="99">
        <v>8.09E-2</v>
      </c>
      <c r="D67" s="313" t="s">
        <v>253</v>
      </c>
      <c r="E67" s="313"/>
      <c r="F67" s="313"/>
      <c r="G67" s="313"/>
      <c r="H67" s="313"/>
      <c r="I67" s="313"/>
      <c r="J67" s="313"/>
      <c r="K67" s="313"/>
    </row>
    <row r="68" spans="1:11" ht="48.2" customHeight="1" x14ac:dyDescent="0.2">
      <c r="A68" s="97" t="s">
        <v>233</v>
      </c>
      <c r="B68" s="98" t="s">
        <v>254</v>
      </c>
      <c r="C68" s="99">
        <v>0.18099999999999999</v>
      </c>
      <c r="D68" s="313" t="s">
        <v>255</v>
      </c>
      <c r="E68" s="313"/>
      <c r="F68" s="313"/>
      <c r="G68" s="313"/>
      <c r="H68" s="313"/>
      <c r="I68" s="313"/>
      <c r="J68" s="313"/>
      <c r="K68" s="313"/>
    </row>
    <row r="69" spans="1:11" ht="48.2" customHeight="1" x14ac:dyDescent="0.2">
      <c r="A69" s="97" t="s">
        <v>234</v>
      </c>
      <c r="B69" s="98" t="s">
        <v>256</v>
      </c>
      <c r="C69" s="99">
        <v>0.33200000000000002</v>
      </c>
      <c r="D69" s="313" t="s">
        <v>257</v>
      </c>
      <c r="E69" s="313"/>
      <c r="F69" s="313"/>
      <c r="G69" s="313"/>
      <c r="H69" s="313"/>
      <c r="I69" s="313"/>
      <c r="J69" s="313"/>
      <c r="K69" s="313"/>
    </row>
    <row r="70" spans="1:11" ht="48.2" customHeight="1" x14ac:dyDescent="0.2">
      <c r="A70" s="97" t="s">
        <v>258</v>
      </c>
      <c r="B70" s="98" t="s">
        <v>259</v>
      </c>
      <c r="C70" s="99">
        <v>0.52600000000000002</v>
      </c>
      <c r="D70" s="313" t="s">
        <v>260</v>
      </c>
      <c r="E70" s="313"/>
      <c r="F70" s="313"/>
      <c r="G70" s="313"/>
      <c r="H70" s="313"/>
      <c r="I70" s="313"/>
      <c r="J70" s="313"/>
      <c r="K70" s="313"/>
    </row>
    <row r="71" spans="1:11" ht="48.2" customHeight="1" x14ac:dyDescent="0.2">
      <c r="A71" s="97" t="s">
        <v>232</v>
      </c>
      <c r="B71" s="98" t="s">
        <v>261</v>
      </c>
      <c r="C71" s="99">
        <v>0.752</v>
      </c>
      <c r="D71" s="313" t="s">
        <v>262</v>
      </c>
      <c r="E71" s="313"/>
      <c r="F71" s="313"/>
      <c r="G71" s="313"/>
      <c r="H71" s="313"/>
      <c r="I71" s="313"/>
      <c r="J71" s="313"/>
      <c r="K71" s="313"/>
    </row>
    <row r="72" spans="1:11" ht="48.2" customHeight="1" x14ac:dyDescent="0.2">
      <c r="A72" s="97" t="s">
        <v>263</v>
      </c>
      <c r="B72" s="100" t="s">
        <v>264</v>
      </c>
      <c r="C72" s="99">
        <v>1</v>
      </c>
      <c r="D72" s="313" t="s">
        <v>265</v>
      </c>
      <c r="E72" s="313"/>
      <c r="F72" s="313"/>
      <c r="G72" s="313"/>
      <c r="H72" s="313"/>
      <c r="I72" s="313"/>
      <c r="J72" s="313"/>
      <c r="K72" s="313"/>
    </row>
    <row r="74" spans="1:11" ht="15" customHeight="1" x14ac:dyDescent="0.2"/>
    <row r="78" spans="1:11" ht="15.75" customHeight="1" x14ac:dyDescent="0.2"/>
  </sheetData>
  <mergeCells count="31">
    <mergeCell ref="D72:K72"/>
    <mergeCell ref="D67:K67"/>
    <mergeCell ref="D68:K68"/>
    <mergeCell ref="D69:K69"/>
    <mergeCell ref="D70:K70"/>
    <mergeCell ref="D71:K71"/>
    <mergeCell ref="A62:K62"/>
    <mergeCell ref="D63:K63"/>
    <mergeCell ref="D64:K64"/>
    <mergeCell ref="D65:K65"/>
    <mergeCell ref="D66:K66"/>
    <mergeCell ref="E57:H57"/>
    <mergeCell ref="A58:K58"/>
    <mergeCell ref="C59:F59"/>
    <mergeCell ref="C60:E60"/>
    <mergeCell ref="A61:K61"/>
    <mergeCell ref="J24:J38"/>
    <mergeCell ref="K24:K38"/>
    <mergeCell ref="K39:K40"/>
    <mergeCell ref="J41:J54"/>
    <mergeCell ref="K41:K54"/>
    <mergeCell ref="K4:K5"/>
    <mergeCell ref="J6:J19"/>
    <mergeCell ref="K6:K19"/>
    <mergeCell ref="J21:J23"/>
    <mergeCell ref="K21:K23"/>
    <mergeCell ref="A1:K1"/>
    <mergeCell ref="A2:A3"/>
    <mergeCell ref="B2:B3"/>
    <mergeCell ref="C2:H2"/>
    <mergeCell ref="I2:K2"/>
  </mergeCells>
  <printOptions horizontalCentered="1"/>
  <pageMargins left="0.78740157480314965" right="0.78740157480314965" top="0.9055118110236221" bottom="0.9055118110236221" header="0.51181102362204722" footer="0.51181102362204722"/>
  <pageSetup paperSize="9" scale="44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J18"/>
  <sheetViews>
    <sheetView view="pageBreakPreview" topLeftCell="C1" zoomScaleNormal="100" workbookViewId="0">
      <selection activeCell="G34" sqref="G34"/>
    </sheetView>
  </sheetViews>
  <sheetFormatPr defaultRowHeight="12.75" x14ac:dyDescent="0.2"/>
  <cols>
    <col min="1" max="1" width="5.28515625" customWidth="1"/>
    <col min="2" max="2" width="62.5703125" customWidth="1"/>
    <col min="3" max="3" width="19.85546875" customWidth="1"/>
    <col min="4" max="4" width="9.42578125" customWidth="1"/>
    <col min="5" max="5" width="12.7109375" customWidth="1"/>
    <col min="6" max="6" width="14.85546875" customWidth="1"/>
    <col min="7" max="7" width="16.5703125" customWidth="1"/>
    <col min="8" max="1025" width="9.140625" customWidth="1"/>
  </cols>
  <sheetData>
    <row r="1" spans="1:10" ht="20.25" x14ac:dyDescent="0.2">
      <c r="A1" s="314" t="s">
        <v>266</v>
      </c>
      <c r="B1" s="314"/>
      <c r="C1" s="314"/>
      <c r="D1" s="314"/>
      <c r="E1" s="314"/>
      <c r="F1" s="314"/>
      <c r="G1" s="314"/>
      <c r="H1" s="1"/>
      <c r="I1" s="1"/>
      <c r="J1" s="101"/>
    </row>
    <row r="2" spans="1:10" ht="15" x14ac:dyDescent="0.2">
      <c r="A2" s="102" t="s">
        <v>2</v>
      </c>
      <c r="B2" s="102" t="s">
        <v>267</v>
      </c>
      <c r="C2" s="102" t="s">
        <v>268</v>
      </c>
      <c r="D2" s="102" t="s">
        <v>4</v>
      </c>
      <c r="E2" s="102" t="s">
        <v>5</v>
      </c>
      <c r="F2" s="102" t="s">
        <v>6</v>
      </c>
      <c r="G2" s="102" t="s">
        <v>7</v>
      </c>
    </row>
    <row r="3" spans="1:10" ht="14.25" x14ac:dyDescent="0.2">
      <c r="A3" s="5" t="s">
        <v>8</v>
      </c>
      <c r="B3" s="6" t="s">
        <v>269</v>
      </c>
      <c r="C3" s="103" t="s">
        <v>270</v>
      </c>
      <c r="D3" s="103" t="s">
        <v>10</v>
      </c>
      <c r="E3" s="11">
        <v>1</v>
      </c>
      <c r="F3" s="202">
        <f>'V Eng. Civil ou Arq. e Eng. Ele'!D120</f>
        <v>10528.602583039999</v>
      </c>
      <c r="G3" s="8">
        <f t="shared" ref="G3:G17" si="0">E3*F3</f>
        <v>10528.602583039999</v>
      </c>
    </row>
    <row r="4" spans="1:10" ht="14.25" x14ac:dyDescent="0.2">
      <c r="A4" s="5" t="s">
        <v>11</v>
      </c>
      <c r="B4" s="6" t="s">
        <v>271</v>
      </c>
      <c r="C4" s="103" t="s">
        <v>272</v>
      </c>
      <c r="D4" s="103" t="s">
        <v>10</v>
      </c>
      <c r="E4" s="11">
        <v>0.1</v>
      </c>
      <c r="F4" s="202">
        <f>'V Eng. Civil ou Arq. e Eng. Ele'!D120</f>
        <v>10528.602583039999</v>
      </c>
      <c r="G4" s="8">
        <f t="shared" si="0"/>
        <v>1052.8602583039999</v>
      </c>
    </row>
    <row r="5" spans="1:10" ht="14.25" x14ac:dyDescent="0.2">
      <c r="A5" s="5" t="s">
        <v>13</v>
      </c>
      <c r="B5" s="6" t="s">
        <v>273</v>
      </c>
      <c r="C5" s="103" t="s">
        <v>274</v>
      </c>
      <c r="D5" s="103" t="s">
        <v>10</v>
      </c>
      <c r="E5" s="11">
        <v>1</v>
      </c>
      <c r="F5" s="202">
        <f>'V Encarregado CGT'!D120</f>
        <v>5128.4752377864088</v>
      </c>
      <c r="G5" s="8">
        <f t="shared" si="0"/>
        <v>5128.4752377864088</v>
      </c>
    </row>
    <row r="6" spans="1:10" ht="14.25" x14ac:dyDescent="0.2">
      <c r="A6" s="5" t="s">
        <v>15</v>
      </c>
      <c r="B6" s="6" t="s">
        <v>275</v>
      </c>
      <c r="C6" s="103" t="s">
        <v>276</v>
      </c>
      <c r="D6" s="103" t="s">
        <v>10</v>
      </c>
      <c r="E6" s="11">
        <v>1</v>
      </c>
      <c r="F6" s="202">
        <f>'V GEXNIT'!D115</f>
        <v>4086.214605905448</v>
      </c>
      <c r="G6" s="8">
        <f t="shared" si="0"/>
        <v>4086.214605905448</v>
      </c>
    </row>
    <row r="7" spans="1:10" ht="14.25" x14ac:dyDescent="0.2">
      <c r="A7" s="5" t="s">
        <v>20</v>
      </c>
      <c r="B7" s="6" t="s">
        <v>277</v>
      </c>
      <c r="C7" s="103" t="s">
        <v>276</v>
      </c>
      <c r="D7" s="103" t="s">
        <v>10</v>
      </c>
      <c r="E7" s="11">
        <v>1</v>
      </c>
      <c r="F7" s="202">
        <f>'V GEXDUQ'!D115</f>
        <v>4084.1166059054481</v>
      </c>
      <c r="G7" s="8">
        <f t="shared" si="0"/>
        <v>4084.1166059054481</v>
      </c>
    </row>
    <row r="8" spans="1:10" ht="14.25" x14ac:dyDescent="0.2">
      <c r="A8" s="5" t="s">
        <v>22</v>
      </c>
      <c r="B8" s="6" t="s">
        <v>278</v>
      </c>
      <c r="C8" s="103" t="s">
        <v>276</v>
      </c>
      <c r="D8" s="103" t="s">
        <v>10</v>
      </c>
      <c r="E8" s="11">
        <v>2</v>
      </c>
      <c r="F8" s="202">
        <f>'V GEXCGT'!D115</f>
        <v>4031.6666059054483</v>
      </c>
      <c r="G8" s="8">
        <f t="shared" si="0"/>
        <v>8063.3332118108965</v>
      </c>
    </row>
    <row r="9" spans="1:10" ht="14.25" x14ac:dyDescent="0.2">
      <c r="A9" s="5" t="s">
        <v>279</v>
      </c>
      <c r="B9" s="6" t="s">
        <v>280</v>
      </c>
      <c r="C9" s="103" t="s">
        <v>281</v>
      </c>
      <c r="D9" s="103" t="s">
        <v>10</v>
      </c>
      <c r="E9" s="268">
        <v>3</v>
      </c>
      <c r="F9" s="202">
        <f>'V GEXNIT'!F115</f>
        <v>3251.4676176664079</v>
      </c>
      <c r="G9" s="8">
        <f t="shared" si="0"/>
        <v>9754.4028529992247</v>
      </c>
    </row>
    <row r="10" spans="1:10" ht="14.25" x14ac:dyDescent="0.2">
      <c r="A10" s="5" t="s">
        <v>190</v>
      </c>
      <c r="B10" s="6" t="s">
        <v>282</v>
      </c>
      <c r="C10" s="103" t="s">
        <v>281</v>
      </c>
      <c r="D10" s="103" t="s">
        <v>10</v>
      </c>
      <c r="E10" s="11">
        <v>2</v>
      </c>
      <c r="F10" s="202">
        <f>'V GEXDUQ'!F115</f>
        <v>3249.369617666408</v>
      </c>
      <c r="G10" s="8">
        <f t="shared" si="0"/>
        <v>6498.739235332816</v>
      </c>
    </row>
    <row r="11" spans="1:10" ht="14.25" x14ac:dyDescent="0.2">
      <c r="A11" s="5" t="s">
        <v>89</v>
      </c>
      <c r="B11" s="9" t="s">
        <v>283</v>
      </c>
      <c r="C11" s="103" t="s">
        <v>281</v>
      </c>
      <c r="D11" s="103" t="s">
        <v>10</v>
      </c>
      <c r="E11" s="11">
        <v>4</v>
      </c>
      <c r="F11" s="202">
        <f>'V GEXCGT'!F115</f>
        <v>3196.9196176664082</v>
      </c>
      <c r="G11" s="8">
        <f t="shared" si="0"/>
        <v>12787.678470665633</v>
      </c>
    </row>
    <row r="12" spans="1:10" ht="14.25" x14ac:dyDescent="0.2">
      <c r="A12" s="5" t="s">
        <v>284</v>
      </c>
      <c r="B12" s="9" t="s">
        <v>285</v>
      </c>
      <c r="C12" s="104" t="s">
        <v>286</v>
      </c>
      <c r="D12" s="103" t="s">
        <v>10</v>
      </c>
      <c r="E12" s="11">
        <v>1</v>
      </c>
      <c r="F12" s="174">
        <f>'V GEXNIT'!E115</f>
        <v>3302.2095032120083</v>
      </c>
      <c r="G12" s="8">
        <f t="shared" si="0"/>
        <v>3302.2095032120083</v>
      </c>
    </row>
    <row r="13" spans="1:10" ht="14.25" x14ac:dyDescent="0.2">
      <c r="A13" s="5" t="s">
        <v>287</v>
      </c>
      <c r="B13" s="9" t="s">
        <v>288</v>
      </c>
      <c r="C13" s="104" t="s">
        <v>286</v>
      </c>
      <c r="D13" s="103" t="s">
        <v>10</v>
      </c>
      <c r="E13" s="11">
        <v>1</v>
      </c>
      <c r="F13" s="174">
        <f>'V GEXDUQ'!E115</f>
        <v>3300.1115032120083</v>
      </c>
      <c r="G13" s="8">
        <f t="shared" si="0"/>
        <v>3300.1115032120083</v>
      </c>
    </row>
    <row r="14" spans="1:10" ht="14.25" x14ac:dyDescent="0.2">
      <c r="A14" s="5" t="s">
        <v>184</v>
      </c>
      <c r="B14" s="9" t="s">
        <v>289</v>
      </c>
      <c r="C14" s="104" t="s">
        <v>286</v>
      </c>
      <c r="D14" s="103" t="s">
        <v>10</v>
      </c>
      <c r="E14" s="11">
        <v>2</v>
      </c>
      <c r="F14" s="174">
        <f>'V GEXCGT'!E115</f>
        <v>3249.8307032120078</v>
      </c>
      <c r="G14" s="8">
        <f t="shared" si="0"/>
        <v>6499.6614064240157</v>
      </c>
    </row>
    <row r="15" spans="1:10" ht="14.25" x14ac:dyDescent="0.2">
      <c r="A15" s="5" t="s">
        <v>290</v>
      </c>
      <c r="B15" s="6" t="s">
        <v>291</v>
      </c>
      <c r="C15" s="104" t="s">
        <v>292</v>
      </c>
      <c r="D15" s="103" t="s">
        <v>10</v>
      </c>
      <c r="E15" s="268">
        <v>2</v>
      </c>
      <c r="F15" s="202">
        <f>'V GEXNIT'!G115</f>
        <v>2539.0004975480083</v>
      </c>
      <c r="G15" s="8">
        <f t="shared" si="0"/>
        <v>5078.0009950960166</v>
      </c>
    </row>
    <row r="16" spans="1:10" ht="14.25" x14ac:dyDescent="0.2">
      <c r="A16" s="5" t="s">
        <v>293</v>
      </c>
      <c r="B16" s="6" t="s">
        <v>294</v>
      </c>
      <c r="C16" s="103" t="s">
        <v>292</v>
      </c>
      <c r="D16" s="103" t="s">
        <v>10</v>
      </c>
      <c r="E16" s="11">
        <v>1</v>
      </c>
      <c r="F16" s="202">
        <f>'V GEXDUQ'!G115</f>
        <v>2536.9024975480079</v>
      </c>
      <c r="G16" s="8">
        <f t="shared" si="0"/>
        <v>2536.9024975480079</v>
      </c>
    </row>
    <row r="17" spans="1:7" ht="14.25" x14ac:dyDescent="0.2">
      <c r="A17" s="5" t="s">
        <v>295</v>
      </c>
      <c r="B17" s="6" t="s">
        <v>296</v>
      </c>
      <c r="C17" s="103" t="s">
        <v>292</v>
      </c>
      <c r="D17" s="103" t="s">
        <v>10</v>
      </c>
      <c r="E17" s="11">
        <v>2</v>
      </c>
      <c r="F17" s="202">
        <f>'V GEXCGT'!G115</f>
        <v>2484.4524975480081</v>
      </c>
      <c r="G17" s="8">
        <f t="shared" si="0"/>
        <v>4968.9049950960161</v>
      </c>
    </row>
    <row r="18" spans="1:7" ht="15" x14ac:dyDescent="0.2">
      <c r="A18" s="315" t="s">
        <v>297</v>
      </c>
      <c r="B18" s="315"/>
      <c r="C18" s="315"/>
      <c r="D18" s="315"/>
      <c r="E18" s="315"/>
      <c r="F18" s="315"/>
      <c r="G18" s="105">
        <f>SUM(G3:G17)</f>
        <v>87670.213962337948</v>
      </c>
    </row>
  </sheetData>
  <mergeCells count="2">
    <mergeCell ref="A1:G1"/>
    <mergeCell ref="A18:F18"/>
  </mergeCells>
  <printOptions horizontalCentered="1"/>
  <pageMargins left="0.78740157480314965" right="0.78740157480314965" top="0.9055118110236221" bottom="0.9055118110236221" header="0.51181102362204722" footer="0.51181102362204722"/>
  <pageSetup paperSize="9" scale="62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J121"/>
  <sheetViews>
    <sheetView showGridLines="0" view="pageBreakPreview" topLeftCell="A100" zoomScale="90" zoomScaleNormal="100" zoomScalePageLayoutView="90" workbookViewId="0">
      <selection activeCell="F78" sqref="F78"/>
    </sheetView>
  </sheetViews>
  <sheetFormatPr defaultRowHeight="12.75" x14ac:dyDescent="0.2"/>
  <cols>
    <col min="1" max="1" width="5.42578125" customWidth="1"/>
    <col min="2" max="2" width="60.85546875" customWidth="1"/>
    <col min="3" max="3" width="22.28515625" customWidth="1"/>
    <col min="4" max="4" width="22.7109375" customWidth="1"/>
    <col min="5" max="1025" width="9.140625" customWidth="1"/>
  </cols>
  <sheetData>
    <row r="1" spans="1:10" ht="20.25" x14ac:dyDescent="0.2">
      <c r="A1" s="316" t="s">
        <v>298</v>
      </c>
      <c r="B1" s="316"/>
      <c r="C1" s="316"/>
      <c r="D1" s="316"/>
      <c r="E1" s="1"/>
      <c r="F1" s="1"/>
      <c r="G1" s="1"/>
      <c r="H1" s="1"/>
      <c r="I1" s="1"/>
      <c r="J1" s="101"/>
    </row>
    <row r="2" spans="1:10" ht="14.25" x14ac:dyDescent="0.2">
      <c r="A2" s="276"/>
      <c r="B2" s="276"/>
      <c r="C2" s="276"/>
      <c r="D2" s="276"/>
      <c r="E2" s="1"/>
      <c r="F2" s="1"/>
      <c r="G2" s="1"/>
      <c r="H2" s="1"/>
      <c r="I2" s="1"/>
      <c r="J2" s="101"/>
    </row>
    <row r="3" spans="1:10" ht="14.25" x14ac:dyDescent="0.2">
      <c r="A3" s="275" t="s">
        <v>1024</v>
      </c>
      <c r="B3" s="275"/>
      <c r="C3" s="317" t="s">
        <v>1033</v>
      </c>
      <c r="D3" s="317"/>
      <c r="E3" s="1"/>
      <c r="F3" s="1"/>
      <c r="G3" s="1"/>
      <c r="H3" s="1"/>
      <c r="I3" s="1"/>
      <c r="J3" s="101"/>
    </row>
    <row r="4" spans="1:10" ht="14.25" x14ac:dyDescent="0.2">
      <c r="A4" s="275" t="s">
        <v>1025</v>
      </c>
      <c r="B4" s="275"/>
      <c r="C4" s="318">
        <v>1212</v>
      </c>
      <c r="D4" s="318"/>
      <c r="E4" s="1"/>
      <c r="F4" s="1"/>
      <c r="G4" s="1"/>
      <c r="H4" s="1"/>
      <c r="I4" s="1"/>
      <c r="J4" s="101"/>
    </row>
    <row r="5" spans="1:10" ht="14.25" x14ac:dyDescent="0.2">
      <c r="A5" s="185"/>
      <c r="B5" s="203"/>
      <c r="C5" s="203"/>
      <c r="D5" s="203"/>
      <c r="E5" s="1"/>
      <c r="F5" s="1"/>
      <c r="G5" s="1"/>
      <c r="H5" s="1"/>
      <c r="I5" s="1"/>
      <c r="J5" s="101"/>
    </row>
    <row r="6" spans="1:10" ht="14.25" x14ac:dyDescent="0.2">
      <c r="A6" s="319" t="s">
        <v>1026</v>
      </c>
      <c r="B6" s="319"/>
      <c r="C6" s="203"/>
      <c r="D6" s="203"/>
      <c r="E6" s="1"/>
      <c r="F6" s="1"/>
      <c r="G6" s="1"/>
      <c r="H6" s="1"/>
      <c r="I6" s="1"/>
      <c r="J6" s="101"/>
    </row>
    <row r="7" spans="1:10" ht="14.25" x14ac:dyDescent="0.2">
      <c r="A7" s="276"/>
      <c r="B7" s="276"/>
      <c r="C7" s="276"/>
      <c r="D7" s="276"/>
      <c r="E7" s="1"/>
      <c r="F7" s="1"/>
      <c r="G7" s="1"/>
      <c r="H7" s="1"/>
      <c r="I7" s="1"/>
      <c r="J7" s="101"/>
    </row>
    <row r="8" spans="1:10" ht="15" x14ac:dyDescent="0.2">
      <c r="A8" s="283" t="s">
        <v>299</v>
      </c>
      <c r="B8" s="283"/>
      <c r="C8" s="283"/>
      <c r="D8" s="283"/>
      <c r="E8" s="1"/>
      <c r="F8" s="1"/>
      <c r="G8" s="1"/>
      <c r="H8" s="1"/>
      <c r="I8" s="1"/>
      <c r="J8" s="101"/>
    </row>
    <row r="9" spans="1:10" ht="14.25" x14ac:dyDescent="0.2">
      <c r="A9" s="276"/>
      <c r="B9" s="276"/>
      <c r="C9" s="276"/>
      <c r="D9" s="276"/>
      <c r="E9" s="1"/>
      <c r="F9" s="1"/>
      <c r="G9" s="1"/>
      <c r="H9" s="1"/>
      <c r="I9" s="1"/>
      <c r="J9" s="101"/>
    </row>
    <row r="10" spans="1:10" ht="14.25" x14ac:dyDescent="0.2">
      <c r="A10" s="182" t="s">
        <v>8</v>
      </c>
      <c r="B10" s="117" t="s">
        <v>300</v>
      </c>
      <c r="C10" s="317"/>
      <c r="D10" s="317"/>
      <c r="E10" s="1"/>
      <c r="F10" s="1"/>
      <c r="G10" s="1"/>
      <c r="H10" s="1"/>
      <c r="I10" s="1"/>
      <c r="J10" s="101"/>
    </row>
    <row r="11" spans="1:10" ht="14.25" x14ac:dyDescent="0.2">
      <c r="A11" s="182" t="s">
        <v>11</v>
      </c>
      <c r="B11" s="117" t="s">
        <v>301</v>
      </c>
      <c r="C11" s="317" t="s">
        <v>302</v>
      </c>
      <c r="D11" s="317"/>
      <c r="E11" s="1"/>
      <c r="F11" s="1"/>
      <c r="G11" s="1"/>
      <c r="H11" s="1"/>
      <c r="I11" s="1"/>
      <c r="J11" s="101"/>
    </row>
    <row r="12" spans="1:10" ht="14.25" x14ac:dyDescent="0.2">
      <c r="A12" s="182" t="s">
        <v>13</v>
      </c>
      <c r="B12" s="117" t="s">
        <v>303</v>
      </c>
      <c r="C12" s="317" t="s">
        <v>304</v>
      </c>
      <c r="D12" s="317"/>
      <c r="E12" s="1"/>
      <c r="F12" s="1"/>
      <c r="G12" s="1"/>
      <c r="H12" s="1"/>
      <c r="I12" s="1"/>
      <c r="J12" s="101"/>
    </row>
    <row r="13" spans="1:10" ht="14.25" x14ac:dyDescent="0.2">
      <c r="A13" s="182" t="s">
        <v>15</v>
      </c>
      <c r="B13" s="117" t="s">
        <v>305</v>
      </c>
      <c r="C13" s="317">
        <v>12</v>
      </c>
      <c r="D13" s="317"/>
      <c r="E13" s="1"/>
      <c r="F13" s="1"/>
      <c r="G13" s="1"/>
      <c r="H13" s="1"/>
      <c r="I13" s="1"/>
      <c r="J13" s="101"/>
    </row>
    <row r="14" spans="1:10" ht="14.25" x14ac:dyDescent="0.2">
      <c r="A14" s="276"/>
      <c r="B14" s="276"/>
      <c r="C14" s="276"/>
      <c r="D14" s="276"/>
      <c r="E14" s="1"/>
      <c r="F14" s="1"/>
      <c r="G14" s="1"/>
      <c r="H14" s="1"/>
      <c r="I14" s="1"/>
      <c r="J14" s="101"/>
    </row>
    <row r="15" spans="1:10" ht="15" x14ac:dyDescent="0.2">
      <c r="A15" s="283" t="s">
        <v>306</v>
      </c>
      <c r="B15" s="283"/>
      <c r="C15" s="283"/>
      <c r="D15" s="283"/>
      <c r="E15" s="1"/>
      <c r="F15" s="1"/>
      <c r="G15" s="1"/>
      <c r="H15" s="1"/>
      <c r="I15" s="1"/>
      <c r="J15" s="101"/>
    </row>
    <row r="16" spans="1:10" ht="14.25" x14ac:dyDescent="0.2">
      <c r="A16" s="320"/>
      <c r="B16" s="320"/>
      <c r="C16" s="320"/>
      <c r="D16" s="320"/>
      <c r="E16" s="1"/>
      <c r="F16" s="1"/>
      <c r="G16" s="1"/>
      <c r="H16" s="1"/>
      <c r="I16" s="1"/>
      <c r="J16" s="101"/>
    </row>
    <row r="17" spans="1:10" ht="30.2" customHeight="1" x14ac:dyDescent="0.2">
      <c r="A17" s="204"/>
      <c r="B17" s="205" t="s">
        <v>307</v>
      </c>
      <c r="C17" s="206" t="s">
        <v>308</v>
      </c>
      <c r="D17" s="175" t="s">
        <v>309</v>
      </c>
      <c r="E17" s="1"/>
      <c r="F17" s="1"/>
      <c r="G17" s="1"/>
      <c r="H17" s="1"/>
      <c r="I17" s="1"/>
      <c r="J17" s="101"/>
    </row>
    <row r="18" spans="1:10" ht="14.25" x14ac:dyDescent="0.2">
      <c r="A18" s="207"/>
      <c r="B18" s="182" t="s">
        <v>310</v>
      </c>
      <c r="C18" s="107" t="s">
        <v>311</v>
      </c>
      <c r="D18" s="184">
        <v>59637.95</v>
      </c>
      <c r="E18" s="1"/>
      <c r="F18" s="1"/>
      <c r="G18" s="1"/>
      <c r="H18" s="1"/>
      <c r="I18" s="1"/>
      <c r="J18" s="101"/>
    </row>
    <row r="19" spans="1:10" ht="14.25" x14ac:dyDescent="0.2">
      <c r="A19" s="321"/>
      <c r="B19" s="321"/>
      <c r="C19" s="321"/>
      <c r="D19" s="321"/>
      <c r="E19" s="1"/>
      <c r="F19" s="1"/>
      <c r="G19" s="1"/>
      <c r="H19" s="1"/>
      <c r="I19" s="1"/>
      <c r="J19" s="101"/>
    </row>
    <row r="20" spans="1:10" ht="15" x14ac:dyDescent="0.2">
      <c r="A20" s="322" t="s">
        <v>312</v>
      </c>
      <c r="B20" s="322"/>
      <c r="C20" s="322"/>
      <c r="D20" s="322"/>
      <c r="E20" s="1"/>
      <c r="F20" s="1"/>
      <c r="G20" s="1"/>
      <c r="H20" s="1"/>
      <c r="I20" s="1"/>
      <c r="J20" s="101"/>
    </row>
    <row r="21" spans="1:10" ht="14.25" x14ac:dyDescent="0.2">
      <c r="A21" s="182">
        <v>1</v>
      </c>
      <c r="B21" s="117" t="s">
        <v>313</v>
      </c>
      <c r="C21" s="275" t="s">
        <v>310</v>
      </c>
      <c r="D21" s="275"/>
      <c r="E21" s="1"/>
      <c r="F21" s="1"/>
      <c r="G21" s="1"/>
      <c r="H21" s="1"/>
      <c r="I21" s="1"/>
      <c r="J21" s="101"/>
    </row>
    <row r="22" spans="1:10" ht="14.25" x14ac:dyDescent="0.2">
      <c r="A22" s="182">
        <v>2</v>
      </c>
      <c r="B22" s="117" t="s">
        <v>314</v>
      </c>
      <c r="C22" s="275" t="s">
        <v>315</v>
      </c>
      <c r="D22" s="275"/>
      <c r="E22" s="1"/>
      <c r="F22" s="1"/>
      <c r="G22" s="1"/>
      <c r="H22" s="1"/>
      <c r="I22" s="1"/>
      <c r="J22" s="101"/>
    </row>
    <row r="23" spans="1:10" ht="14.25" x14ac:dyDescent="0.2">
      <c r="A23" s="182">
        <v>3</v>
      </c>
      <c r="B23" s="117" t="s">
        <v>316</v>
      </c>
      <c r="C23" s="323">
        <f>C4*6</f>
        <v>7272</v>
      </c>
      <c r="D23" s="323"/>
      <c r="E23" s="1"/>
      <c r="F23" s="1"/>
      <c r="G23" s="1"/>
      <c r="H23" s="1"/>
      <c r="I23" s="1"/>
      <c r="J23" s="101"/>
    </row>
    <row r="24" spans="1:10" ht="14.25" x14ac:dyDescent="0.2">
      <c r="A24" s="182">
        <v>4</v>
      </c>
      <c r="B24" s="117" t="s">
        <v>317</v>
      </c>
      <c r="C24" s="324" t="s">
        <v>318</v>
      </c>
      <c r="D24" s="324"/>
      <c r="E24" s="1"/>
      <c r="F24" s="1"/>
      <c r="G24" s="1"/>
      <c r="H24" s="1"/>
      <c r="I24" s="1"/>
      <c r="J24" s="101"/>
    </row>
    <row r="25" spans="1:10" ht="14.25" x14ac:dyDescent="0.2">
      <c r="A25" s="182">
        <v>5</v>
      </c>
      <c r="B25" s="117" t="s">
        <v>319</v>
      </c>
      <c r="C25" s="325">
        <v>44197</v>
      </c>
      <c r="D25" s="325"/>
      <c r="E25" s="101"/>
      <c r="F25" s="101"/>
      <c r="G25" s="101"/>
      <c r="H25" s="101"/>
      <c r="I25" s="101"/>
      <c r="J25" s="101"/>
    </row>
    <row r="26" spans="1:10" ht="14.25" x14ac:dyDescent="0.2">
      <c r="A26" s="276"/>
      <c r="B26" s="276"/>
      <c r="C26" s="276"/>
      <c r="D26" s="276"/>
      <c r="E26" s="101"/>
      <c r="F26" s="101"/>
      <c r="G26" s="101"/>
      <c r="H26" s="101"/>
      <c r="I26" s="101"/>
      <c r="J26" s="101"/>
    </row>
    <row r="27" spans="1:10" ht="14.25" x14ac:dyDescent="0.2">
      <c r="A27" s="276"/>
      <c r="B27" s="276"/>
      <c r="C27" s="276"/>
      <c r="D27" s="276"/>
      <c r="E27" s="101"/>
      <c r="F27" s="101"/>
      <c r="G27" s="101"/>
      <c r="H27" s="101"/>
      <c r="I27" s="101"/>
      <c r="J27" s="101"/>
    </row>
    <row r="28" spans="1:10" ht="15" x14ac:dyDescent="0.2">
      <c r="A28" s="326" t="s">
        <v>320</v>
      </c>
      <c r="B28" s="326"/>
      <c r="C28" s="326"/>
      <c r="D28" s="326"/>
      <c r="E28" s="101"/>
      <c r="F28" s="101"/>
      <c r="G28" s="101"/>
      <c r="H28" s="101"/>
      <c r="I28" s="101"/>
      <c r="J28" s="101"/>
    </row>
    <row r="29" spans="1:10" ht="15" x14ac:dyDescent="0.2">
      <c r="A29" s="186">
        <v>1</v>
      </c>
      <c r="B29" s="186" t="s">
        <v>321</v>
      </c>
      <c r="C29" s="186" t="s">
        <v>322</v>
      </c>
      <c r="D29" s="186" t="s">
        <v>323</v>
      </c>
      <c r="E29" s="101"/>
      <c r="F29" s="101"/>
      <c r="G29" s="101"/>
      <c r="H29" s="101"/>
      <c r="I29" s="101"/>
      <c r="J29" s="101"/>
    </row>
    <row r="30" spans="1:10" ht="14.25" x14ac:dyDescent="0.2">
      <c r="A30" s="182" t="s">
        <v>8</v>
      </c>
      <c r="B30" s="177" t="s">
        <v>324</v>
      </c>
      <c r="C30" s="164"/>
      <c r="D30" s="188">
        <f>C23</f>
        <v>7272</v>
      </c>
      <c r="E30" s="101"/>
      <c r="F30" s="101"/>
      <c r="G30" s="101"/>
      <c r="H30" s="101"/>
      <c r="I30" s="101"/>
      <c r="J30" s="101"/>
    </row>
    <row r="31" spans="1:10" ht="14.25" x14ac:dyDescent="0.2">
      <c r="A31" s="182" t="s">
        <v>11</v>
      </c>
      <c r="B31" s="177" t="s">
        <v>325</v>
      </c>
      <c r="C31" s="164"/>
      <c r="D31" s="188"/>
      <c r="E31" s="101"/>
      <c r="F31" s="101"/>
      <c r="G31" s="101"/>
      <c r="H31" s="101"/>
      <c r="I31" s="101"/>
      <c r="J31" s="101"/>
    </row>
    <row r="32" spans="1:10" ht="14.25" x14ac:dyDescent="0.2">
      <c r="A32" s="182" t="s">
        <v>13</v>
      </c>
      <c r="B32" s="177" t="s">
        <v>326</v>
      </c>
      <c r="C32" s="164"/>
      <c r="D32" s="188"/>
      <c r="E32" s="101"/>
      <c r="F32" s="101"/>
      <c r="G32" s="101"/>
      <c r="H32" s="101"/>
      <c r="I32" s="101"/>
      <c r="J32" s="101"/>
    </row>
    <row r="33" spans="1:10" ht="14.25" x14ac:dyDescent="0.2">
      <c r="A33" s="182" t="s">
        <v>15</v>
      </c>
      <c r="B33" s="177" t="s">
        <v>327</v>
      </c>
      <c r="C33" s="164"/>
      <c r="D33" s="188"/>
      <c r="E33" s="101"/>
      <c r="F33" s="101"/>
      <c r="G33" s="101"/>
      <c r="H33" s="101"/>
      <c r="I33" s="101"/>
      <c r="J33" s="101"/>
    </row>
    <row r="34" spans="1:10" ht="14.25" x14ac:dyDescent="0.2">
      <c r="A34" s="182" t="s">
        <v>20</v>
      </c>
      <c r="B34" s="177" t="s">
        <v>328</v>
      </c>
      <c r="C34" s="164"/>
      <c r="D34" s="188"/>
      <c r="E34" s="101"/>
      <c r="F34" s="101"/>
      <c r="G34" s="101"/>
      <c r="H34" s="101"/>
      <c r="I34" s="101"/>
      <c r="J34" s="101"/>
    </row>
    <row r="35" spans="1:10" ht="14.25" x14ac:dyDescent="0.2">
      <c r="A35" s="182" t="s">
        <v>22</v>
      </c>
      <c r="B35" s="177" t="s">
        <v>329</v>
      </c>
      <c r="C35" s="164"/>
      <c r="D35" s="188"/>
      <c r="E35" s="101"/>
      <c r="F35" s="101"/>
      <c r="G35" s="101"/>
      <c r="H35" s="101"/>
      <c r="I35" s="101"/>
      <c r="J35" s="101"/>
    </row>
    <row r="36" spans="1:10" ht="15" x14ac:dyDescent="0.2">
      <c r="A36" s="282" t="s">
        <v>330</v>
      </c>
      <c r="B36" s="282"/>
      <c r="C36" s="208">
        <f>SUM(C30:C35)</f>
        <v>0</v>
      </c>
      <c r="D36" s="209">
        <f>SUM(D30:D35)</f>
        <v>7272</v>
      </c>
      <c r="E36" s="101"/>
      <c r="F36" s="101"/>
      <c r="G36" s="101"/>
      <c r="H36" s="101"/>
      <c r="I36" s="101"/>
      <c r="J36" s="101"/>
    </row>
    <row r="37" spans="1:10" ht="14.25" x14ac:dyDescent="0.2">
      <c r="A37" s="276"/>
      <c r="B37" s="276"/>
      <c r="C37" s="276"/>
      <c r="D37" s="276"/>
      <c r="E37" s="101"/>
      <c r="F37" s="101"/>
      <c r="G37" s="101"/>
      <c r="H37" s="101"/>
      <c r="I37" s="101"/>
      <c r="J37" s="101"/>
    </row>
    <row r="38" spans="1:10" ht="15" x14ac:dyDescent="0.2">
      <c r="A38" s="326" t="s">
        <v>331</v>
      </c>
      <c r="B38" s="326"/>
      <c r="C38" s="326"/>
      <c r="D38" s="326"/>
      <c r="E38" s="101"/>
      <c r="F38" s="101"/>
      <c r="G38" s="101"/>
      <c r="H38" s="101"/>
      <c r="I38" s="101"/>
      <c r="J38" s="101"/>
    </row>
    <row r="39" spans="1:10" ht="15" x14ac:dyDescent="0.2">
      <c r="A39" s="326" t="s">
        <v>332</v>
      </c>
      <c r="B39" s="326"/>
      <c r="C39" s="326"/>
      <c r="D39" s="326"/>
      <c r="E39" s="101"/>
      <c r="F39" s="101"/>
      <c r="G39" s="101"/>
      <c r="H39" s="101"/>
      <c r="I39" s="101"/>
      <c r="J39" s="101"/>
    </row>
    <row r="40" spans="1:10" ht="15" x14ac:dyDescent="0.2">
      <c r="A40" s="186" t="s">
        <v>206</v>
      </c>
      <c r="B40" s="186" t="s">
        <v>333</v>
      </c>
      <c r="C40" s="186" t="s">
        <v>322</v>
      </c>
      <c r="D40" s="186" t="s">
        <v>323</v>
      </c>
      <c r="E40" s="101"/>
      <c r="F40" s="101"/>
      <c r="G40" s="101"/>
      <c r="H40" s="101"/>
      <c r="I40" s="101"/>
      <c r="J40" s="101"/>
    </row>
    <row r="41" spans="1:10" ht="14.25" x14ac:dyDescent="0.2">
      <c r="A41" s="182" t="s">
        <v>8</v>
      </c>
      <c r="B41" s="117" t="s">
        <v>334</v>
      </c>
      <c r="C41" s="164">
        <v>8.3299999999999999E-2</v>
      </c>
      <c r="D41" s="189">
        <f>C41*$D$36</f>
        <v>605.75760000000002</v>
      </c>
      <c r="E41" s="101"/>
      <c r="F41" s="101"/>
      <c r="G41" s="101"/>
      <c r="H41" s="101"/>
      <c r="I41" s="101"/>
      <c r="J41" s="101"/>
    </row>
    <row r="42" spans="1:10" ht="14.25" x14ac:dyDescent="0.2">
      <c r="A42" s="182" t="s">
        <v>11</v>
      </c>
      <c r="B42" s="117" t="s">
        <v>335</v>
      </c>
      <c r="C42" s="164">
        <v>0.121</v>
      </c>
      <c r="D42" s="189">
        <f>C42*$D$36</f>
        <v>879.91199999999992</v>
      </c>
      <c r="E42" s="101"/>
      <c r="F42" s="101"/>
      <c r="G42" s="101"/>
      <c r="H42" s="101"/>
      <c r="I42" s="101"/>
      <c r="J42" s="101"/>
    </row>
    <row r="43" spans="1:10" ht="15" x14ac:dyDescent="0.2">
      <c r="A43" s="282" t="s">
        <v>330</v>
      </c>
      <c r="B43" s="282"/>
      <c r="C43" s="208">
        <f>SUM(C41:C42)</f>
        <v>0.20429999999999998</v>
      </c>
      <c r="D43" s="190">
        <f>SUM(D41:D42)</f>
        <v>1485.6695999999999</v>
      </c>
      <c r="E43" s="101"/>
      <c r="F43" s="101"/>
      <c r="G43" s="101"/>
      <c r="H43" s="101"/>
      <c r="I43" s="101"/>
      <c r="J43" s="101"/>
    </row>
    <row r="44" spans="1:10" ht="14.25" x14ac:dyDescent="0.2">
      <c r="A44" s="276"/>
      <c r="B44" s="276"/>
      <c r="C44" s="276"/>
      <c r="D44" s="276"/>
      <c r="E44" s="101"/>
      <c r="F44" s="101"/>
      <c r="G44" s="101"/>
      <c r="H44" s="101"/>
      <c r="I44" s="101"/>
      <c r="J44" s="101"/>
    </row>
    <row r="45" spans="1:10" ht="28.15" customHeight="1" x14ac:dyDescent="0.2">
      <c r="A45" s="327" t="s">
        <v>336</v>
      </c>
      <c r="B45" s="327"/>
      <c r="C45" s="327"/>
      <c r="D45" s="327"/>
      <c r="E45" s="101"/>
      <c r="F45" s="101"/>
      <c r="G45" s="101"/>
      <c r="H45" s="101"/>
      <c r="I45" s="101"/>
      <c r="J45" s="101"/>
    </row>
    <row r="46" spans="1:10" ht="15" x14ac:dyDescent="0.2">
      <c r="A46" s="186" t="s">
        <v>208</v>
      </c>
      <c r="B46" s="186" t="s">
        <v>337</v>
      </c>
      <c r="C46" s="186" t="s">
        <v>322</v>
      </c>
      <c r="D46" s="186" t="s">
        <v>323</v>
      </c>
      <c r="E46" s="101"/>
      <c r="F46" s="101"/>
      <c r="G46" s="101"/>
      <c r="H46" s="101"/>
      <c r="I46" s="101"/>
      <c r="J46" s="101"/>
    </row>
    <row r="47" spans="1:10" ht="14.25" x14ac:dyDescent="0.2">
      <c r="A47" s="182" t="s">
        <v>8</v>
      </c>
      <c r="B47" s="117" t="s">
        <v>338</v>
      </c>
      <c r="C47" s="164">
        <v>0</v>
      </c>
      <c r="D47" s="188">
        <f t="shared" ref="D47:D54" si="0">C47*($D$36+$D$43)</f>
        <v>0</v>
      </c>
      <c r="E47" s="101"/>
      <c r="F47" s="101"/>
      <c r="G47" s="101"/>
      <c r="H47" s="101"/>
      <c r="I47" s="101"/>
      <c r="J47" s="101"/>
    </row>
    <row r="48" spans="1:10" ht="14.25" x14ac:dyDescent="0.2">
      <c r="A48" s="182" t="s">
        <v>11</v>
      </c>
      <c r="B48" s="117" t="s">
        <v>339</v>
      </c>
      <c r="C48" s="164">
        <v>2.5000000000000001E-2</v>
      </c>
      <c r="D48" s="188">
        <f t="shared" si="0"/>
        <v>218.94173999999998</v>
      </c>
      <c r="E48" s="101"/>
      <c r="F48" s="101"/>
      <c r="G48" s="101"/>
      <c r="H48" s="101"/>
      <c r="I48" s="101"/>
      <c r="J48" s="101"/>
    </row>
    <row r="49" spans="1:10" ht="14.25" x14ac:dyDescent="0.2">
      <c r="A49" s="182" t="s">
        <v>13</v>
      </c>
      <c r="B49" s="117" t="s">
        <v>1020</v>
      </c>
      <c r="C49" s="210">
        <v>1.4999999999999999E-2</v>
      </c>
      <c r="D49" s="188">
        <f t="shared" si="0"/>
        <v>131.36504399999998</v>
      </c>
      <c r="E49" s="101"/>
      <c r="F49" s="101"/>
      <c r="G49" s="101"/>
      <c r="H49" s="101"/>
      <c r="I49" s="101"/>
      <c r="J49" s="101"/>
    </row>
    <row r="50" spans="1:10" ht="14.25" x14ac:dyDescent="0.2">
      <c r="A50" s="182" t="s">
        <v>15</v>
      </c>
      <c r="B50" s="117" t="s">
        <v>340</v>
      </c>
      <c r="C50" s="164">
        <v>1.4999999999999999E-2</v>
      </c>
      <c r="D50" s="188">
        <f t="shared" si="0"/>
        <v>131.36504399999998</v>
      </c>
      <c r="E50" s="101"/>
      <c r="F50" s="101"/>
      <c r="G50" s="101"/>
      <c r="H50" s="101"/>
      <c r="I50" s="101"/>
      <c r="J50" s="101"/>
    </row>
    <row r="51" spans="1:10" ht="14.25" x14ac:dyDescent="0.2">
      <c r="A51" s="182" t="s">
        <v>20</v>
      </c>
      <c r="B51" s="117" t="s">
        <v>341</v>
      </c>
      <c r="C51" s="164">
        <v>0.01</v>
      </c>
      <c r="D51" s="188">
        <f t="shared" si="0"/>
        <v>87.576695999999998</v>
      </c>
      <c r="E51" s="101"/>
      <c r="F51" s="101"/>
      <c r="G51" s="101"/>
      <c r="H51" s="101"/>
      <c r="I51" s="101"/>
      <c r="J51" s="101"/>
    </row>
    <row r="52" spans="1:10" ht="14.25" x14ac:dyDescent="0.2">
      <c r="A52" s="182" t="s">
        <v>22</v>
      </c>
      <c r="B52" s="117" t="s">
        <v>342</v>
      </c>
      <c r="C52" s="164">
        <v>6.0000000000000001E-3</v>
      </c>
      <c r="D52" s="188">
        <f t="shared" si="0"/>
        <v>52.546017599999999</v>
      </c>
    </row>
    <row r="53" spans="1:10" ht="14.25" x14ac:dyDescent="0.2">
      <c r="A53" s="182" t="s">
        <v>279</v>
      </c>
      <c r="B53" s="117" t="s">
        <v>343</v>
      </c>
      <c r="C53" s="164">
        <v>2E-3</v>
      </c>
      <c r="D53" s="188">
        <f t="shared" si="0"/>
        <v>17.5153392</v>
      </c>
    </row>
    <row r="54" spans="1:10" ht="14.25" x14ac:dyDescent="0.2">
      <c r="A54" s="182" t="s">
        <v>190</v>
      </c>
      <c r="B54" s="117" t="s">
        <v>344</v>
      </c>
      <c r="C54" s="164">
        <v>0.08</v>
      </c>
      <c r="D54" s="188">
        <f t="shared" si="0"/>
        <v>700.61356799999999</v>
      </c>
    </row>
    <row r="55" spans="1:10" ht="15" x14ac:dyDescent="0.2">
      <c r="A55" s="282" t="s">
        <v>330</v>
      </c>
      <c r="B55" s="282"/>
      <c r="C55" s="208">
        <f>SUM(C47:C54)</f>
        <v>0.15300000000000002</v>
      </c>
      <c r="D55" s="209">
        <f>SUM(D47:D54)</f>
        <v>1339.9234488</v>
      </c>
    </row>
    <row r="56" spans="1:10" ht="14.25" x14ac:dyDescent="0.2">
      <c r="A56" s="276"/>
      <c r="B56" s="276"/>
      <c r="C56" s="276"/>
      <c r="D56" s="276"/>
    </row>
    <row r="57" spans="1:10" ht="15" x14ac:dyDescent="0.2">
      <c r="A57" s="326" t="s">
        <v>345</v>
      </c>
      <c r="B57" s="326"/>
      <c r="C57" s="326"/>
      <c r="D57" s="326"/>
    </row>
    <row r="58" spans="1:10" ht="15" x14ac:dyDescent="0.2">
      <c r="A58" s="186" t="s">
        <v>346</v>
      </c>
      <c r="B58" s="186" t="s">
        <v>347</v>
      </c>
      <c r="C58" s="211"/>
      <c r="D58" s="186" t="s">
        <v>323</v>
      </c>
    </row>
    <row r="59" spans="1:10" ht="14.25" x14ac:dyDescent="0.2">
      <c r="A59" s="182" t="s">
        <v>8</v>
      </c>
      <c r="B59" s="117" t="s">
        <v>348</v>
      </c>
      <c r="C59" s="117"/>
      <c r="D59" s="189">
        <v>0</v>
      </c>
    </row>
    <row r="60" spans="1:10" ht="14.25" x14ac:dyDescent="0.2">
      <c r="A60" s="182" t="s">
        <v>11</v>
      </c>
      <c r="B60" s="117" t="s">
        <v>349</v>
      </c>
      <c r="C60" s="117"/>
      <c r="D60" s="189">
        <v>0</v>
      </c>
    </row>
    <row r="61" spans="1:10" ht="14.25" x14ac:dyDescent="0.2">
      <c r="A61" s="182" t="s">
        <v>13</v>
      </c>
      <c r="B61" s="117" t="s">
        <v>350</v>
      </c>
      <c r="C61" s="117"/>
      <c r="D61" s="189">
        <v>0</v>
      </c>
    </row>
    <row r="62" spans="1:10" ht="14.25" x14ac:dyDescent="0.2">
      <c r="A62" s="182" t="s">
        <v>15</v>
      </c>
      <c r="B62" s="169" t="s">
        <v>1021</v>
      </c>
      <c r="C62" s="117"/>
      <c r="D62" s="189">
        <v>4.9400000000000004</v>
      </c>
    </row>
    <row r="63" spans="1:10" ht="15" x14ac:dyDescent="0.2">
      <c r="A63" s="282" t="s">
        <v>330</v>
      </c>
      <c r="B63" s="282"/>
      <c r="C63" s="282"/>
      <c r="D63" s="190">
        <f>SUM(D59:D62)</f>
        <v>4.9400000000000004</v>
      </c>
    </row>
    <row r="64" spans="1:10" ht="14.25" x14ac:dyDescent="0.2">
      <c r="A64" s="276"/>
      <c r="B64" s="276"/>
      <c r="C64" s="276"/>
      <c r="D64" s="276"/>
    </row>
    <row r="65" spans="1:4" ht="15" x14ac:dyDescent="0.2">
      <c r="A65" s="326" t="s">
        <v>351</v>
      </c>
      <c r="B65" s="326"/>
      <c r="C65" s="326"/>
      <c r="D65" s="326"/>
    </row>
    <row r="66" spans="1:4" ht="15" x14ac:dyDescent="0.2">
      <c r="A66" s="186">
        <v>2</v>
      </c>
      <c r="B66" s="328" t="s">
        <v>352</v>
      </c>
      <c r="C66" s="328"/>
      <c r="D66" s="186" t="s">
        <v>323</v>
      </c>
    </row>
    <row r="67" spans="1:4" ht="14.25" x14ac:dyDescent="0.2">
      <c r="A67" s="182" t="s">
        <v>206</v>
      </c>
      <c r="B67" s="275" t="s">
        <v>333</v>
      </c>
      <c r="C67" s="275"/>
      <c r="D67" s="189">
        <f>D43</f>
        <v>1485.6695999999999</v>
      </c>
    </row>
    <row r="68" spans="1:4" ht="14.25" x14ac:dyDescent="0.2">
      <c r="A68" s="182" t="s">
        <v>208</v>
      </c>
      <c r="B68" s="275" t="s">
        <v>337</v>
      </c>
      <c r="C68" s="275"/>
      <c r="D68" s="189">
        <f>D55</f>
        <v>1339.9234488</v>
      </c>
    </row>
    <row r="69" spans="1:4" ht="14.25" x14ac:dyDescent="0.2">
      <c r="A69" s="182" t="s">
        <v>346</v>
      </c>
      <c r="B69" s="275" t="s">
        <v>347</v>
      </c>
      <c r="C69" s="275"/>
      <c r="D69" s="189">
        <f>D63</f>
        <v>4.9400000000000004</v>
      </c>
    </row>
    <row r="70" spans="1:4" ht="15" x14ac:dyDescent="0.2">
      <c r="A70" s="282" t="s">
        <v>330</v>
      </c>
      <c r="B70" s="282"/>
      <c r="C70" s="282"/>
      <c r="D70" s="190">
        <f>SUM(D67:D69)</f>
        <v>2830.5330488</v>
      </c>
    </row>
    <row r="71" spans="1:4" ht="14.25" x14ac:dyDescent="0.2">
      <c r="A71" s="321"/>
      <c r="B71" s="321"/>
      <c r="C71" s="321"/>
      <c r="D71" s="321"/>
    </row>
    <row r="72" spans="1:4" ht="15" customHeight="1" x14ac:dyDescent="0.2">
      <c r="A72" s="327" t="s">
        <v>353</v>
      </c>
      <c r="B72" s="327"/>
      <c r="C72" s="327"/>
      <c r="D72" s="327"/>
    </row>
    <row r="73" spans="1:4" ht="15" x14ac:dyDescent="0.2">
      <c r="A73" s="186">
        <v>3</v>
      </c>
      <c r="B73" s="186" t="s">
        <v>354</v>
      </c>
      <c r="C73" s="186" t="s">
        <v>322</v>
      </c>
      <c r="D73" s="186" t="s">
        <v>323</v>
      </c>
    </row>
    <row r="74" spans="1:4" ht="14.25" x14ac:dyDescent="0.2">
      <c r="A74" s="182" t="s">
        <v>8</v>
      </c>
      <c r="B74" s="117" t="s">
        <v>355</v>
      </c>
      <c r="C74" s="246">
        <v>4.2000000000000002E-4</v>
      </c>
      <c r="D74" s="189">
        <f t="shared" ref="D74:D79" si="1">C74*$D$36</f>
        <v>3.0542400000000001</v>
      </c>
    </row>
    <row r="75" spans="1:4" ht="14.25" x14ac:dyDescent="0.2">
      <c r="A75" s="182" t="s">
        <v>11</v>
      </c>
      <c r="B75" s="117" t="s">
        <v>356</v>
      </c>
      <c r="C75" s="246">
        <f>C54*C74</f>
        <v>3.3600000000000004E-5</v>
      </c>
      <c r="D75" s="189">
        <f t="shared" si="1"/>
        <v>0.24433920000000003</v>
      </c>
    </row>
    <row r="76" spans="1:4" ht="28.5" x14ac:dyDescent="0.2">
      <c r="A76" s="182" t="s">
        <v>13</v>
      </c>
      <c r="B76" s="120" t="s">
        <v>357</v>
      </c>
      <c r="C76" s="164">
        <v>0.02</v>
      </c>
      <c r="D76" s="189">
        <f t="shared" si="1"/>
        <v>145.44</v>
      </c>
    </row>
    <row r="77" spans="1:4" ht="14.25" x14ac:dyDescent="0.2">
      <c r="A77" s="182" t="s">
        <v>15</v>
      </c>
      <c r="B77" s="117" t="s">
        <v>358</v>
      </c>
      <c r="C77" s="246">
        <v>1.9400000000000001E-3</v>
      </c>
      <c r="D77" s="189">
        <f t="shared" si="1"/>
        <v>14.10768</v>
      </c>
    </row>
    <row r="78" spans="1:4" ht="28.5" x14ac:dyDescent="0.2">
      <c r="A78" s="182" t="s">
        <v>20</v>
      </c>
      <c r="B78" s="120" t="s">
        <v>359</v>
      </c>
      <c r="C78" s="164">
        <f>C55*C77</f>
        <v>2.9682000000000005E-4</v>
      </c>
      <c r="D78" s="189">
        <f t="shared" si="1"/>
        <v>2.1584750400000003</v>
      </c>
    </row>
    <row r="79" spans="1:4" ht="28.5" x14ac:dyDescent="0.2">
      <c r="A79" s="182" t="s">
        <v>22</v>
      </c>
      <c r="B79" s="120" t="s">
        <v>360</v>
      </c>
      <c r="C79" s="164">
        <v>0.02</v>
      </c>
      <c r="D79" s="189">
        <f t="shared" si="1"/>
        <v>145.44</v>
      </c>
    </row>
    <row r="80" spans="1:4" ht="15" x14ac:dyDescent="0.2">
      <c r="A80" s="282" t="s">
        <v>330</v>
      </c>
      <c r="B80" s="282"/>
      <c r="C80" s="208">
        <f>SUM(C74:C79)</f>
        <v>4.269042E-2</v>
      </c>
      <c r="D80" s="190">
        <f>SUM(D74:D79)</f>
        <v>310.44473424</v>
      </c>
    </row>
    <row r="81" spans="1:4" ht="14.25" x14ac:dyDescent="0.2">
      <c r="A81" s="276"/>
      <c r="B81" s="276"/>
      <c r="C81" s="276"/>
      <c r="D81" s="276"/>
    </row>
    <row r="82" spans="1:4" ht="15" x14ac:dyDescent="0.2">
      <c r="A82" s="326" t="s">
        <v>361</v>
      </c>
      <c r="B82" s="326"/>
      <c r="C82" s="326"/>
      <c r="D82" s="326"/>
    </row>
    <row r="83" spans="1:4" ht="15" x14ac:dyDescent="0.2">
      <c r="A83" s="326" t="s">
        <v>362</v>
      </c>
      <c r="B83" s="326"/>
      <c r="C83" s="326"/>
      <c r="D83" s="326"/>
    </row>
    <row r="84" spans="1:4" ht="15" x14ac:dyDescent="0.2">
      <c r="A84" s="186" t="s">
        <v>363</v>
      </c>
      <c r="B84" s="186" t="s">
        <v>364</v>
      </c>
      <c r="C84" s="186" t="s">
        <v>322</v>
      </c>
      <c r="D84" s="186" t="s">
        <v>323</v>
      </c>
    </row>
    <row r="85" spans="1:4" ht="14.25" x14ac:dyDescent="0.2">
      <c r="A85" s="182" t="s">
        <v>8</v>
      </c>
      <c r="B85" s="117" t="s">
        <v>365</v>
      </c>
      <c r="C85" s="164">
        <v>9.2999999999999992E-3</v>
      </c>
      <c r="D85" s="189">
        <f>C85*$D$36</f>
        <v>67.629599999999996</v>
      </c>
    </row>
    <row r="86" spans="1:4" ht="14.25" x14ac:dyDescent="0.2">
      <c r="A86" s="182" t="s">
        <v>11</v>
      </c>
      <c r="B86" s="117" t="s">
        <v>366</v>
      </c>
      <c r="C86" s="164">
        <v>2.8E-3</v>
      </c>
      <c r="D86" s="189">
        <f>C86*$D$36</f>
        <v>20.361599999999999</v>
      </c>
    </row>
    <row r="87" spans="1:4" ht="14.25" x14ac:dyDescent="0.2">
      <c r="A87" s="182" t="s">
        <v>13</v>
      </c>
      <c r="B87" s="117" t="s">
        <v>367</v>
      </c>
      <c r="C87" s="164">
        <v>8.0000000000000004E-4</v>
      </c>
      <c r="D87" s="189">
        <f>C87*$D$36</f>
        <v>5.8176000000000005</v>
      </c>
    </row>
    <row r="88" spans="1:4" ht="14.25" x14ac:dyDescent="0.2">
      <c r="A88" s="182" t="s">
        <v>15</v>
      </c>
      <c r="B88" s="117" t="s">
        <v>368</v>
      </c>
      <c r="C88" s="164">
        <v>2.7000000000000001E-3</v>
      </c>
      <c r="D88" s="189">
        <f>C88*$D$36</f>
        <v>19.634399999999999</v>
      </c>
    </row>
    <row r="89" spans="1:4" ht="14.25" x14ac:dyDescent="0.2">
      <c r="A89" s="182" t="s">
        <v>20</v>
      </c>
      <c r="B89" s="117" t="s">
        <v>369</v>
      </c>
      <c r="C89" s="164">
        <v>2.9999999999999997E-4</v>
      </c>
      <c r="D89" s="189">
        <f>C89*$D$36</f>
        <v>2.1816</v>
      </c>
    </row>
    <row r="90" spans="1:4" ht="14.25" x14ac:dyDescent="0.2">
      <c r="A90" s="182" t="s">
        <v>22</v>
      </c>
      <c r="B90" s="117" t="s">
        <v>370</v>
      </c>
      <c r="C90" s="164"/>
      <c r="D90" s="189"/>
    </row>
    <row r="91" spans="1:4" ht="15" x14ac:dyDescent="0.2">
      <c r="A91" s="282" t="s">
        <v>330</v>
      </c>
      <c r="B91" s="282"/>
      <c r="C91" s="208">
        <f>SUM(C85:C90)</f>
        <v>1.5900000000000001E-2</v>
      </c>
      <c r="D91" s="190">
        <f>SUM(D85:D90)</f>
        <v>115.62479999999999</v>
      </c>
    </row>
    <row r="92" spans="1:4" ht="14.25" x14ac:dyDescent="0.2">
      <c r="A92" s="276"/>
      <c r="B92" s="276"/>
      <c r="C92" s="276"/>
      <c r="D92" s="276"/>
    </row>
    <row r="93" spans="1:4" ht="15" x14ac:dyDescent="0.2">
      <c r="A93" s="326" t="s">
        <v>371</v>
      </c>
      <c r="B93" s="326"/>
      <c r="C93" s="326"/>
      <c r="D93" s="326"/>
    </row>
    <row r="94" spans="1:4" ht="15" x14ac:dyDescent="0.2">
      <c r="A94" s="186" t="s">
        <v>372</v>
      </c>
      <c r="B94" s="186" t="s">
        <v>373</v>
      </c>
      <c r="C94" s="186" t="s">
        <v>322</v>
      </c>
      <c r="D94" s="186" t="s">
        <v>323</v>
      </c>
    </row>
    <row r="95" spans="1:4" ht="14.25" x14ac:dyDescent="0.2">
      <c r="A95" s="182" t="s">
        <v>8</v>
      </c>
      <c r="B95" s="117" t="s">
        <v>374</v>
      </c>
      <c r="C95" s="164"/>
      <c r="D95" s="189">
        <f>C95*$D$36</f>
        <v>0</v>
      </c>
    </row>
    <row r="96" spans="1:4" ht="15" x14ac:dyDescent="0.2">
      <c r="A96" s="282" t="s">
        <v>330</v>
      </c>
      <c r="B96" s="282"/>
      <c r="C96" s="208">
        <f>C95</f>
        <v>0</v>
      </c>
      <c r="D96" s="190">
        <f>D95</f>
        <v>0</v>
      </c>
    </row>
    <row r="97" spans="1:4" ht="14.25" x14ac:dyDescent="0.2">
      <c r="A97" s="276"/>
      <c r="B97" s="276"/>
      <c r="C97" s="276"/>
      <c r="D97" s="276"/>
    </row>
    <row r="98" spans="1:4" ht="15" x14ac:dyDescent="0.2">
      <c r="A98" s="326" t="s">
        <v>375</v>
      </c>
      <c r="B98" s="326"/>
      <c r="C98" s="326"/>
      <c r="D98" s="326"/>
    </row>
    <row r="99" spans="1:4" ht="15" x14ac:dyDescent="0.2">
      <c r="A99" s="186">
        <v>4</v>
      </c>
      <c r="B99" s="328" t="s">
        <v>376</v>
      </c>
      <c r="C99" s="328"/>
      <c r="D99" s="186" t="s">
        <v>323</v>
      </c>
    </row>
    <row r="100" spans="1:4" ht="14.25" x14ac:dyDescent="0.2">
      <c r="A100" s="182" t="s">
        <v>363</v>
      </c>
      <c r="B100" s="275" t="s">
        <v>364</v>
      </c>
      <c r="C100" s="275"/>
      <c r="D100" s="189">
        <f>D91</f>
        <v>115.62479999999999</v>
      </c>
    </row>
    <row r="101" spans="1:4" ht="14.25" x14ac:dyDescent="0.2">
      <c r="A101" s="182" t="s">
        <v>372</v>
      </c>
      <c r="B101" s="275" t="s">
        <v>373</v>
      </c>
      <c r="C101" s="275"/>
      <c r="D101" s="189">
        <f>D96</f>
        <v>0</v>
      </c>
    </row>
    <row r="102" spans="1:4" ht="15" x14ac:dyDescent="0.2">
      <c r="A102" s="282" t="s">
        <v>330</v>
      </c>
      <c r="B102" s="282"/>
      <c r="C102" s="282"/>
      <c r="D102" s="190">
        <f>SUM(D100:D101)</f>
        <v>115.62479999999999</v>
      </c>
    </row>
    <row r="103" spans="1:4" ht="14.25" x14ac:dyDescent="0.2">
      <c r="A103" s="276"/>
      <c r="B103" s="276"/>
      <c r="C103" s="276"/>
      <c r="D103" s="276"/>
    </row>
    <row r="104" spans="1:4" ht="15" customHeight="1" x14ac:dyDescent="0.2">
      <c r="A104" s="327" t="s">
        <v>377</v>
      </c>
      <c r="B104" s="327"/>
      <c r="C104" s="327"/>
      <c r="D104" s="327"/>
    </row>
    <row r="105" spans="1:4" ht="15" x14ac:dyDescent="0.2">
      <c r="A105" s="186">
        <v>5</v>
      </c>
      <c r="B105" s="186" t="s">
        <v>354</v>
      </c>
      <c r="C105" s="186"/>
      <c r="D105" s="186" t="s">
        <v>323</v>
      </c>
    </row>
    <row r="106" spans="1:4" ht="14.25" x14ac:dyDescent="0.2">
      <c r="A106" s="182" t="s">
        <v>8</v>
      </c>
      <c r="B106" s="117" t="s">
        <v>378</v>
      </c>
      <c r="C106" s="164"/>
      <c r="D106" s="189">
        <v>0</v>
      </c>
    </row>
    <row r="107" spans="1:4" ht="14.25" x14ac:dyDescent="0.2">
      <c r="A107" s="182" t="s">
        <v>11</v>
      </c>
      <c r="B107" s="117" t="s">
        <v>379</v>
      </c>
      <c r="C107" s="164"/>
      <c r="D107" s="189">
        <v>0</v>
      </c>
    </row>
    <row r="108" spans="1:4" ht="14.25" x14ac:dyDescent="0.2">
      <c r="A108" s="182" t="s">
        <v>13</v>
      </c>
      <c r="B108" s="117" t="s">
        <v>380</v>
      </c>
      <c r="C108" s="164"/>
      <c r="D108" s="189">
        <v>0</v>
      </c>
    </row>
    <row r="109" spans="1:4" ht="14.25" x14ac:dyDescent="0.2">
      <c r="A109" s="182" t="s">
        <v>15</v>
      </c>
      <c r="B109" s="117" t="s">
        <v>329</v>
      </c>
      <c r="C109" s="164"/>
      <c r="D109" s="189">
        <v>0</v>
      </c>
    </row>
    <row r="110" spans="1:4" ht="15" x14ac:dyDescent="0.2">
      <c r="A110" s="282" t="s">
        <v>330</v>
      </c>
      <c r="B110" s="282"/>
      <c r="C110" s="282"/>
      <c r="D110" s="190">
        <f>SUM(D106:D109)</f>
        <v>0</v>
      </c>
    </row>
    <row r="111" spans="1:4" ht="14.25" x14ac:dyDescent="0.2">
      <c r="A111" s="276"/>
      <c r="B111" s="276"/>
      <c r="C111" s="276"/>
      <c r="D111" s="276"/>
    </row>
    <row r="112" spans="1:4" ht="15" x14ac:dyDescent="0.2">
      <c r="A112" s="283"/>
      <c r="B112" s="283"/>
      <c r="C112" s="283"/>
      <c r="D112" s="283"/>
    </row>
    <row r="113" spans="1:4" ht="14.25" x14ac:dyDescent="0.2">
      <c r="A113" s="276"/>
      <c r="B113" s="276"/>
      <c r="C113" s="276"/>
      <c r="D113" s="276"/>
    </row>
    <row r="114" spans="1:4" ht="15" x14ac:dyDescent="0.2">
      <c r="A114" s="186"/>
      <c r="B114" s="322" t="s">
        <v>381</v>
      </c>
      <c r="C114" s="322"/>
      <c r="D114" s="186" t="s">
        <v>323</v>
      </c>
    </row>
    <row r="115" spans="1:4" ht="14.25" x14ac:dyDescent="0.2">
      <c r="A115" s="182" t="s">
        <v>8</v>
      </c>
      <c r="B115" s="275" t="s">
        <v>320</v>
      </c>
      <c r="C115" s="275"/>
      <c r="D115" s="189">
        <f>D36</f>
        <v>7272</v>
      </c>
    </row>
    <row r="116" spans="1:4" ht="14.25" x14ac:dyDescent="0.2">
      <c r="A116" s="182" t="s">
        <v>11</v>
      </c>
      <c r="B116" s="275" t="s">
        <v>331</v>
      </c>
      <c r="C116" s="275"/>
      <c r="D116" s="189">
        <f>D70</f>
        <v>2830.5330488</v>
      </c>
    </row>
    <row r="117" spans="1:4" ht="14.25" x14ac:dyDescent="0.2">
      <c r="A117" s="182" t="s">
        <v>13</v>
      </c>
      <c r="B117" s="275" t="s">
        <v>353</v>
      </c>
      <c r="C117" s="275"/>
      <c r="D117" s="189">
        <f>D80</f>
        <v>310.44473424</v>
      </c>
    </row>
    <row r="118" spans="1:4" ht="14.25" x14ac:dyDescent="0.2">
      <c r="A118" s="182" t="s">
        <v>15</v>
      </c>
      <c r="B118" s="275" t="s">
        <v>361</v>
      </c>
      <c r="C118" s="275"/>
      <c r="D118" s="189">
        <f>D102</f>
        <v>115.62479999999999</v>
      </c>
    </row>
    <row r="119" spans="1:4" ht="14.25" x14ac:dyDescent="0.2">
      <c r="A119" s="182" t="s">
        <v>20</v>
      </c>
      <c r="B119" s="275" t="s">
        <v>377</v>
      </c>
      <c r="C119" s="275"/>
      <c r="D119" s="189">
        <f>D110</f>
        <v>0</v>
      </c>
    </row>
    <row r="120" spans="1:4" ht="15" x14ac:dyDescent="0.2">
      <c r="A120" s="282" t="s">
        <v>382</v>
      </c>
      <c r="B120" s="282"/>
      <c r="C120" s="282"/>
      <c r="D120" s="190">
        <f>SUM(D115:D119)</f>
        <v>10528.602583039999</v>
      </c>
    </row>
    <row r="121" spans="1:4" x14ac:dyDescent="0.2">
      <c r="A121" s="212"/>
      <c r="B121" s="212"/>
      <c r="C121" s="212"/>
      <c r="D121" s="212"/>
    </row>
  </sheetData>
  <mergeCells count="74">
    <mergeCell ref="B118:C118"/>
    <mergeCell ref="B119:C119"/>
    <mergeCell ref="A120:C120"/>
    <mergeCell ref="A113:D113"/>
    <mergeCell ref="B114:C114"/>
    <mergeCell ref="B115:C115"/>
    <mergeCell ref="B116:C116"/>
    <mergeCell ref="B117:C117"/>
    <mergeCell ref="A103:D103"/>
    <mergeCell ref="A104:D104"/>
    <mergeCell ref="A110:C110"/>
    <mergeCell ref="A111:D111"/>
    <mergeCell ref="A112:D112"/>
    <mergeCell ref="A98:D98"/>
    <mergeCell ref="B99:C99"/>
    <mergeCell ref="B100:C100"/>
    <mergeCell ref="B101:C101"/>
    <mergeCell ref="A102:C102"/>
    <mergeCell ref="A91:B91"/>
    <mergeCell ref="A92:D92"/>
    <mergeCell ref="A93:D93"/>
    <mergeCell ref="A96:B96"/>
    <mergeCell ref="A97:D97"/>
    <mergeCell ref="A72:D72"/>
    <mergeCell ref="A80:B80"/>
    <mergeCell ref="A81:D81"/>
    <mergeCell ref="A82:D82"/>
    <mergeCell ref="A83:D83"/>
    <mergeCell ref="B67:C67"/>
    <mergeCell ref="B68:C68"/>
    <mergeCell ref="B69:C69"/>
    <mergeCell ref="A70:C70"/>
    <mergeCell ref="A71:D71"/>
    <mergeCell ref="A57:D57"/>
    <mergeCell ref="A63:C63"/>
    <mergeCell ref="A64:D64"/>
    <mergeCell ref="A65:D65"/>
    <mergeCell ref="B66:C66"/>
    <mergeCell ref="A43:B43"/>
    <mergeCell ref="A44:D44"/>
    <mergeCell ref="A45:D45"/>
    <mergeCell ref="A55:B55"/>
    <mergeCell ref="A56:D56"/>
    <mergeCell ref="A28:D28"/>
    <mergeCell ref="A36:B36"/>
    <mergeCell ref="A37:D37"/>
    <mergeCell ref="A38:D38"/>
    <mergeCell ref="A39:D39"/>
    <mergeCell ref="C23:D23"/>
    <mergeCell ref="C24:D24"/>
    <mergeCell ref="C25:D25"/>
    <mergeCell ref="A26:D26"/>
    <mergeCell ref="A27:D27"/>
    <mergeCell ref="A16:D16"/>
    <mergeCell ref="A19:D19"/>
    <mergeCell ref="A20:D20"/>
    <mergeCell ref="C21:D21"/>
    <mergeCell ref="C22:D22"/>
    <mergeCell ref="C11:D11"/>
    <mergeCell ref="C12:D12"/>
    <mergeCell ref="C13:D13"/>
    <mergeCell ref="A14:D14"/>
    <mergeCell ref="A15:D15"/>
    <mergeCell ref="A6:B6"/>
    <mergeCell ref="A7:D7"/>
    <mergeCell ref="A8:D8"/>
    <mergeCell ref="A9:D9"/>
    <mergeCell ref="C10:D10"/>
    <mergeCell ref="A1:D1"/>
    <mergeCell ref="A2:D2"/>
    <mergeCell ref="A3:B3"/>
    <mergeCell ref="C3:D3"/>
    <mergeCell ref="A4:B4"/>
    <mergeCell ref="C4:D4"/>
  </mergeCells>
  <printOptions horizontalCentered="1"/>
  <pageMargins left="0.78740157480314965" right="0.78740157480314965" top="0.9055118110236221" bottom="0.9055118110236221" header="0.51181102362204722" footer="0.51181102362204722"/>
  <pageSetup paperSize="9" scale="40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3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J120"/>
  <sheetViews>
    <sheetView showGridLines="0" view="pageBreakPreview" topLeftCell="A100" zoomScale="90" zoomScaleNormal="100" zoomScalePageLayoutView="90" workbookViewId="0">
      <selection activeCell="B101" sqref="B101:C101"/>
    </sheetView>
  </sheetViews>
  <sheetFormatPr defaultRowHeight="12.75" x14ac:dyDescent="0.2"/>
  <cols>
    <col min="1" max="1" width="5.42578125" customWidth="1"/>
    <col min="2" max="2" width="60.85546875" customWidth="1"/>
    <col min="3" max="3" width="22.28515625" customWidth="1"/>
    <col min="4" max="4" width="22.7109375" customWidth="1"/>
    <col min="5" max="1025" width="9.140625" customWidth="1"/>
  </cols>
  <sheetData>
    <row r="1" spans="1:10" ht="20.25" x14ac:dyDescent="0.2">
      <c r="A1" s="316" t="s">
        <v>298</v>
      </c>
      <c r="B1" s="316"/>
      <c r="C1" s="316"/>
      <c r="D1" s="316"/>
      <c r="E1" s="1"/>
      <c r="F1" s="1"/>
      <c r="G1" s="1"/>
      <c r="H1" s="1"/>
      <c r="I1" s="1"/>
      <c r="J1" s="101"/>
    </row>
    <row r="2" spans="1:10" ht="14.25" x14ac:dyDescent="0.2">
      <c r="A2" s="276"/>
      <c r="B2" s="276"/>
      <c r="C2" s="276"/>
      <c r="D2" s="276"/>
      <c r="E2" s="1"/>
      <c r="F2" s="1"/>
      <c r="G2" s="1"/>
      <c r="H2" s="1"/>
      <c r="I2" s="1"/>
      <c r="J2" s="101"/>
    </row>
    <row r="3" spans="1:10" ht="14.25" x14ac:dyDescent="0.2">
      <c r="A3" s="275" t="s">
        <v>1024</v>
      </c>
      <c r="B3" s="275"/>
      <c r="C3" s="177" t="s">
        <v>383</v>
      </c>
      <c r="D3" s="182">
        <v>20.98</v>
      </c>
      <c r="E3" s="1"/>
      <c r="F3" s="1"/>
      <c r="G3" s="1"/>
      <c r="H3" s="1"/>
      <c r="I3" s="1"/>
      <c r="J3" s="101"/>
    </row>
    <row r="4" spans="1:10" ht="14.25" x14ac:dyDescent="0.2">
      <c r="A4" s="275" t="s">
        <v>1025</v>
      </c>
      <c r="B4" s="275"/>
      <c r="C4" s="177" t="s">
        <v>384</v>
      </c>
      <c r="D4" s="164">
        <v>0.06</v>
      </c>
      <c r="E4" s="1"/>
      <c r="F4" s="1"/>
      <c r="G4" s="1"/>
      <c r="H4" s="1"/>
      <c r="I4" s="1"/>
      <c r="J4" s="101"/>
    </row>
    <row r="5" spans="1:10" ht="14.25" x14ac:dyDescent="0.2">
      <c r="A5" s="185"/>
      <c r="B5" s="203"/>
      <c r="C5" s="117" t="s">
        <v>385</v>
      </c>
      <c r="D5" s="164">
        <v>0</v>
      </c>
      <c r="E5" s="1"/>
      <c r="F5" s="1"/>
      <c r="G5" s="1"/>
      <c r="H5" s="1"/>
      <c r="I5" s="1"/>
      <c r="J5" s="101"/>
    </row>
    <row r="6" spans="1:10" ht="14.25" x14ac:dyDescent="0.2">
      <c r="A6" s="319" t="s">
        <v>1026</v>
      </c>
      <c r="B6" s="319"/>
      <c r="C6" s="203"/>
      <c r="D6" s="203"/>
      <c r="E6" s="1"/>
      <c r="F6" s="1"/>
      <c r="G6" s="1"/>
      <c r="H6" s="1"/>
      <c r="I6" s="1"/>
      <c r="J6" s="101"/>
    </row>
    <row r="7" spans="1:10" ht="14.25" x14ac:dyDescent="0.2">
      <c r="A7" s="276"/>
      <c r="B7" s="276"/>
      <c r="C7" s="276"/>
      <c r="D7" s="276"/>
      <c r="E7" s="1"/>
      <c r="F7" s="1"/>
      <c r="G7" s="1"/>
      <c r="H7" s="1"/>
      <c r="I7" s="1"/>
      <c r="J7" s="101"/>
    </row>
    <row r="8" spans="1:10" ht="15" x14ac:dyDescent="0.2">
      <c r="A8" s="283" t="s">
        <v>299</v>
      </c>
      <c r="B8" s="283"/>
      <c r="C8" s="283"/>
      <c r="D8" s="283"/>
      <c r="E8" s="1"/>
      <c r="F8" s="1"/>
      <c r="G8" s="1"/>
      <c r="H8" s="1"/>
      <c r="I8" s="1"/>
      <c r="J8" s="101"/>
    </row>
    <row r="9" spans="1:10" ht="14.25" x14ac:dyDescent="0.2">
      <c r="A9" s="276"/>
      <c r="B9" s="276"/>
      <c r="C9" s="276"/>
      <c r="D9" s="276"/>
      <c r="E9" s="1"/>
      <c r="F9" s="1"/>
      <c r="G9" s="1"/>
      <c r="H9" s="1"/>
      <c r="I9" s="1"/>
      <c r="J9" s="101"/>
    </row>
    <row r="10" spans="1:10" ht="14.25" x14ac:dyDescent="0.2">
      <c r="A10" s="182" t="s">
        <v>8</v>
      </c>
      <c r="B10" s="117" t="s">
        <v>300</v>
      </c>
      <c r="C10" s="329">
        <v>44187</v>
      </c>
      <c r="D10" s="317"/>
      <c r="E10" s="1"/>
      <c r="F10" s="1"/>
      <c r="G10" s="1"/>
      <c r="H10" s="1"/>
      <c r="I10" s="1"/>
      <c r="J10" s="101"/>
    </row>
    <row r="11" spans="1:10" ht="14.25" x14ac:dyDescent="0.2">
      <c r="A11" s="182" t="s">
        <v>11</v>
      </c>
      <c r="B11" s="117" t="s">
        <v>301</v>
      </c>
      <c r="C11" s="317" t="s">
        <v>386</v>
      </c>
      <c r="D11" s="317"/>
      <c r="E11" s="1"/>
      <c r="F11" s="1"/>
      <c r="G11" s="1"/>
      <c r="H11" s="1"/>
      <c r="I11" s="1"/>
      <c r="J11" s="101"/>
    </row>
    <row r="12" spans="1:10" ht="14.25" x14ac:dyDescent="0.2">
      <c r="A12" s="182" t="s">
        <v>13</v>
      </c>
      <c r="B12" s="117" t="s">
        <v>303</v>
      </c>
      <c r="C12" s="317">
        <v>2020</v>
      </c>
      <c r="D12" s="317"/>
      <c r="E12" s="1"/>
      <c r="F12" s="1"/>
      <c r="G12" s="1"/>
      <c r="H12" s="1"/>
      <c r="I12" s="1"/>
      <c r="J12" s="101"/>
    </row>
    <row r="13" spans="1:10" ht="14.25" x14ac:dyDescent="0.2">
      <c r="A13" s="182" t="s">
        <v>15</v>
      </c>
      <c r="B13" s="117" t="s">
        <v>305</v>
      </c>
      <c r="C13" s="317">
        <v>12</v>
      </c>
      <c r="D13" s="317"/>
      <c r="E13" s="1"/>
      <c r="F13" s="1"/>
      <c r="G13" s="1"/>
      <c r="H13" s="1"/>
      <c r="I13" s="1"/>
      <c r="J13" s="101"/>
    </row>
    <row r="14" spans="1:10" ht="14.25" x14ac:dyDescent="0.2">
      <c r="A14" s="276"/>
      <c r="B14" s="276"/>
      <c r="C14" s="276"/>
      <c r="D14" s="276"/>
      <c r="E14" s="1"/>
      <c r="F14" s="1"/>
      <c r="G14" s="1"/>
      <c r="H14" s="1"/>
      <c r="I14" s="1"/>
      <c r="J14" s="101"/>
    </row>
    <row r="15" spans="1:10" ht="15" x14ac:dyDescent="0.2">
      <c r="A15" s="283" t="s">
        <v>306</v>
      </c>
      <c r="B15" s="283"/>
      <c r="C15" s="283"/>
      <c r="D15" s="283"/>
      <c r="E15" s="1"/>
      <c r="F15" s="1"/>
      <c r="G15" s="1"/>
      <c r="H15" s="1"/>
      <c r="I15" s="1"/>
      <c r="J15" s="101"/>
    </row>
    <row r="16" spans="1:10" ht="14.25" x14ac:dyDescent="0.2">
      <c r="A16" s="320"/>
      <c r="B16" s="320"/>
      <c r="C16" s="320"/>
      <c r="D16" s="320"/>
      <c r="E16" s="1"/>
      <c r="F16" s="1"/>
      <c r="G16" s="1"/>
      <c r="H16" s="1"/>
      <c r="I16" s="1"/>
      <c r="J16" s="101"/>
    </row>
    <row r="17" spans="1:10" ht="30.2" customHeight="1" x14ac:dyDescent="0.2">
      <c r="A17" s="211"/>
      <c r="B17" s="186" t="s">
        <v>307</v>
      </c>
      <c r="C17" s="186" t="s">
        <v>308</v>
      </c>
      <c r="D17" s="206" t="s">
        <v>309</v>
      </c>
      <c r="E17" s="1"/>
      <c r="F17" s="1"/>
      <c r="G17" s="1"/>
      <c r="H17" s="1"/>
      <c r="I17" s="1"/>
      <c r="J17" s="101"/>
    </row>
    <row r="18" spans="1:10" ht="15" customHeight="1" x14ac:dyDescent="0.2">
      <c r="A18" s="120"/>
      <c r="B18" s="180" t="s">
        <v>310</v>
      </c>
      <c r="C18" s="182" t="s">
        <v>311</v>
      </c>
      <c r="D18" s="107">
        <v>59637.97</v>
      </c>
      <c r="E18" s="1"/>
      <c r="F18" s="1"/>
      <c r="G18" s="1"/>
      <c r="H18" s="1"/>
      <c r="I18" s="1"/>
      <c r="J18" s="101"/>
    </row>
    <row r="19" spans="1:10" ht="14.25" x14ac:dyDescent="0.2">
      <c r="A19" s="321"/>
      <c r="B19" s="321"/>
      <c r="C19" s="321"/>
      <c r="D19" s="321"/>
      <c r="E19" s="1"/>
      <c r="F19" s="1"/>
      <c r="G19" s="1"/>
      <c r="H19" s="1"/>
      <c r="I19" s="1"/>
      <c r="J19" s="101"/>
    </row>
    <row r="20" spans="1:10" ht="15" x14ac:dyDescent="0.2">
      <c r="A20" s="322" t="s">
        <v>312</v>
      </c>
      <c r="B20" s="322"/>
      <c r="C20" s="322"/>
      <c r="D20" s="322"/>
      <c r="E20" s="1"/>
      <c r="F20" s="1"/>
      <c r="G20" s="1"/>
      <c r="H20" s="1"/>
      <c r="I20" s="1"/>
      <c r="J20" s="101"/>
    </row>
    <row r="21" spans="1:10" ht="14.25" x14ac:dyDescent="0.2">
      <c r="A21" s="182">
        <v>1</v>
      </c>
      <c r="B21" s="117" t="s">
        <v>313</v>
      </c>
      <c r="C21" s="275" t="s">
        <v>310</v>
      </c>
      <c r="D21" s="275"/>
      <c r="E21" s="1"/>
      <c r="F21" s="1"/>
      <c r="G21" s="1"/>
      <c r="H21" s="1"/>
      <c r="I21" s="1"/>
      <c r="J21" s="101"/>
    </row>
    <row r="22" spans="1:10" ht="14.25" x14ac:dyDescent="0.2">
      <c r="A22" s="182">
        <v>2</v>
      </c>
      <c r="B22" s="117" t="s">
        <v>314</v>
      </c>
      <c r="C22" s="275" t="s">
        <v>274</v>
      </c>
      <c r="D22" s="275"/>
      <c r="E22" s="1"/>
      <c r="F22" s="1"/>
      <c r="G22" s="1"/>
      <c r="H22" s="1"/>
      <c r="I22" s="1"/>
      <c r="J22" s="101"/>
    </row>
    <row r="23" spans="1:10" ht="14.25" x14ac:dyDescent="0.2">
      <c r="A23" s="182">
        <v>3</v>
      </c>
      <c r="B23" s="117" t="s">
        <v>316</v>
      </c>
      <c r="C23" s="323">
        <v>3087.67</v>
      </c>
      <c r="D23" s="323"/>
      <c r="E23" s="1"/>
      <c r="F23" s="1"/>
      <c r="G23" s="1"/>
      <c r="H23" s="1"/>
      <c r="I23" s="1"/>
      <c r="J23" s="101"/>
    </row>
    <row r="24" spans="1:10" ht="14.25" x14ac:dyDescent="0.2">
      <c r="A24" s="182">
        <v>4</v>
      </c>
      <c r="B24" s="117" t="s">
        <v>317</v>
      </c>
      <c r="C24" s="324" t="s">
        <v>387</v>
      </c>
      <c r="D24" s="324"/>
      <c r="E24" s="1"/>
      <c r="F24" s="1"/>
      <c r="G24" s="1"/>
      <c r="H24" s="1"/>
      <c r="I24" s="1"/>
      <c r="J24" s="101"/>
    </row>
    <row r="25" spans="1:10" ht="14.25" x14ac:dyDescent="0.2">
      <c r="A25" s="182">
        <v>5</v>
      </c>
      <c r="B25" s="117" t="s">
        <v>319</v>
      </c>
      <c r="C25" s="325">
        <v>43891</v>
      </c>
      <c r="D25" s="325"/>
      <c r="E25" s="101"/>
      <c r="F25" s="101"/>
      <c r="G25" s="101"/>
      <c r="H25" s="101"/>
      <c r="I25" s="101"/>
      <c r="J25" s="101"/>
    </row>
    <row r="26" spans="1:10" ht="14.25" x14ac:dyDescent="0.2">
      <c r="A26" s="276"/>
      <c r="B26" s="276"/>
      <c r="C26" s="276"/>
      <c r="D26" s="276"/>
      <c r="E26" s="101"/>
      <c r="F26" s="101"/>
      <c r="G26" s="101"/>
      <c r="H26" s="101"/>
      <c r="I26" s="101"/>
      <c r="J26" s="101"/>
    </row>
    <row r="27" spans="1:10" ht="14.25" x14ac:dyDescent="0.2">
      <c r="A27" s="276"/>
      <c r="B27" s="276"/>
      <c r="C27" s="276"/>
      <c r="D27" s="276"/>
      <c r="E27" s="101"/>
      <c r="F27" s="101"/>
      <c r="G27" s="101"/>
      <c r="H27" s="101"/>
      <c r="I27" s="101"/>
      <c r="J27" s="101"/>
    </row>
    <row r="28" spans="1:10" ht="15" x14ac:dyDescent="0.2">
      <c r="A28" s="326" t="s">
        <v>320</v>
      </c>
      <c r="B28" s="326"/>
      <c r="C28" s="326"/>
      <c r="D28" s="326"/>
      <c r="E28" s="101"/>
      <c r="F28" s="101"/>
      <c r="G28" s="101"/>
      <c r="H28" s="101"/>
      <c r="I28" s="101"/>
      <c r="J28" s="101"/>
    </row>
    <row r="29" spans="1:10" ht="15" x14ac:dyDescent="0.2">
      <c r="A29" s="186">
        <v>1</v>
      </c>
      <c r="B29" s="186" t="s">
        <v>321</v>
      </c>
      <c r="C29" s="186" t="s">
        <v>322</v>
      </c>
      <c r="D29" s="186" t="s">
        <v>323</v>
      </c>
      <c r="E29" s="101"/>
      <c r="F29" s="101"/>
      <c r="G29" s="101"/>
      <c r="H29" s="101"/>
      <c r="I29" s="101"/>
      <c r="J29" s="101"/>
    </row>
    <row r="30" spans="1:10" ht="14.25" x14ac:dyDescent="0.2">
      <c r="A30" s="182" t="s">
        <v>8</v>
      </c>
      <c r="B30" s="177" t="s">
        <v>324</v>
      </c>
      <c r="C30" s="164"/>
      <c r="D30" s="188">
        <v>3257.49</v>
      </c>
      <c r="E30" s="101"/>
      <c r="F30" s="101"/>
      <c r="G30" s="101"/>
      <c r="H30" s="101"/>
      <c r="I30" s="101"/>
      <c r="J30" s="101"/>
    </row>
    <row r="31" spans="1:10" ht="14.25" x14ac:dyDescent="0.2">
      <c r="A31" s="182" t="s">
        <v>11</v>
      </c>
      <c r="B31" s="177" t="s">
        <v>325</v>
      </c>
      <c r="C31" s="164"/>
      <c r="D31" s="188"/>
      <c r="E31" s="101"/>
      <c r="F31" s="101"/>
      <c r="G31" s="101"/>
      <c r="H31" s="101"/>
      <c r="I31" s="101"/>
      <c r="J31" s="101"/>
    </row>
    <row r="32" spans="1:10" ht="14.25" x14ac:dyDescent="0.2">
      <c r="A32" s="182" t="s">
        <v>13</v>
      </c>
      <c r="B32" s="177" t="s">
        <v>326</v>
      </c>
      <c r="C32" s="164"/>
      <c r="D32" s="188"/>
      <c r="E32" s="101"/>
      <c r="F32" s="101"/>
      <c r="G32" s="101"/>
      <c r="H32" s="101"/>
      <c r="I32" s="101"/>
      <c r="J32" s="101"/>
    </row>
    <row r="33" spans="1:10" ht="14.25" x14ac:dyDescent="0.2">
      <c r="A33" s="182" t="s">
        <v>15</v>
      </c>
      <c r="B33" s="177" t="s">
        <v>327</v>
      </c>
      <c r="C33" s="164"/>
      <c r="D33" s="188"/>
      <c r="E33" s="101"/>
      <c r="F33" s="101"/>
      <c r="G33" s="101"/>
      <c r="H33" s="101"/>
      <c r="I33" s="101"/>
      <c r="J33" s="101"/>
    </row>
    <row r="34" spans="1:10" ht="14.25" x14ac:dyDescent="0.2">
      <c r="A34" s="182" t="s">
        <v>20</v>
      </c>
      <c r="B34" s="177" t="s">
        <v>328</v>
      </c>
      <c r="C34" s="164"/>
      <c r="D34" s="188"/>
      <c r="E34" s="101"/>
      <c r="F34" s="101"/>
      <c r="G34" s="101"/>
      <c r="H34" s="101"/>
      <c r="I34" s="101"/>
      <c r="J34" s="101"/>
    </row>
    <row r="35" spans="1:10" ht="14.25" x14ac:dyDescent="0.2">
      <c r="A35" s="182" t="s">
        <v>22</v>
      </c>
      <c r="B35" s="177" t="s">
        <v>329</v>
      </c>
      <c r="C35" s="164"/>
      <c r="D35" s="188"/>
      <c r="E35" s="101"/>
      <c r="F35" s="101"/>
      <c r="G35" s="101"/>
      <c r="H35" s="101"/>
      <c r="I35" s="101"/>
      <c r="J35" s="101"/>
    </row>
    <row r="36" spans="1:10" ht="15" x14ac:dyDescent="0.2">
      <c r="A36" s="282" t="s">
        <v>330</v>
      </c>
      <c r="B36" s="282"/>
      <c r="C36" s="208">
        <f>SUM(C30:C35)</f>
        <v>0</v>
      </c>
      <c r="D36" s="209">
        <f>SUM(D30:D35)</f>
        <v>3257.49</v>
      </c>
      <c r="E36" s="101"/>
      <c r="F36" s="101"/>
      <c r="G36" s="101"/>
      <c r="H36" s="101"/>
      <c r="I36" s="101"/>
      <c r="J36" s="101"/>
    </row>
    <row r="37" spans="1:10" ht="14.25" x14ac:dyDescent="0.2">
      <c r="A37" s="276"/>
      <c r="B37" s="276"/>
      <c r="C37" s="276"/>
      <c r="D37" s="276"/>
      <c r="E37" s="101"/>
      <c r="F37" s="101"/>
      <c r="G37" s="101"/>
      <c r="H37" s="101"/>
      <c r="I37" s="101"/>
      <c r="J37" s="101"/>
    </row>
    <row r="38" spans="1:10" ht="15" x14ac:dyDescent="0.2">
      <c r="A38" s="326" t="s">
        <v>331</v>
      </c>
      <c r="B38" s="326"/>
      <c r="C38" s="326"/>
      <c r="D38" s="326"/>
      <c r="E38" s="101"/>
      <c r="F38" s="101"/>
      <c r="G38" s="101"/>
      <c r="H38" s="101"/>
      <c r="I38" s="101"/>
      <c r="J38" s="101"/>
    </row>
    <row r="39" spans="1:10" ht="15" x14ac:dyDescent="0.2">
      <c r="A39" s="326" t="s">
        <v>332</v>
      </c>
      <c r="B39" s="326"/>
      <c r="C39" s="326"/>
      <c r="D39" s="326"/>
      <c r="E39" s="101"/>
      <c r="F39" s="101"/>
      <c r="G39" s="101"/>
      <c r="H39" s="101"/>
      <c r="I39" s="101"/>
      <c r="J39" s="101"/>
    </row>
    <row r="40" spans="1:10" ht="15" x14ac:dyDescent="0.2">
      <c r="A40" s="186" t="s">
        <v>206</v>
      </c>
      <c r="B40" s="186" t="s">
        <v>333</v>
      </c>
      <c r="C40" s="186" t="s">
        <v>322</v>
      </c>
      <c r="D40" s="186" t="s">
        <v>323</v>
      </c>
      <c r="E40" s="101"/>
      <c r="F40" s="101"/>
      <c r="G40" s="101"/>
      <c r="H40" s="101"/>
      <c r="I40" s="101"/>
      <c r="J40" s="101"/>
    </row>
    <row r="41" spans="1:10" ht="14.25" x14ac:dyDescent="0.2">
      <c r="A41" s="182" t="s">
        <v>8</v>
      </c>
      <c r="B41" s="117" t="s">
        <v>334</v>
      </c>
      <c r="C41" s="164">
        <v>8.3299999999999999E-2</v>
      </c>
      <c r="D41" s="189">
        <f>C41*$D$36</f>
        <v>271.34891699999997</v>
      </c>
      <c r="E41" s="101"/>
      <c r="F41" s="101"/>
      <c r="G41" s="101"/>
      <c r="H41" s="101"/>
      <c r="I41" s="101"/>
      <c r="J41" s="101"/>
    </row>
    <row r="42" spans="1:10" ht="14.25" x14ac:dyDescent="0.2">
      <c r="A42" s="182" t="s">
        <v>11</v>
      </c>
      <c r="B42" s="117" t="s">
        <v>335</v>
      </c>
      <c r="C42" s="164">
        <v>0.121</v>
      </c>
      <c r="D42" s="189">
        <f>C42*$D$36</f>
        <v>394.15628999999996</v>
      </c>
      <c r="E42" s="101"/>
      <c r="F42" s="101"/>
      <c r="G42" s="101"/>
      <c r="H42" s="101"/>
      <c r="I42" s="101"/>
      <c r="J42" s="101"/>
    </row>
    <row r="43" spans="1:10" ht="15" x14ac:dyDescent="0.2">
      <c r="A43" s="282" t="s">
        <v>330</v>
      </c>
      <c r="B43" s="282"/>
      <c r="C43" s="208">
        <f>SUM(C41:C42)</f>
        <v>0.20429999999999998</v>
      </c>
      <c r="D43" s="190">
        <f>SUM(D41:D42)</f>
        <v>665.50520699999993</v>
      </c>
      <c r="E43" s="101"/>
      <c r="F43" s="101"/>
      <c r="G43" s="101"/>
      <c r="H43" s="101"/>
      <c r="I43" s="101"/>
      <c r="J43" s="101"/>
    </row>
    <row r="44" spans="1:10" ht="14.25" x14ac:dyDescent="0.2">
      <c r="A44" s="276"/>
      <c r="B44" s="276"/>
      <c r="C44" s="276"/>
      <c r="D44" s="276"/>
      <c r="E44" s="101"/>
      <c r="F44" s="101"/>
      <c r="G44" s="101"/>
      <c r="H44" s="101"/>
      <c r="I44" s="101"/>
      <c r="J44" s="101"/>
    </row>
    <row r="45" spans="1:10" ht="28.15" customHeight="1" x14ac:dyDescent="0.2">
      <c r="A45" s="327" t="s">
        <v>336</v>
      </c>
      <c r="B45" s="327"/>
      <c r="C45" s="327"/>
      <c r="D45" s="327"/>
      <c r="E45" s="101"/>
      <c r="F45" s="101"/>
      <c r="G45" s="101"/>
      <c r="H45" s="101"/>
      <c r="I45" s="101"/>
      <c r="J45" s="101"/>
    </row>
    <row r="46" spans="1:10" ht="15" x14ac:dyDescent="0.2">
      <c r="A46" s="186" t="s">
        <v>208</v>
      </c>
      <c r="B46" s="186" t="s">
        <v>337</v>
      </c>
      <c r="C46" s="186" t="s">
        <v>322</v>
      </c>
      <c r="D46" s="186" t="s">
        <v>323</v>
      </c>
      <c r="E46" s="101"/>
      <c r="F46" s="101"/>
      <c r="G46" s="101"/>
      <c r="H46" s="101"/>
      <c r="I46" s="101"/>
      <c r="J46" s="101"/>
    </row>
    <row r="47" spans="1:10" ht="14.25" x14ac:dyDescent="0.2">
      <c r="A47" s="182" t="s">
        <v>8</v>
      </c>
      <c r="B47" s="117" t="s">
        <v>338</v>
      </c>
      <c r="C47" s="164">
        <v>0</v>
      </c>
      <c r="D47" s="188">
        <f t="shared" ref="D47:D54" si="0">C47*($D$36+$D$43)</f>
        <v>0</v>
      </c>
      <c r="E47" s="101"/>
      <c r="F47" s="101"/>
      <c r="G47" s="101"/>
      <c r="H47" s="101"/>
      <c r="I47" s="101"/>
      <c r="J47" s="101"/>
    </row>
    <row r="48" spans="1:10" ht="14.25" x14ac:dyDescent="0.2">
      <c r="A48" s="182" t="s">
        <v>11</v>
      </c>
      <c r="B48" s="117" t="s">
        <v>339</v>
      </c>
      <c r="C48" s="164">
        <v>2.5000000000000001E-2</v>
      </c>
      <c r="D48" s="188">
        <f t="shared" si="0"/>
        <v>98.074880175000004</v>
      </c>
      <c r="E48" s="101"/>
      <c r="F48" s="101"/>
      <c r="G48" s="101"/>
      <c r="H48" s="101"/>
      <c r="I48" s="101"/>
      <c r="J48" s="101"/>
    </row>
    <row r="49" spans="1:10" ht="14.25" x14ac:dyDescent="0.2">
      <c r="A49" s="182" t="s">
        <v>13</v>
      </c>
      <c r="B49" s="117" t="s">
        <v>1020</v>
      </c>
      <c r="C49" s="210">
        <v>1.4999999999999999E-2</v>
      </c>
      <c r="D49" s="188">
        <f t="shared" si="0"/>
        <v>58.844928104999994</v>
      </c>
      <c r="E49" s="101"/>
      <c r="F49" s="101"/>
      <c r="G49" s="101"/>
      <c r="H49" s="101"/>
      <c r="I49" s="101"/>
      <c r="J49" s="101"/>
    </row>
    <row r="50" spans="1:10" ht="14.25" x14ac:dyDescent="0.2">
      <c r="A50" s="182" t="s">
        <v>15</v>
      </c>
      <c r="B50" s="117" t="s">
        <v>340</v>
      </c>
      <c r="C50" s="164">
        <v>1.4999999999999999E-2</v>
      </c>
      <c r="D50" s="188">
        <f t="shared" si="0"/>
        <v>58.844928104999994</v>
      </c>
      <c r="E50" s="101"/>
      <c r="F50" s="101"/>
      <c r="G50" s="101"/>
      <c r="H50" s="101"/>
      <c r="I50" s="101"/>
      <c r="J50" s="101"/>
    </row>
    <row r="51" spans="1:10" ht="14.25" x14ac:dyDescent="0.2">
      <c r="A51" s="182" t="s">
        <v>20</v>
      </c>
      <c r="B51" s="117" t="s">
        <v>341</v>
      </c>
      <c r="C51" s="164">
        <v>0.01</v>
      </c>
      <c r="D51" s="188">
        <f t="shared" si="0"/>
        <v>39.229952070000003</v>
      </c>
      <c r="E51" s="101"/>
      <c r="F51" s="101"/>
      <c r="G51" s="101"/>
      <c r="H51" s="101"/>
      <c r="I51" s="101"/>
      <c r="J51" s="101"/>
    </row>
    <row r="52" spans="1:10" ht="14.25" x14ac:dyDescent="0.2">
      <c r="A52" s="182" t="s">
        <v>22</v>
      </c>
      <c r="B52" s="117" t="s">
        <v>342</v>
      </c>
      <c r="C52" s="164">
        <v>6.0000000000000001E-3</v>
      </c>
      <c r="D52" s="188">
        <f t="shared" si="0"/>
        <v>23.537971242000001</v>
      </c>
    </row>
    <row r="53" spans="1:10" ht="14.25" x14ac:dyDescent="0.2">
      <c r="A53" s="182" t="s">
        <v>279</v>
      </c>
      <c r="B53" s="117" t="s">
        <v>343</v>
      </c>
      <c r="C53" s="164">
        <v>2E-3</v>
      </c>
      <c r="D53" s="188">
        <f t="shared" si="0"/>
        <v>7.8459904140000001</v>
      </c>
    </row>
    <row r="54" spans="1:10" ht="14.25" x14ac:dyDescent="0.2">
      <c r="A54" s="182" t="s">
        <v>190</v>
      </c>
      <c r="B54" s="117" t="s">
        <v>344</v>
      </c>
      <c r="C54" s="164">
        <v>0.08</v>
      </c>
      <c r="D54" s="188">
        <f t="shared" si="0"/>
        <v>313.83961656000002</v>
      </c>
    </row>
    <row r="55" spans="1:10" ht="15" x14ac:dyDescent="0.2">
      <c r="A55" s="282" t="s">
        <v>330</v>
      </c>
      <c r="B55" s="282"/>
      <c r="C55" s="208">
        <f>SUM(C47:C54)</f>
        <v>0.15300000000000002</v>
      </c>
      <c r="D55" s="209">
        <f>SUM(D47:D54)</f>
        <v>600.21826667100004</v>
      </c>
    </row>
    <row r="56" spans="1:10" ht="14.25" x14ac:dyDescent="0.2">
      <c r="A56" s="276"/>
      <c r="B56" s="276"/>
      <c r="C56" s="276"/>
      <c r="D56" s="276"/>
    </row>
    <row r="57" spans="1:10" ht="15" x14ac:dyDescent="0.2">
      <c r="A57" s="326" t="s">
        <v>345</v>
      </c>
      <c r="B57" s="326"/>
      <c r="C57" s="326"/>
      <c r="D57" s="326"/>
    </row>
    <row r="58" spans="1:10" ht="15" x14ac:dyDescent="0.2">
      <c r="A58" s="186" t="s">
        <v>346</v>
      </c>
      <c r="B58" s="186" t="s">
        <v>347</v>
      </c>
      <c r="C58" s="211"/>
      <c r="D58" s="186" t="s">
        <v>323</v>
      </c>
    </row>
    <row r="59" spans="1:10" ht="14.25" x14ac:dyDescent="0.2">
      <c r="A59" s="182" t="s">
        <v>8</v>
      </c>
      <c r="B59" s="117" t="s">
        <v>348</v>
      </c>
      <c r="C59" s="168">
        <v>2.75</v>
      </c>
      <c r="D59" s="189">
        <f>IF(((2*C59*D3)-(D4*D30))&gt;0,(2*C59*D3)-(D4*D30),0)</f>
        <v>0</v>
      </c>
    </row>
    <row r="60" spans="1:10" ht="14.25" x14ac:dyDescent="0.2">
      <c r="A60" s="182" t="s">
        <v>11</v>
      </c>
      <c r="B60" s="117" t="s">
        <v>1028</v>
      </c>
      <c r="C60" s="104">
        <f>300 + (3.43*20.98)</f>
        <v>371.96140000000003</v>
      </c>
      <c r="D60" s="189">
        <f>C60</f>
        <v>371.96140000000003</v>
      </c>
    </row>
    <row r="61" spans="1:10" ht="14.25" x14ac:dyDescent="0.2">
      <c r="A61" s="182" t="s">
        <v>13</v>
      </c>
      <c r="B61" s="117" t="s">
        <v>350</v>
      </c>
      <c r="C61" s="168">
        <v>0</v>
      </c>
      <c r="D61" s="189">
        <f>C61</f>
        <v>0</v>
      </c>
    </row>
    <row r="62" spans="1:10" ht="14.25" x14ac:dyDescent="0.2">
      <c r="A62" s="182" t="s">
        <v>15</v>
      </c>
      <c r="B62" s="169" t="s">
        <v>1021</v>
      </c>
      <c r="C62" s="168">
        <v>4.9400000000000004</v>
      </c>
      <c r="D62" s="189">
        <f>C62</f>
        <v>4.9400000000000004</v>
      </c>
    </row>
    <row r="63" spans="1:10" ht="15" x14ac:dyDescent="0.2">
      <c r="A63" s="282" t="s">
        <v>330</v>
      </c>
      <c r="B63" s="282"/>
      <c r="C63" s="282"/>
      <c r="D63" s="190">
        <f>SUM(D59:D62)</f>
        <v>376.90140000000002</v>
      </c>
    </row>
    <row r="64" spans="1:10" ht="14.25" x14ac:dyDescent="0.2">
      <c r="A64" s="276"/>
      <c r="B64" s="276"/>
      <c r="C64" s="276"/>
      <c r="D64" s="276"/>
    </row>
    <row r="65" spans="1:4" ht="15" x14ac:dyDescent="0.2">
      <c r="A65" s="326" t="s">
        <v>351</v>
      </c>
      <c r="B65" s="326"/>
      <c r="C65" s="326"/>
      <c r="D65" s="326"/>
    </row>
    <row r="66" spans="1:4" ht="15" x14ac:dyDescent="0.2">
      <c r="A66" s="186">
        <v>2</v>
      </c>
      <c r="B66" s="328" t="s">
        <v>352</v>
      </c>
      <c r="C66" s="328"/>
      <c r="D66" s="186" t="s">
        <v>323</v>
      </c>
    </row>
    <row r="67" spans="1:4" ht="14.25" x14ac:dyDescent="0.2">
      <c r="A67" s="182" t="s">
        <v>206</v>
      </c>
      <c r="B67" s="275" t="s">
        <v>333</v>
      </c>
      <c r="C67" s="275"/>
      <c r="D67" s="189">
        <f>D43</f>
        <v>665.50520699999993</v>
      </c>
    </row>
    <row r="68" spans="1:4" ht="14.25" x14ac:dyDescent="0.2">
      <c r="A68" s="182" t="s">
        <v>208</v>
      </c>
      <c r="B68" s="275" t="s">
        <v>337</v>
      </c>
      <c r="C68" s="275"/>
      <c r="D68" s="189">
        <f>D55</f>
        <v>600.21826667100004</v>
      </c>
    </row>
    <row r="69" spans="1:4" ht="14.25" x14ac:dyDescent="0.2">
      <c r="A69" s="182" t="s">
        <v>346</v>
      </c>
      <c r="B69" s="275" t="s">
        <v>347</v>
      </c>
      <c r="C69" s="275"/>
      <c r="D69" s="189">
        <f>D63</f>
        <v>376.90140000000002</v>
      </c>
    </row>
    <row r="70" spans="1:4" ht="15" x14ac:dyDescent="0.2">
      <c r="A70" s="282" t="s">
        <v>330</v>
      </c>
      <c r="B70" s="282"/>
      <c r="C70" s="282"/>
      <c r="D70" s="190">
        <f>SUM(D67:D69)</f>
        <v>1642.6248736709999</v>
      </c>
    </row>
    <row r="71" spans="1:4" ht="14.25" x14ac:dyDescent="0.2">
      <c r="A71" s="276"/>
      <c r="B71" s="276"/>
      <c r="C71" s="276"/>
      <c r="D71" s="276"/>
    </row>
    <row r="72" spans="1:4" ht="15" customHeight="1" x14ac:dyDescent="0.2">
      <c r="A72" s="327" t="s">
        <v>353</v>
      </c>
      <c r="B72" s="327"/>
      <c r="C72" s="327"/>
      <c r="D72" s="327"/>
    </row>
    <row r="73" spans="1:4" ht="15" x14ac:dyDescent="0.2">
      <c r="A73" s="186">
        <v>3</v>
      </c>
      <c r="B73" s="186" t="s">
        <v>354</v>
      </c>
      <c r="C73" s="186" t="s">
        <v>322</v>
      </c>
      <c r="D73" s="186" t="s">
        <v>323</v>
      </c>
    </row>
    <row r="74" spans="1:4" ht="14.25" x14ac:dyDescent="0.2">
      <c r="A74" s="182" t="s">
        <v>8</v>
      </c>
      <c r="B74" s="117" t="s">
        <v>355</v>
      </c>
      <c r="C74" s="246">
        <v>4.2000000000000002E-4</v>
      </c>
      <c r="D74" s="189">
        <f t="shared" ref="D74:D79" si="1">C74*$D$36</f>
        <v>1.3681458</v>
      </c>
    </row>
    <row r="75" spans="1:4" ht="14.25" x14ac:dyDescent="0.2">
      <c r="A75" s="182" t="s">
        <v>11</v>
      </c>
      <c r="B75" s="117" t="s">
        <v>356</v>
      </c>
      <c r="C75" s="246">
        <f>C54*C74</f>
        <v>3.3600000000000004E-5</v>
      </c>
      <c r="D75" s="189">
        <f t="shared" si="1"/>
        <v>0.109451664</v>
      </c>
    </row>
    <row r="76" spans="1:4" ht="28.5" x14ac:dyDescent="0.2">
      <c r="A76" s="182" t="s">
        <v>13</v>
      </c>
      <c r="B76" s="120" t="s">
        <v>357</v>
      </c>
      <c r="C76" s="164">
        <v>0.02</v>
      </c>
      <c r="D76" s="189">
        <f t="shared" si="1"/>
        <v>65.149799999999999</v>
      </c>
    </row>
    <row r="77" spans="1:4" ht="14.25" x14ac:dyDescent="0.2">
      <c r="A77" s="182" t="s">
        <v>15</v>
      </c>
      <c r="B77" s="117" t="s">
        <v>358</v>
      </c>
      <c r="C77" s="246">
        <v>1.9400000000000001E-3</v>
      </c>
      <c r="D77" s="189">
        <f t="shared" si="1"/>
        <v>6.3195306000000002</v>
      </c>
    </row>
    <row r="78" spans="1:4" ht="28.5" x14ac:dyDescent="0.2">
      <c r="A78" s="182" t="s">
        <v>20</v>
      </c>
      <c r="B78" s="120" t="s">
        <v>359</v>
      </c>
      <c r="C78" s="164">
        <f>C55*C77</f>
        <v>2.9682000000000005E-4</v>
      </c>
      <c r="D78" s="189">
        <f t="shared" si="1"/>
        <v>0.96688818180000013</v>
      </c>
    </row>
    <row r="79" spans="1:4" ht="28.5" x14ac:dyDescent="0.2">
      <c r="A79" s="182" t="s">
        <v>22</v>
      </c>
      <c r="B79" s="120" t="s">
        <v>360</v>
      </c>
      <c r="C79" s="164">
        <v>0.02</v>
      </c>
      <c r="D79" s="189">
        <f t="shared" si="1"/>
        <v>65.149799999999999</v>
      </c>
    </row>
    <row r="80" spans="1:4" ht="15" x14ac:dyDescent="0.2">
      <c r="A80" s="282" t="s">
        <v>330</v>
      </c>
      <c r="B80" s="282"/>
      <c r="C80" s="208">
        <f>SUM(C74:C79)</f>
        <v>4.269042E-2</v>
      </c>
      <c r="D80" s="190">
        <f>SUM(D74:D79)</f>
        <v>139.06361624580001</v>
      </c>
    </row>
    <row r="81" spans="1:4" ht="14.25" x14ac:dyDescent="0.2">
      <c r="A81" s="276"/>
      <c r="B81" s="276"/>
      <c r="C81" s="276"/>
      <c r="D81" s="276"/>
    </row>
    <row r="82" spans="1:4" ht="15" x14ac:dyDescent="0.2">
      <c r="A82" s="326" t="s">
        <v>361</v>
      </c>
      <c r="B82" s="326"/>
      <c r="C82" s="326"/>
      <c r="D82" s="326"/>
    </row>
    <row r="83" spans="1:4" ht="15" x14ac:dyDescent="0.2">
      <c r="A83" s="326" t="s">
        <v>362</v>
      </c>
      <c r="B83" s="326"/>
      <c r="C83" s="326"/>
      <c r="D83" s="326"/>
    </row>
    <row r="84" spans="1:4" ht="15" x14ac:dyDescent="0.2">
      <c r="A84" s="186" t="s">
        <v>363</v>
      </c>
      <c r="B84" s="186" t="s">
        <v>364</v>
      </c>
      <c r="C84" s="186" t="s">
        <v>322</v>
      </c>
      <c r="D84" s="186" t="s">
        <v>323</v>
      </c>
    </row>
    <row r="85" spans="1:4" ht="14.25" x14ac:dyDescent="0.2">
      <c r="A85" s="182" t="s">
        <v>8</v>
      </c>
      <c r="B85" s="117" t="s">
        <v>365</v>
      </c>
      <c r="C85" s="164">
        <v>9.2999999999999992E-3</v>
      </c>
      <c r="D85" s="189">
        <f>C85*$D$36</f>
        <v>30.294656999999994</v>
      </c>
    </row>
    <row r="86" spans="1:4" ht="14.25" x14ac:dyDescent="0.2">
      <c r="A86" s="182" t="s">
        <v>11</v>
      </c>
      <c r="B86" s="117" t="s">
        <v>366</v>
      </c>
      <c r="C86" s="164">
        <v>2.8E-3</v>
      </c>
      <c r="D86" s="189">
        <f>C86*$D$36</f>
        <v>9.1209720000000001</v>
      </c>
    </row>
    <row r="87" spans="1:4" ht="14.25" x14ac:dyDescent="0.2">
      <c r="A87" s="182" t="s">
        <v>13</v>
      </c>
      <c r="B87" s="117" t="s">
        <v>367</v>
      </c>
      <c r="C87" s="164">
        <v>8.0000000000000004E-4</v>
      </c>
      <c r="D87" s="189">
        <f>C87*$D$36</f>
        <v>2.6059920000000001</v>
      </c>
    </row>
    <row r="88" spans="1:4" ht="14.25" x14ac:dyDescent="0.2">
      <c r="A88" s="182" t="s">
        <v>15</v>
      </c>
      <c r="B88" s="117" t="s">
        <v>368</v>
      </c>
      <c r="C88" s="164">
        <v>2.7000000000000001E-3</v>
      </c>
      <c r="D88" s="189">
        <f>C88*$D$36</f>
        <v>8.795223</v>
      </c>
    </row>
    <row r="89" spans="1:4" ht="14.25" x14ac:dyDescent="0.2">
      <c r="A89" s="182" t="s">
        <v>20</v>
      </c>
      <c r="B89" s="117" t="s">
        <v>369</v>
      </c>
      <c r="C89" s="164">
        <v>2.9999999999999997E-4</v>
      </c>
      <c r="D89" s="189">
        <f>C89*$D$36</f>
        <v>0.97724699999999987</v>
      </c>
    </row>
    <row r="90" spans="1:4" ht="14.25" x14ac:dyDescent="0.2">
      <c r="A90" s="182" t="s">
        <v>22</v>
      </c>
      <c r="B90" s="117" t="s">
        <v>370</v>
      </c>
      <c r="C90" s="164"/>
      <c r="D90" s="189"/>
    </row>
    <row r="91" spans="1:4" ht="15" x14ac:dyDescent="0.2">
      <c r="A91" s="282" t="s">
        <v>330</v>
      </c>
      <c r="B91" s="282"/>
      <c r="C91" s="208">
        <f>SUM(C85:C90)</f>
        <v>1.5900000000000001E-2</v>
      </c>
      <c r="D91" s="190">
        <f>SUM(D85:D90)</f>
        <v>51.794090999999995</v>
      </c>
    </row>
    <row r="92" spans="1:4" ht="14.25" x14ac:dyDescent="0.2">
      <c r="A92" s="276"/>
      <c r="B92" s="276"/>
      <c r="C92" s="276"/>
      <c r="D92" s="276"/>
    </row>
    <row r="93" spans="1:4" ht="15" x14ac:dyDescent="0.2">
      <c r="A93" s="326" t="s">
        <v>371</v>
      </c>
      <c r="B93" s="326"/>
      <c r="C93" s="326"/>
      <c r="D93" s="326"/>
    </row>
    <row r="94" spans="1:4" ht="15" x14ac:dyDescent="0.2">
      <c r="A94" s="186" t="s">
        <v>372</v>
      </c>
      <c r="B94" s="186" t="s">
        <v>373</v>
      </c>
      <c r="C94" s="186" t="s">
        <v>322</v>
      </c>
      <c r="D94" s="186" t="s">
        <v>323</v>
      </c>
    </row>
    <row r="95" spans="1:4" ht="14.25" x14ac:dyDescent="0.2">
      <c r="A95" s="182" t="s">
        <v>8</v>
      </c>
      <c r="B95" s="117" t="s">
        <v>374</v>
      </c>
      <c r="C95" s="164"/>
      <c r="D95" s="189">
        <f>C95*$D$36</f>
        <v>0</v>
      </c>
    </row>
    <row r="96" spans="1:4" ht="15" x14ac:dyDescent="0.2">
      <c r="A96" s="282" t="s">
        <v>330</v>
      </c>
      <c r="B96" s="282"/>
      <c r="C96" s="208">
        <f>C95</f>
        <v>0</v>
      </c>
      <c r="D96" s="190">
        <f>D95</f>
        <v>0</v>
      </c>
    </row>
    <row r="97" spans="1:4" ht="14.25" x14ac:dyDescent="0.2">
      <c r="A97" s="276"/>
      <c r="B97" s="276"/>
      <c r="C97" s="276"/>
      <c r="D97" s="276"/>
    </row>
    <row r="98" spans="1:4" ht="15" x14ac:dyDescent="0.2">
      <c r="A98" s="326" t="s">
        <v>375</v>
      </c>
      <c r="B98" s="326"/>
      <c r="C98" s="326"/>
      <c r="D98" s="326"/>
    </row>
    <row r="99" spans="1:4" ht="15" x14ac:dyDescent="0.2">
      <c r="A99" s="186">
        <v>4</v>
      </c>
      <c r="B99" s="328" t="s">
        <v>376</v>
      </c>
      <c r="C99" s="328"/>
      <c r="D99" s="186" t="s">
        <v>323</v>
      </c>
    </row>
    <row r="100" spans="1:4" ht="14.25" x14ac:dyDescent="0.2">
      <c r="A100" s="182" t="s">
        <v>363</v>
      </c>
      <c r="B100" s="275" t="s">
        <v>364</v>
      </c>
      <c r="C100" s="275"/>
      <c r="D100" s="189">
        <f>D91</f>
        <v>51.794090999999995</v>
      </c>
    </row>
    <row r="101" spans="1:4" ht="14.25" x14ac:dyDescent="0.2">
      <c r="A101" s="182" t="s">
        <v>372</v>
      </c>
      <c r="B101" s="275" t="s">
        <v>373</v>
      </c>
      <c r="C101" s="275"/>
      <c r="D101" s="189">
        <f>D96</f>
        <v>0</v>
      </c>
    </row>
    <row r="102" spans="1:4" ht="15" x14ac:dyDescent="0.2">
      <c r="A102" s="282" t="s">
        <v>330</v>
      </c>
      <c r="B102" s="282"/>
      <c r="C102" s="282"/>
      <c r="D102" s="190">
        <f>SUM(D100:D101)</f>
        <v>51.794090999999995</v>
      </c>
    </row>
    <row r="103" spans="1:4" ht="14.25" x14ac:dyDescent="0.2">
      <c r="A103" s="276"/>
      <c r="B103" s="276"/>
      <c r="C103" s="276"/>
      <c r="D103" s="276"/>
    </row>
    <row r="104" spans="1:4" ht="15" customHeight="1" x14ac:dyDescent="0.2">
      <c r="A104" s="327" t="s">
        <v>377</v>
      </c>
      <c r="B104" s="327"/>
      <c r="C104" s="327"/>
      <c r="D104" s="327"/>
    </row>
    <row r="105" spans="1:4" ht="15" x14ac:dyDescent="0.2">
      <c r="A105" s="186">
        <v>5</v>
      </c>
      <c r="B105" s="186" t="s">
        <v>354</v>
      </c>
      <c r="C105" s="186"/>
      <c r="D105" s="186" t="s">
        <v>323</v>
      </c>
    </row>
    <row r="106" spans="1:4" ht="14.25" x14ac:dyDescent="0.2">
      <c r="A106" s="182" t="s">
        <v>8</v>
      </c>
      <c r="B106" s="117" t="s">
        <v>378</v>
      </c>
      <c r="C106" s="164"/>
      <c r="D106" s="214">
        <f>'VIII Uniformes e EPI''s'!I11</f>
        <v>37.502656869608209</v>
      </c>
    </row>
    <row r="107" spans="1:4" ht="14.25" x14ac:dyDescent="0.2">
      <c r="A107" s="182" t="s">
        <v>11</v>
      </c>
      <c r="B107" s="117" t="s">
        <v>379</v>
      </c>
      <c r="C107" s="164"/>
      <c r="D107" s="189">
        <v>0</v>
      </c>
    </row>
    <row r="108" spans="1:4" ht="14.25" x14ac:dyDescent="0.2">
      <c r="A108" s="182" t="s">
        <v>13</v>
      </c>
      <c r="B108" s="117" t="s">
        <v>380</v>
      </c>
      <c r="C108" s="164"/>
      <c r="D108" s="189">
        <v>0</v>
      </c>
    </row>
    <row r="109" spans="1:4" ht="14.25" x14ac:dyDescent="0.2">
      <c r="A109" s="182" t="s">
        <v>15</v>
      </c>
      <c r="B109" s="117" t="s">
        <v>329</v>
      </c>
      <c r="C109" s="164"/>
      <c r="D109" s="189">
        <v>0</v>
      </c>
    </row>
    <row r="110" spans="1:4" ht="15" x14ac:dyDescent="0.2">
      <c r="A110" s="282" t="s">
        <v>330</v>
      </c>
      <c r="B110" s="282"/>
      <c r="C110" s="282"/>
      <c r="D110" s="190">
        <f>SUM(D106:D109)</f>
        <v>37.502656869608209</v>
      </c>
    </row>
    <row r="111" spans="1:4" ht="14.25" x14ac:dyDescent="0.2">
      <c r="A111" s="276"/>
      <c r="B111" s="276"/>
      <c r="C111" s="276"/>
      <c r="D111" s="276"/>
    </row>
    <row r="112" spans="1:4" ht="15" x14ac:dyDescent="0.2">
      <c r="A112" s="283"/>
      <c r="B112" s="283"/>
      <c r="C112" s="283"/>
      <c r="D112" s="283"/>
    </row>
    <row r="113" spans="1:4" ht="14.25" x14ac:dyDescent="0.2">
      <c r="A113" s="276"/>
      <c r="B113" s="276"/>
      <c r="C113" s="276"/>
      <c r="D113" s="276"/>
    </row>
    <row r="114" spans="1:4" ht="15" x14ac:dyDescent="0.2">
      <c r="A114" s="186"/>
      <c r="B114" s="322" t="s">
        <v>381</v>
      </c>
      <c r="C114" s="322"/>
      <c r="D114" s="186" t="s">
        <v>323</v>
      </c>
    </row>
    <row r="115" spans="1:4" ht="15" x14ac:dyDescent="0.2">
      <c r="A115" s="213" t="s">
        <v>8</v>
      </c>
      <c r="B115" s="275" t="s">
        <v>320</v>
      </c>
      <c r="C115" s="275"/>
      <c r="D115" s="189">
        <f>D36</f>
        <v>3257.49</v>
      </c>
    </row>
    <row r="116" spans="1:4" ht="15" x14ac:dyDescent="0.2">
      <c r="A116" s="213" t="s">
        <v>11</v>
      </c>
      <c r="B116" s="275" t="s">
        <v>331</v>
      </c>
      <c r="C116" s="275"/>
      <c r="D116" s="189">
        <f>D70</f>
        <v>1642.6248736709999</v>
      </c>
    </row>
    <row r="117" spans="1:4" ht="15" x14ac:dyDescent="0.2">
      <c r="A117" s="213" t="s">
        <v>13</v>
      </c>
      <c r="B117" s="275" t="s">
        <v>353</v>
      </c>
      <c r="C117" s="275"/>
      <c r="D117" s="189">
        <f>D80</f>
        <v>139.06361624580001</v>
      </c>
    </row>
    <row r="118" spans="1:4" ht="15" x14ac:dyDescent="0.2">
      <c r="A118" s="213" t="s">
        <v>15</v>
      </c>
      <c r="B118" s="275" t="s">
        <v>361</v>
      </c>
      <c r="C118" s="275"/>
      <c r="D118" s="189">
        <f>D102</f>
        <v>51.794090999999995</v>
      </c>
    </row>
    <row r="119" spans="1:4" ht="15" x14ac:dyDescent="0.2">
      <c r="A119" s="213" t="s">
        <v>20</v>
      </c>
      <c r="B119" s="275" t="s">
        <v>377</v>
      </c>
      <c r="C119" s="275"/>
      <c r="D119" s="189">
        <f>D110</f>
        <v>37.502656869608209</v>
      </c>
    </row>
    <row r="120" spans="1:4" ht="15" x14ac:dyDescent="0.2">
      <c r="A120" s="282" t="s">
        <v>382</v>
      </c>
      <c r="B120" s="282"/>
      <c r="C120" s="282"/>
      <c r="D120" s="190">
        <f>SUM(D115:D119)</f>
        <v>5128.4752377864088</v>
      </c>
    </row>
  </sheetData>
  <mergeCells count="72">
    <mergeCell ref="A120:C120"/>
    <mergeCell ref="B115:C115"/>
    <mergeCell ref="B116:C116"/>
    <mergeCell ref="B117:C117"/>
    <mergeCell ref="B118:C118"/>
    <mergeCell ref="B119:C119"/>
    <mergeCell ref="A110:C110"/>
    <mergeCell ref="A111:D111"/>
    <mergeCell ref="A112:D112"/>
    <mergeCell ref="A113:D113"/>
    <mergeCell ref="B114:C114"/>
    <mergeCell ref="B100:C100"/>
    <mergeCell ref="B101:C101"/>
    <mergeCell ref="A102:C102"/>
    <mergeCell ref="A103:D103"/>
    <mergeCell ref="A104:D104"/>
    <mergeCell ref="A93:D93"/>
    <mergeCell ref="A96:B96"/>
    <mergeCell ref="A97:D97"/>
    <mergeCell ref="A98:D98"/>
    <mergeCell ref="B99:C99"/>
    <mergeCell ref="A81:D81"/>
    <mergeCell ref="A82:D82"/>
    <mergeCell ref="A83:D83"/>
    <mergeCell ref="A91:B91"/>
    <mergeCell ref="A92:D92"/>
    <mergeCell ref="B69:C69"/>
    <mergeCell ref="A70:C70"/>
    <mergeCell ref="A71:D71"/>
    <mergeCell ref="A72:D72"/>
    <mergeCell ref="A80:B80"/>
    <mergeCell ref="A64:D64"/>
    <mergeCell ref="A65:D65"/>
    <mergeCell ref="B66:C66"/>
    <mergeCell ref="B67:C67"/>
    <mergeCell ref="B68:C68"/>
    <mergeCell ref="A45:D45"/>
    <mergeCell ref="A55:B55"/>
    <mergeCell ref="A56:D56"/>
    <mergeCell ref="A57:D57"/>
    <mergeCell ref="A63:C63"/>
    <mergeCell ref="A37:D37"/>
    <mergeCell ref="A38:D38"/>
    <mergeCell ref="A39:D39"/>
    <mergeCell ref="A43:B43"/>
    <mergeCell ref="A44:D44"/>
    <mergeCell ref="C25:D25"/>
    <mergeCell ref="A26:D26"/>
    <mergeCell ref="A27:D27"/>
    <mergeCell ref="A28:D28"/>
    <mergeCell ref="A36:B36"/>
    <mergeCell ref="A20:D20"/>
    <mergeCell ref="C21:D21"/>
    <mergeCell ref="C22:D22"/>
    <mergeCell ref="C23:D23"/>
    <mergeCell ref="C24:D24"/>
    <mergeCell ref="C13:D13"/>
    <mergeCell ref="A14:D14"/>
    <mergeCell ref="A15:D15"/>
    <mergeCell ref="A16:D16"/>
    <mergeCell ref="A19:D19"/>
    <mergeCell ref="A8:D8"/>
    <mergeCell ref="A9:D9"/>
    <mergeCell ref="C10:D10"/>
    <mergeCell ref="C11:D11"/>
    <mergeCell ref="C12:D12"/>
    <mergeCell ref="A1:D1"/>
    <mergeCell ref="A2:D2"/>
    <mergeCell ref="A3:B3"/>
    <mergeCell ref="A4:B4"/>
    <mergeCell ref="A7:D7"/>
    <mergeCell ref="A6:B6"/>
  </mergeCells>
  <printOptions horizontalCentered="1"/>
  <pageMargins left="0.78740157480314965" right="0.78740157480314965" top="0.9055118110236221" bottom="0.9055118110236221" header="0.51181102362204722" footer="0.51181102362204722"/>
  <pageSetup paperSize="9" scale="40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3" max="16383" man="1"/>
  </rowBreaks>
  <drawing r:id="rId2"/>
  <legacy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J117"/>
  <sheetViews>
    <sheetView showGridLines="0" view="pageBreakPreview" topLeftCell="A97" zoomScale="90" zoomScaleNormal="100" zoomScalePageLayoutView="90" workbookViewId="0">
      <selection activeCell="I72" sqref="I72"/>
    </sheetView>
  </sheetViews>
  <sheetFormatPr defaultRowHeight="12.75" x14ac:dyDescent="0.2"/>
  <cols>
    <col min="1" max="1" width="3.85546875" customWidth="1"/>
    <col min="2" max="2" width="63.140625" customWidth="1"/>
    <col min="3" max="3" width="28.42578125" customWidth="1"/>
    <col min="4" max="7" width="22.85546875" customWidth="1"/>
    <col min="8" max="1025" width="9.140625" customWidth="1"/>
  </cols>
  <sheetData>
    <row r="1" spans="1:10" ht="20.25" x14ac:dyDescent="0.2">
      <c r="A1" s="316" t="s">
        <v>298</v>
      </c>
      <c r="B1" s="316"/>
      <c r="C1" s="316"/>
      <c r="D1" s="316"/>
      <c r="E1" s="316"/>
      <c r="F1" s="316"/>
      <c r="G1" s="316"/>
      <c r="H1" s="1"/>
      <c r="I1" s="1"/>
      <c r="J1" s="101"/>
    </row>
    <row r="2" spans="1:10" ht="14.25" x14ac:dyDescent="0.2">
      <c r="A2" s="317"/>
      <c r="B2" s="317"/>
      <c r="C2" s="317"/>
      <c r="D2" s="317"/>
      <c r="E2" s="317"/>
      <c r="F2" s="317"/>
      <c r="G2" s="317"/>
      <c r="H2" s="1"/>
      <c r="I2" s="1"/>
      <c r="J2" s="101"/>
    </row>
    <row r="3" spans="1:10" ht="14.25" x14ac:dyDescent="0.2">
      <c r="A3" s="275" t="s">
        <v>1024</v>
      </c>
      <c r="B3" s="275"/>
      <c r="C3" s="331" t="s">
        <v>1022</v>
      </c>
      <c r="D3" s="331"/>
      <c r="E3" s="331"/>
      <c r="F3" s="215" t="s">
        <v>389</v>
      </c>
      <c r="G3" s="216">
        <v>20.98</v>
      </c>
      <c r="H3" s="1"/>
      <c r="I3" s="1"/>
      <c r="J3" s="101"/>
    </row>
    <row r="4" spans="1:10" ht="14.25" x14ac:dyDescent="0.2">
      <c r="A4" s="275" t="s">
        <v>1025</v>
      </c>
      <c r="B4" s="275"/>
      <c r="C4" s="330" t="s">
        <v>390</v>
      </c>
      <c r="D4" s="330"/>
      <c r="E4" s="177" t="s">
        <v>1023</v>
      </c>
      <c r="F4" s="177" t="s">
        <v>391</v>
      </c>
      <c r="G4" s="164">
        <v>0.06</v>
      </c>
      <c r="H4" s="1"/>
      <c r="I4" s="1"/>
      <c r="J4" s="101"/>
    </row>
    <row r="5" spans="1:10" ht="14.25" x14ac:dyDescent="0.2">
      <c r="A5" s="185"/>
      <c r="B5" s="203"/>
      <c r="C5" s="330" t="s">
        <v>392</v>
      </c>
      <c r="D5" s="330"/>
      <c r="E5" s="183">
        <v>44167</v>
      </c>
      <c r="F5" s="117" t="s">
        <v>393</v>
      </c>
      <c r="G5" s="164">
        <v>0</v>
      </c>
      <c r="H5" s="1"/>
      <c r="I5" s="1"/>
      <c r="J5" s="101"/>
    </row>
    <row r="6" spans="1:10" ht="14.25" x14ac:dyDescent="0.2">
      <c r="A6" s="319" t="s">
        <v>1026</v>
      </c>
      <c r="B6" s="319"/>
      <c r="C6" s="321"/>
      <c r="D6" s="321"/>
      <c r="E6" s="321"/>
      <c r="F6" s="321"/>
      <c r="G6" s="321"/>
      <c r="H6" s="1"/>
      <c r="I6" s="1"/>
      <c r="J6" s="101"/>
    </row>
    <row r="7" spans="1:10" ht="14.25" x14ac:dyDescent="0.2">
      <c r="A7" s="276"/>
      <c r="B7" s="276"/>
      <c r="C7" s="276"/>
      <c r="D7" s="276"/>
      <c r="E7" s="276"/>
      <c r="F7" s="276"/>
      <c r="G7" s="276"/>
      <c r="H7" s="1"/>
      <c r="I7" s="1"/>
      <c r="J7" s="101"/>
    </row>
    <row r="8" spans="1:10" ht="15" x14ac:dyDescent="0.2">
      <c r="A8" s="283" t="s">
        <v>394</v>
      </c>
      <c r="B8" s="283"/>
      <c r="C8" s="283"/>
      <c r="D8" s="283"/>
      <c r="E8" s="283"/>
      <c r="F8" s="283"/>
      <c r="G8" s="283"/>
      <c r="H8" s="1"/>
      <c r="I8" s="1"/>
      <c r="J8" s="101"/>
    </row>
    <row r="9" spans="1:10" ht="14.25" x14ac:dyDescent="0.2">
      <c r="A9" s="276"/>
      <c r="B9" s="276"/>
      <c r="C9" s="276"/>
      <c r="D9" s="276"/>
      <c r="E9" s="276"/>
      <c r="F9" s="276"/>
      <c r="G9" s="276"/>
      <c r="H9" s="1"/>
      <c r="I9" s="1"/>
      <c r="J9" s="101"/>
    </row>
    <row r="10" spans="1:10" ht="14.25" x14ac:dyDescent="0.2">
      <c r="A10" s="182" t="s">
        <v>8</v>
      </c>
      <c r="B10" s="117" t="s">
        <v>300</v>
      </c>
      <c r="C10" s="182" t="s">
        <v>1027</v>
      </c>
      <c r="D10" s="217"/>
      <c r="E10" s="218" t="s">
        <v>307</v>
      </c>
      <c r="F10" s="317" t="s">
        <v>395</v>
      </c>
      <c r="G10" s="317"/>
      <c r="H10" s="1"/>
      <c r="I10" s="1"/>
      <c r="J10" s="101"/>
    </row>
    <row r="11" spans="1:10" ht="14.25" x14ac:dyDescent="0.2">
      <c r="A11" s="182" t="s">
        <v>11</v>
      </c>
      <c r="B11" s="117" t="s">
        <v>301</v>
      </c>
      <c r="C11" s="182" t="s">
        <v>396</v>
      </c>
      <c r="D11" s="217"/>
      <c r="E11" s="218" t="s">
        <v>308</v>
      </c>
      <c r="F11" s="317" t="s">
        <v>397</v>
      </c>
      <c r="G11" s="317"/>
      <c r="H11" s="1"/>
      <c r="I11" s="1"/>
      <c r="J11" s="101"/>
    </row>
    <row r="12" spans="1:10" ht="14.25" x14ac:dyDescent="0.2">
      <c r="A12" s="182" t="s">
        <v>13</v>
      </c>
      <c r="B12" s="117" t="s">
        <v>303</v>
      </c>
      <c r="C12" s="182">
        <v>2020</v>
      </c>
      <c r="D12" s="217"/>
      <c r="E12" s="218" t="s">
        <v>309</v>
      </c>
      <c r="F12" s="332">
        <v>59637.97</v>
      </c>
      <c r="G12" s="332"/>
      <c r="H12" s="1"/>
      <c r="I12" s="1"/>
      <c r="J12" s="101"/>
    </row>
    <row r="13" spans="1:10" ht="14.25" x14ac:dyDescent="0.2">
      <c r="A13" s="182" t="s">
        <v>15</v>
      </c>
      <c r="B13" s="117" t="s">
        <v>305</v>
      </c>
      <c r="C13" s="182">
        <v>12</v>
      </c>
      <c r="D13" s="217"/>
      <c r="E13" s="217"/>
      <c r="F13" s="276"/>
      <c r="G13" s="276"/>
      <c r="H13" s="1"/>
      <c r="I13" s="1"/>
      <c r="J13" s="101"/>
    </row>
    <row r="14" spans="1:10" ht="14.25" x14ac:dyDescent="0.2">
      <c r="A14" s="276"/>
      <c r="B14" s="276"/>
      <c r="C14" s="276"/>
      <c r="D14" s="276"/>
      <c r="E14" s="276"/>
      <c r="F14" s="276"/>
      <c r="G14" s="276"/>
      <c r="H14" s="1"/>
      <c r="I14" s="1"/>
      <c r="J14" s="101"/>
    </row>
    <row r="15" spans="1:10" ht="14.25" x14ac:dyDescent="0.2">
      <c r="A15" s="276"/>
      <c r="B15" s="276"/>
      <c r="C15" s="276"/>
      <c r="D15" s="276"/>
      <c r="E15" s="276"/>
      <c r="F15" s="276"/>
      <c r="G15" s="276"/>
      <c r="H15" s="1"/>
      <c r="I15" s="1"/>
      <c r="J15" s="101"/>
    </row>
    <row r="16" spans="1:10" ht="15" x14ac:dyDescent="0.2">
      <c r="A16" s="322" t="s">
        <v>312</v>
      </c>
      <c r="B16" s="322"/>
      <c r="C16" s="322"/>
      <c r="D16" s="322"/>
      <c r="E16" s="322"/>
      <c r="F16" s="322"/>
      <c r="G16" s="322"/>
      <c r="H16" s="1"/>
      <c r="I16" s="1"/>
      <c r="J16" s="101"/>
    </row>
    <row r="17" spans="1:10" ht="28.5" customHeight="1" x14ac:dyDescent="0.2">
      <c r="A17" s="216">
        <v>1</v>
      </c>
      <c r="B17" s="275" t="s">
        <v>317</v>
      </c>
      <c r="C17" s="275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4.25" x14ac:dyDescent="0.2">
      <c r="A18" s="182">
        <v>2</v>
      </c>
      <c r="B18" s="275" t="s">
        <v>314</v>
      </c>
      <c r="C18" s="275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4.25" x14ac:dyDescent="0.2">
      <c r="A19" s="182">
        <v>3</v>
      </c>
      <c r="B19" s="275" t="s">
        <v>316</v>
      </c>
      <c r="C19" s="275"/>
      <c r="D19" s="104">
        <v>1822.5</v>
      </c>
      <c r="E19" s="222">
        <v>1857.18</v>
      </c>
      <c r="F19" s="104">
        <v>1822.5</v>
      </c>
      <c r="G19" s="104">
        <v>1335.66</v>
      </c>
      <c r="H19" s="1"/>
      <c r="I19" s="1"/>
      <c r="J19" s="101"/>
    </row>
    <row r="20" spans="1:10" ht="14.25" x14ac:dyDescent="0.2">
      <c r="A20" s="182">
        <v>4</v>
      </c>
      <c r="B20" s="275" t="s">
        <v>319</v>
      </c>
      <c r="C20" s="275"/>
      <c r="D20" s="109">
        <v>43891</v>
      </c>
      <c r="E20" s="109">
        <v>43891</v>
      </c>
      <c r="F20" s="109">
        <v>43891</v>
      </c>
      <c r="G20" s="109">
        <v>43891</v>
      </c>
      <c r="H20" s="101"/>
      <c r="I20" s="101"/>
      <c r="J20" s="101"/>
    </row>
    <row r="21" spans="1:10" ht="14.25" x14ac:dyDescent="0.2">
      <c r="A21" s="321"/>
      <c r="B21" s="321"/>
      <c r="C21" s="321"/>
      <c r="D21" s="321"/>
      <c r="E21" s="321"/>
      <c r="F21" s="321"/>
      <c r="G21" s="321"/>
      <c r="H21" s="101"/>
      <c r="I21" s="101"/>
      <c r="J21" s="101"/>
    </row>
    <row r="22" spans="1:10" ht="14.25" x14ac:dyDescent="0.2">
      <c r="A22" s="276"/>
      <c r="B22" s="276"/>
      <c r="C22" s="276"/>
      <c r="D22" s="276"/>
      <c r="E22" s="276"/>
      <c r="F22" s="276"/>
      <c r="G22" s="276"/>
      <c r="H22" s="101"/>
      <c r="I22" s="101"/>
      <c r="J22" s="101"/>
    </row>
    <row r="23" spans="1:10" ht="15" x14ac:dyDescent="0.2">
      <c r="A23" s="333" t="s">
        <v>320</v>
      </c>
      <c r="B23" s="333"/>
      <c r="C23" s="333"/>
      <c r="D23" s="333"/>
      <c r="E23" s="333"/>
      <c r="F23" s="333"/>
      <c r="G23" s="333"/>
      <c r="H23" s="101"/>
      <c r="I23" s="101"/>
      <c r="J23" s="101"/>
    </row>
    <row r="24" spans="1:10" ht="15" x14ac:dyDescent="0.2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4.25" x14ac:dyDescent="0.2">
      <c r="A25" s="182" t="s">
        <v>8</v>
      </c>
      <c r="B25" s="223" t="s">
        <v>324</v>
      </c>
      <c r="C25" s="164"/>
      <c r="D25" s="188">
        <v>1922.74</v>
      </c>
      <c r="E25" s="188">
        <v>1959.32</v>
      </c>
      <c r="F25" s="188">
        <v>1922.74</v>
      </c>
      <c r="G25" s="188">
        <v>1409.12</v>
      </c>
      <c r="H25" s="101"/>
      <c r="I25" s="101"/>
      <c r="J25" s="101"/>
    </row>
    <row r="26" spans="1:10" ht="14.25" x14ac:dyDescent="0.2">
      <c r="A26" s="182" t="s">
        <v>11</v>
      </c>
      <c r="B26" s="223" t="s">
        <v>325</v>
      </c>
      <c r="C26" s="164">
        <v>0.3</v>
      </c>
      <c r="D26" s="188">
        <f>C26*D25</f>
        <v>576.822</v>
      </c>
      <c r="E26" s="188"/>
      <c r="F26" s="188"/>
      <c r="G26" s="188"/>
      <c r="H26" s="101"/>
      <c r="I26" s="101"/>
      <c r="J26" s="101"/>
    </row>
    <row r="27" spans="1:10" ht="14.25" x14ac:dyDescent="0.2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4.25" x14ac:dyDescent="0.2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4.25" x14ac:dyDescent="0.2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4.25" x14ac:dyDescent="0.2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5" x14ac:dyDescent="0.2">
      <c r="A31" s="334" t="s">
        <v>330</v>
      </c>
      <c r="B31" s="334"/>
      <c r="C31" s="208">
        <f>SUM(C25:C30)</f>
        <v>0.3</v>
      </c>
      <c r="D31" s="209">
        <f>SUM(D25:D30)</f>
        <v>2499.5619999999999</v>
      </c>
      <c r="E31" s="209">
        <f>SUM(E25:E30)</f>
        <v>1959.32</v>
      </c>
      <c r="F31" s="209">
        <f>SUM(F25:F30)</f>
        <v>1922.74</v>
      </c>
      <c r="G31" s="209">
        <f>SUM(G25:G30)</f>
        <v>1409.12</v>
      </c>
      <c r="H31" s="101"/>
      <c r="I31" s="101"/>
      <c r="J31" s="101"/>
    </row>
    <row r="32" spans="1:10" ht="14.25" x14ac:dyDescent="0.2">
      <c r="A32" s="321"/>
      <c r="B32" s="321"/>
      <c r="C32" s="321"/>
      <c r="D32" s="321"/>
      <c r="E32" s="321"/>
      <c r="F32" s="321"/>
      <c r="G32" s="321"/>
      <c r="H32" s="101"/>
      <c r="I32" s="101"/>
      <c r="J32" s="101"/>
    </row>
    <row r="33" spans="1:10" ht="15" x14ac:dyDescent="0.2">
      <c r="A33" s="326" t="s">
        <v>331</v>
      </c>
      <c r="B33" s="326"/>
      <c r="C33" s="326"/>
      <c r="D33" s="326"/>
      <c r="E33" s="326"/>
      <c r="F33" s="326"/>
      <c r="G33" s="326"/>
      <c r="H33" s="101"/>
      <c r="I33" s="101"/>
      <c r="J33" s="101"/>
    </row>
    <row r="34" spans="1:10" ht="15" x14ac:dyDescent="0.2">
      <c r="A34" s="333" t="s">
        <v>332</v>
      </c>
      <c r="B34" s="333"/>
      <c r="C34" s="333"/>
      <c r="D34" s="333"/>
      <c r="E34" s="333"/>
      <c r="F34" s="333"/>
      <c r="G34" s="333"/>
      <c r="H34" s="101"/>
      <c r="I34" s="101"/>
      <c r="J34" s="101"/>
    </row>
    <row r="35" spans="1:10" ht="15" x14ac:dyDescent="0.2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4.25" x14ac:dyDescent="0.2">
      <c r="A36" s="182" t="s">
        <v>8</v>
      </c>
      <c r="B36" s="117" t="s">
        <v>334</v>
      </c>
      <c r="C36" s="164">
        <v>8.3299999999999999E-2</v>
      </c>
      <c r="D36" s="189">
        <f>C36*$D$31</f>
        <v>208.2135146</v>
      </c>
      <c r="E36" s="189">
        <f>C36*$E$31</f>
        <v>163.21135599999999</v>
      </c>
      <c r="F36" s="189">
        <f>C36*$F$31</f>
        <v>160.164242</v>
      </c>
      <c r="G36" s="189">
        <f>C36*$G$31</f>
        <v>117.379696</v>
      </c>
      <c r="H36" s="101"/>
      <c r="I36" s="101"/>
      <c r="J36" s="101"/>
    </row>
    <row r="37" spans="1:10" ht="14.25" x14ac:dyDescent="0.2">
      <c r="A37" s="182" t="s">
        <v>11</v>
      </c>
      <c r="B37" s="117" t="s">
        <v>335</v>
      </c>
      <c r="C37" s="164">
        <v>0.121</v>
      </c>
      <c r="D37" s="189">
        <f>C37*$D$31</f>
        <v>302.447002</v>
      </c>
      <c r="E37" s="189">
        <f>C37*$E$31</f>
        <v>237.07772</v>
      </c>
      <c r="F37" s="189">
        <f>C37*$F$31</f>
        <v>232.65153999999998</v>
      </c>
      <c r="G37" s="189">
        <f>C37*$G$31</f>
        <v>170.50351999999998</v>
      </c>
      <c r="H37" s="101"/>
      <c r="I37" s="101"/>
      <c r="J37" s="101"/>
    </row>
    <row r="38" spans="1:10" ht="15" x14ac:dyDescent="0.2">
      <c r="A38" s="282" t="s">
        <v>330</v>
      </c>
      <c r="B38" s="282"/>
      <c r="C38" s="208">
        <f>SUM(C36:C37)</f>
        <v>0.20429999999999998</v>
      </c>
      <c r="D38" s="190">
        <f>SUM(D36:D37)</f>
        <v>510.66051659999999</v>
      </c>
      <c r="E38" s="190">
        <f>SUM(E36:E37)</f>
        <v>400.28907600000002</v>
      </c>
      <c r="F38" s="190">
        <f>SUM(F36:F37)</f>
        <v>392.81578200000001</v>
      </c>
      <c r="G38" s="190">
        <f>SUM(G36:G37)</f>
        <v>287.88321599999995</v>
      </c>
      <c r="H38" s="101"/>
      <c r="I38" s="101"/>
      <c r="J38" s="101"/>
    </row>
    <row r="39" spans="1:10" ht="14.25" x14ac:dyDescent="0.2">
      <c r="A39" s="321"/>
      <c r="B39" s="321"/>
      <c r="C39" s="321"/>
      <c r="D39" s="321"/>
      <c r="E39" s="321"/>
      <c r="F39" s="321"/>
      <c r="G39" s="321"/>
      <c r="H39" s="101"/>
      <c r="I39" s="101"/>
      <c r="J39" s="101"/>
    </row>
    <row r="40" spans="1:10" ht="15" customHeight="1" x14ac:dyDescent="0.2">
      <c r="A40" s="335" t="s">
        <v>336</v>
      </c>
      <c r="B40" s="335"/>
      <c r="C40" s="335"/>
      <c r="D40" s="335"/>
      <c r="E40" s="335"/>
      <c r="F40" s="335"/>
      <c r="G40" s="335"/>
      <c r="H40" s="101"/>
      <c r="I40" s="101"/>
      <c r="J40" s="101"/>
    </row>
    <row r="41" spans="1:10" ht="15" x14ac:dyDescent="0.2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4.25" x14ac:dyDescent="0.2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4.25" x14ac:dyDescent="0.2">
      <c r="A43" s="182" t="s">
        <v>11</v>
      </c>
      <c r="B43" s="117" t="s">
        <v>339</v>
      </c>
      <c r="C43" s="164">
        <v>2.5000000000000001E-2</v>
      </c>
      <c r="D43" s="188">
        <f t="shared" si="0"/>
        <v>75.255562914999999</v>
      </c>
      <c r="E43" s="188">
        <f t="shared" si="1"/>
        <v>58.990226899999996</v>
      </c>
      <c r="F43" s="188">
        <f t="shared" si="2"/>
        <v>57.888894550000003</v>
      </c>
      <c r="G43" s="188">
        <f t="shared" si="3"/>
        <v>42.425080399999999</v>
      </c>
      <c r="H43" s="101"/>
      <c r="I43" s="101"/>
      <c r="J43" s="101"/>
    </row>
    <row r="44" spans="1:10" ht="14.25" x14ac:dyDescent="0.2">
      <c r="A44" s="182" t="s">
        <v>13</v>
      </c>
      <c r="B44" s="117" t="s">
        <v>1020</v>
      </c>
      <c r="C44" s="210">
        <v>1.4999999999999999E-2</v>
      </c>
      <c r="D44" s="188">
        <f t="shared" si="0"/>
        <v>45.153337748999995</v>
      </c>
      <c r="E44" s="188">
        <f t="shared" si="1"/>
        <v>35.394136139999993</v>
      </c>
      <c r="F44" s="188">
        <f t="shared" si="2"/>
        <v>34.733336729999998</v>
      </c>
      <c r="G44" s="188">
        <f t="shared" si="3"/>
        <v>25.455048239999996</v>
      </c>
      <c r="H44" s="101"/>
      <c r="I44" s="101"/>
      <c r="J44" s="101"/>
    </row>
    <row r="45" spans="1:10" ht="14.25" x14ac:dyDescent="0.2">
      <c r="A45" s="182" t="s">
        <v>15</v>
      </c>
      <c r="B45" s="117" t="s">
        <v>340</v>
      </c>
      <c r="C45" s="164">
        <v>1.4999999999999999E-2</v>
      </c>
      <c r="D45" s="188">
        <f t="shared" si="0"/>
        <v>45.153337748999995</v>
      </c>
      <c r="E45" s="188">
        <f t="shared" si="1"/>
        <v>35.394136139999993</v>
      </c>
      <c r="F45" s="188">
        <f t="shared" si="2"/>
        <v>34.733336729999998</v>
      </c>
      <c r="G45" s="188">
        <f t="shared" si="3"/>
        <v>25.455048239999996</v>
      </c>
      <c r="H45" s="101"/>
      <c r="I45" s="101"/>
      <c r="J45" s="101"/>
    </row>
    <row r="46" spans="1:10" ht="14.25" x14ac:dyDescent="0.2">
      <c r="A46" s="182" t="s">
        <v>20</v>
      </c>
      <c r="B46" s="117" t="s">
        <v>341</v>
      </c>
      <c r="C46" s="164">
        <v>0.01</v>
      </c>
      <c r="D46" s="188">
        <f t="shared" si="0"/>
        <v>30.102225166</v>
      </c>
      <c r="E46" s="188">
        <f t="shared" si="1"/>
        <v>23.596090759999999</v>
      </c>
      <c r="F46" s="188">
        <f t="shared" si="2"/>
        <v>23.155557819999999</v>
      </c>
      <c r="G46" s="188">
        <f t="shared" si="3"/>
        <v>16.970032159999999</v>
      </c>
      <c r="H46" s="101"/>
      <c r="I46" s="101"/>
      <c r="J46" s="101"/>
    </row>
    <row r="47" spans="1:10" ht="14.25" x14ac:dyDescent="0.2">
      <c r="A47" s="182" t="s">
        <v>22</v>
      </c>
      <c r="B47" s="117" t="s">
        <v>342</v>
      </c>
      <c r="C47" s="164">
        <v>6.0000000000000001E-3</v>
      </c>
      <c r="D47" s="188">
        <f t="shared" si="0"/>
        <v>18.061335099600001</v>
      </c>
      <c r="E47" s="188">
        <f t="shared" si="1"/>
        <v>14.157654455999999</v>
      </c>
      <c r="F47" s="188">
        <f t="shared" si="2"/>
        <v>13.893334692</v>
      </c>
      <c r="G47" s="188">
        <f t="shared" si="3"/>
        <v>10.182019296</v>
      </c>
    </row>
    <row r="48" spans="1:10" ht="14.25" x14ac:dyDescent="0.2">
      <c r="A48" s="182" t="s">
        <v>279</v>
      </c>
      <c r="B48" s="117" t="s">
        <v>343</v>
      </c>
      <c r="C48" s="164">
        <v>2E-3</v>
      </c>
      <c r="D48" s="188">
        <f t="shared" si="0"/>
        <v>6.0204450331999997</v>
      </c>
      <c r="E48" s="188">
        <f t="shared" si="1"/>
        <v>4.7192181519999998</v>
      </c>
      <c r="F48" s="188">
        <f t="shared" si="2"/>
        <v>4.6311115640000002</v>
      </c>
      <c r="G48" s="188">
        <f t="shared" si="3"/>
        <v>3.3940064319999999</v>
      </c>
    </row>
    <row r="49" spans="1:7" ht="14.25" x14ac:dyDescent="0.2">
      <c r="A49" s="182" t="s">
        <v>190</v>
      </c>
      <c r="B49" s="117" t="s">
        <v>344</v>
      </c>
      <c r="C49" s="164">
        <v>0.08</v>
      </c>
      <c r="D49" s="188">
        <f t="shared" si="0"/>
        <v>240.817801328</v>
      </c>
      <c r="E49" s="188">
        <f t="shared" si="1"/>
        <v>188.76872607999999</v>
      </c>
      <c r="F49" s="188">
        <f t="shared" si="2"/>
        <v>185.24446255999999</v>
      </c>
      <c r="G49" s="188">
        <f t="shared" si="3"/>
        <v>135.76025727999999</v>
      </c>
    </row>
    <row r="50" spans="1:7" ht="15" x14ac:dyDescent="0.2">
      <c r="A50" s="282" t="s">
        <v>330</v>
      </c>
      <c r="B50" s="282"/>
      <c r="C50" s="208">
        <f>SUM(C42:C49)</f>
        <v>0.15300000000000002</v>
      </c>
      <c r="D50" s="209">
        <f>SUM(D42:D49)</f>
        <v>460.56404503980002</v>
      </c>
      <c r="E50" s="209">
        <f>SUM(E42:E49)</f>
        <v>361.02018862799997</v>
      </c>
      <c r="F50" s="209">
        <f>SUM(F42:F49)</f>
        <v>354.28003464599999</v>
      </c>
      <c r="G50" s="209">
        <f>SUM(G42:G49)</f>
        <v>259.64149204799998</v>
      </c>
    </row>
    <row r="51" spans="1:7" ht="14.25" x14ac:dyDescent="0.2">
      <c r="A51" s="276"/>
      <c r="B51" s="276"/>
      <c r="C51" s="276"/>
      <c r="D51" s="276"/>
      <c r="E51" s="212"/>
      <c r="F51" s="212"/>
      <c r="G51" s="212"/>
    </row>
    <row r="52" spans="1:7" ht="15" x14ac:dyDescent="0.2">
      <c r="A52" s="326" t="s">
        <v>345</v>
      </c>
      <c r="B52" s="326"/>
      <c r="C52" s="326"/>
      <c r="D52" s="326"/>
      <c r="E52" s="326"/>
      <c r="F52" s="326"/>
      <c r="G52" s="326"/>
    </row>
    <row r="53" spans="1:7" ht="15" x14ac:dyDescent="0.2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4.25" x14ac:dyDescent="0.2">
      <c r="A54" s="182" t="s">
        <v>8</v>
      </c>
      <c r="B54" s="117" t="s">
        <v>348</v>
      </c>
      <c r="C54" s="168">
        <v>4.05</v>
      </c>
      <c r="D54" s="189">
        <f>IF(((2*C54*G3)-(G4*D25))&gt;0,(2*C54*G3)-(G4*D25),0)</f>
        <v>54.573599999999999</v>
      </c>
      <c r="E54" s="189">
        <f>IF(((2*C54*G3)-(G4*E25))&gt;0,(2*C54*G3)-(G4*E25),0)</f>
        <v>52.378799999999998</v>
      </c>
      <c r="F54" s="189">
        <f>IF(((2*C54*G3)-(G4*F25))&gt;0,(2*C54*G3)-(G4*F25),0)</f>
        <v>54.573599999999999</v>
      </c>
      <c r="G54" s="189">
        <f>IF(((2*C54*G3)-(G4*G25))&gt;0,(2*C54*G3)-(G4*G25),0)</f>
        <v>85.390799999999999</v>
      </c>
    </row>
    <row r="55" spans="1:7" ht="14.25" x14ac:dyDescent="0.2">
      <c r="A55" s="182" t="s">
        <v>11</v>
      </c>
      <c r="B55" s="117" t="s">
        <v>1028</v>
      </c>
      <c r="C55" s="104">
        <f>300 + (3.43*20.98)</f>
        <v>371.96140000000003</v>
      </c>
      <c r="D55" s="189">
        <f>$C$55</f>
        <v>371.96140000000003</v>
      </c>
      <c r="E55" s="189">
        <f t="shared" ref="E55:G55" si="4">$C$55</f>
        <v>371.96140000000003</v>
      </c>
      <c r="F55" s="189">
        <f t="shared" si="4"/>
        <v>371.96140000000003</v>
      </c>
      <c r="G55" s="189">
        <f t="shared" si="4"/>
        <v>371.96140000000003</v>
      </c>
    </row>
    <row r="56" spans="1:7" ht="14.25" x14ac:dyDescent="0.2">
      <c r="A56" s="182" t="s">
        <v>13</v>
      </c>
      <c r="B56" s="117" t="s">
        <v>350</v>
      </c>
      <c r="C56" s="168">
        <v>0</v>
      </c>
      <c r="D56" s="189">
        <f>C56</f>
        <v>0</v>
      </c>
      <c r="E56" s="189">
        <f>C56</f>
        <v>0</v>
      </c>
      <c r="F56" s="189">
        <f>C56</f>
        <v>0</v>
      </c>
      <c r="G56" s="189">
        <f>C56</f>
        <v>0</v>
      </c>
    </row>
    <row r="57" spans="1:7" ht="14.25" x14ac:dyDescent="0.2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5" x14ac:dyDescent="0.2">
      <c r="A58" s="282" t="s">
        <v>330</v>
      </c>
      <c r="B58" s="282"/>
      <c r="C58" s="282"/>
      <c r="D58" s="190">
        <f>SUM(D54:D57)</f>
        <v>431.47500000000002</v>
      </c>
      <c r="E58" s="190">
        <f>SUM(E54:E57)</f>
        <v>429.28020000000004</v>
      </c>
      <c r="F58" s="190">
        <f>SUM(F54:F57)</f>
        <v>431.47500000000002</v>
      </c>
      <c r="G58" s="190">
        <f>SUM(G54:G57)</f>
        <v>462.29220000000004</v>
      </c>
    </row>
    <row r="59" spans="1:7" ht="14.25" x14ac:dyDescent="0.2">
      <c r="A59" s="321"/>
      <c r="B59" s="321"/>
      <c r="C59" s="321"/>
      <c r="D59" s="321"/>
      <c r="E59" s="321"/>
      <c r="F59" s="321"/>
      <c r="G59" s="321"/>
    </row>
    <row r="60" spans="1:7" ht="15" x14ac:dyDescent="0.2">
      <c r="A60" s="326" t="s">
        <v>351</v>
      </c>
      <c r="B60" s="326"/>
      <c r="C60" s="326"/>
      <c r="D60" s="326"/>
      <c r="E60" s="326"/>
      <c r="F60" s="326"/>
      <c r="G60" s="326"/>
    </row>
    <row r="61" spans="1:7" ht="15" x14ac:dyDescent="0.2">
      <c r="A61" s="186">
        <v>2</v>
      </c>
      <c r="B61" s="328" t="s">
        <v>352</v>
      </c>
      <c r="C61" s="328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4.25" x14ac:dyDescent="0.2">
      <c r="A62" s="182" t="s">
        <v>206</v>
      </c>
      <c r="B62" s="275" t="s">
        <v>333</v>
      </c>
      <c r="C62" s="275"/>
      <c r="D62" s="189">
        <f>D38</f>
        <v>510.66051659999999</v>
      </c>
      <c r="E62" s="189">
        <f>E38</f>
        <v>400.28907600000002</v>
      </c>
      <c r="F62" s="189">
        <f>F38</f>
        <v>392.81578200000001</v>
      </c>
      <c r="G62" s="189">
        <f>G38</f>
        <v>287.88321599999995</v>
      </c>
    </row>
    <row r="63" spans="1:7" ht="14.25" x14ac:dyDescent="0.2">
      <c r="A63" s="182" t="s">
        <v>208</v>
      </c>
      <c r="B63" s="275" t="s">
        <v>337</v>
      </c>
      <c r="C63" s="275"/>
      <c r="D63" s="189">
        <f>D50</f>
        <v>460.56404503980002</v>
      </c>
      <c r="E63" s="189">
        <f>E50</f>
        <v>361.02018862799997</v>
      </c>
      <c r="F63" s="189">
        <f>F50</f>
        <v>354.28003464599999</v>
      </c>
      <c r="G63" s="189">
        <f>G50</f>
        <v>259.64149204799998</v>
      </c>
    </row>
    <row r="64" spans="1:7" ht="14.25" x14ac:dyDescent="0.2">
      <c r="A64" s="182" t="s">
        <v>346</v>
      </c>
      <c r="B64" s="275" t="s">
        <v>347</v>
      </c>
      <c r="C64" s="275"/>
      <c r="D64" s="189">
        <f>D58</f>
        <v>431.47500000000002</v>
      </c>
      <c r="E64" s="189">
        <f>E58</f>
        <v>429.28020000000004</v>
      </c>
      <c r="F64" s="189">
        <f>F58</f>
        <v>431.47500000000002</v>
      </c>
      <c r="G64" s="189">
        <f>G58</f>
        <v>462.29220000000004</v>
      </c>
    </row>
    <row r="65" spans="1:7" ht="15" x14ac:dyDescent="0.2">
      <c r="A65" s="282" t="s">
        <v>330</v>
      </c>
      <c r="B65" s="282"/>
      <c r="C65" s="282"/>
      <c r="D65" s="190">
        <f>SUM(D62:D64)</f>
        <v>1402.6995616397999</v>
      </c>
      <c r="E65" s="190">
        <f>SUM(E62:E64)</f>
        <v>1190.5894646279999</v>
      </c>
      <c r="F65" s="190">
        <f>SUM(F62:F64)</f>
        <v>1178.5708166459999</v>
      </c>
      <c r="G65" s="190">
        <f>SUM(G62:G64)</f>
        <v>1009.816908048</v>
      </c>
    </row>
    <row r="66" spans="1:7" ht="14.25" x14ac:dyDescent="0.2">
      <c r="A66" s="276"/>
      <c r="B66" s="276"/>
      <c r="C66" s="276"/>
      <c r="D66" s="276"/>
      <c r="E66" s="212"/>
      <c r="F66" s="212"/>
      <c r="G66" s="212"/>
    </row>
    <row r="67" spans="1:7" ht="15" customHeight="1" x14ac:dyDescent="0.2">
      <c r="A67" s="335" t="s">
        <v>353</v>
      </c>
      <c r="B67" s="335"/>
      <c r="C67" s="335"/>
      <c r="D67" s="335"/>
      <c r="E67" s="335"/>
      <c r="F67" s="335"/>
      <c r="G67" s="335"/>
    </row>
    <row r="68" spans="1:7" ht="15" x14ac:dyDescent="0.2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4.25" x14ac:dyDescent="0.2">
      <c r="A69" s="182" t="s">
        <v>8</v>
      </c>
      <c r="B69" s="117" t="s">
        <v>355</v>
      </c>
      <c r="C69" s="246">
        <v>4.2000000000000002E-4</v>
      </c>
      <c r="D69" s="189">
        <f t="shared" ref="D69:D74" si="5">C69*$D$31</f>
        <v>1.0498160400000001</v>
      </c>
      <c r="E69" s="189">
        <f t="shared" ref="E69:E74" si="6">C69*$E$31</f>
        <v>0.82291440000000005</v>
      </c>
      <c r="F69" s="189">
        <f t="shared" ref="F69:F74" si="7">C69*$F$31</f>
        <v>0.80755080000000001</v>
      </c>
      <c r="G69" s="189">
        <f t="shared" ref="G69:G74" si="8">C69*$G$31</f>
        <v>0.59183039999999998</v>
      </c>
    </row>
    <row r="70" spans="1:7" ht="14.25" x14ac:dyDescent="0.2">
      <c r="A70" s="182" t="s">
        <v>11</v>
      </c>
      <c r="B70" s="117" t="s">
        <v>356</v>
      </c>
      <c r="C70" s="246">
        <f>C49*C69</f>
        <v>3.3600000000000004E-5</v>
      </c>
      <c r="D70" s="189">
        <f t="shared" si="5"/>
        <v>8.398528320000001E-2</v>
      </c>
      <c r="E70" s="189">
        <f t="shared" si="6"/>
        <v>6.5833152000000006E-2</v>
      </c>
      <c r="F70" s="189">
        <f t="shared" si="7"/>
        <v>6.4604064000000003E-2</v>
      </c>
      <c r="G70" s="189">
        <f t="shared" si="8"/>
        <v>4.7346432000000001E-2</v>
      </c>
    </row>
    <row r="71" spans="1:7" ht="28.5" x14ac:dyDescent="0.2">
      <c r="A71" s="182" t="s">
        <v>13</v>
      </c>
      <c r="B71" s="120" t="s">
        <v>357</v>
      </c>
      <c r="C71" s="164">
        <v>0.02</v>
      </c>
      <c r="D71" s="189">
        <f t="shared" si="5"/>
        <v>49.991239999999998</v>
      </c>
      <c r="E71" s="189">
        <f t="shared" si="6"/>
        <v>39.186399999999999</v>
      </c>
      <c r="F71" s="189">
        <f t="shared" si="7"/>
        <v>38.454799999999999</v>
      </c>
      <c r="G71" s="189">
        <f t="shared" si="8"/>
        <v>28.182399999999998</v>
      </c>
    </row>
    <row r="72" spans="1:7" ht="14.25" x14ac:dyDescent="0.2">
      <c r="A72" s="182" t="s">
        <v>15</v>
      </c>
      <c r="B72" s="117" t="s">
        <v>358</v>
      </c>
      <c r="C72" s="246">
        <v>1.9400000000000001E-3</v>
      </c>
      <c r="D72" s="189">
        <f t="shared" si="5"/>
        <v>4.8491502799999999</v>
      </c>
      <c r="E72" s="189">
        <f t="shared" si="6"/>
        <v>3.8010808000000003</v>
      </c>
      <c r="F72" s="189">
        <f t="shared" si="7"/>
        <v>3.7301156000000004</v>
      </c>
      <c r="G72" s="189">
        <f t="shared" si="8"/>
        <v>2.7336928</v>
      </c>
    </row>
    <row r="73" spans="1:7" ht="28.5" x14ac:dyDescent="0.2">
      <c r="A73" s="182" t="s">
        <v>20</v>
      </c>
      <c r="B73" s="120" t="s">
        <v>359</v>
      </c>
      <c r="C73" s="164">
        <f>C50*C72</f>
        <v>2.9682000000000005E-4</v>
      </c>
      <c r="D73" s="189">
        <f t="shared" si="5"/>
        <v>0.7419199928400001</v>
      </c>
      <c r="E73" s="189">
        <f t="shared" si="6"/>
        <v>0.58156536240000012</v>
      </c>
      <c r="F73" s="189">
        <f t="shared" si="7"/>
        <v>0.57070768680000006</v>
      </c>
      <c r="G73" s="189">
        <f t="shared" si="8"/>
        <v>0.41825499840000002</v>
      </c>
    </row>
    <row r="74" spans="1:7" ht="28.5" x14ac:dyDescent="0.2">
      <c r="A74" s="182" t="s">
        <v>22</v>
      </c>
      <c r="B74" s="120" t="s">
        <v>360</v>
      </c>
      <c r="C74" s="164">
        <v>0.02</v>
      </c>
      <c r="D74" s="189">
        <f t="shared" si="5"/>
        <v>49.991239999999998</v>
      </c>
      <c r="E74" s="189">
        <f t="shared" si="6"/>
        <v>39.186399999999999</v>
      </c>
      <c r="F74" s="189">
        <f t="shared" si="7"/>
        <v>38.454799999999999</v>
      </c>
      <c r="G74" s="189">
        <f t="shared" si="8"/>
        <v>28.182399999999998</v>
      </c>
    </row>
    <row r="75" spans="1:7" ht="15" x14ac:dyDescent="0.2">
      <c r="A75" s="282" t="s">
        <v>330</v>
      </c>
      <c r="B75" s="282"/>
      <c r="C75" s="208">
        <f>SUM(C69:C74)</f>
        <v>4.269042E-2</v>
      </c>
      <c r="D75" s="190">
        <f>SUM(D69:D74)</f>
        <v>106.70735159604</v>
      </c>
      <c r="E75" s="190">
        <f>SUM(E69:E74)</f>
        <v>83.644193714399989</v>
      </c>
      <c r="F75" s="190">
        <f>SUM(F69:F74)</f>
        <v>82.082578150800003</v>
      </c>
      <c r="G75" s="190">
        <f>SUM(G69:G74)</f>
        <v>60.155924630399994</v>
      </c>
    </row>
    <row r="76" spans="1:7" ht="14.25" x14ac:dyDescent="0.2">
      <c r="A76" s="321"/>
      <c r="B76" s="321"/>
      <c r="C76" s="321"/>
      <c r="D76" s="321"/>
      <c r="E76" s="321"/>
      <c r="F76" s="321"/>
      <c r="G76" s="321"/>
    </row>
    <row r="77" spans="1:7" ht="15" x14ac:dyDescent="0.2">
      <c r="A77" s="326" t="s">
        <v>361</v>
      </c>
      <c r="B77" s="326"/>
      <c r="C77" s="326"/>
      <c r="D77" s="326"/>
      <c r="E77" s="326"/>
      <c r="F77" s="326"/>
      <c r="G77" s="326"/>
    </row>
    <row r="78" spans="1:7" ht="15" x14ac:dyDescent="0.2">
      <c r="A78" s="326" t="s">
        <v>362</v>
      </c>
      <c r="B78" s="326"/>
      <c r="C78" s="326"/>
      <c r="D78" s="326"/>
      <c r="E78" s="326"/>
      <c r="F78" s="326"/>
      <c r="G78" s="326"/>
    </row>
    <row r="79" spans="1:7" ht="15" x14ac:dyDescent="0.2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4.25" x14ac:dyDescent="0.2">
      <c r="A80" s="182" t="s">
        <v>8</v>
      </c>
      <c r="B80" s="117" t="s">
        <v>365</v>
      </c>
      <c r="C80" s="164">
        <v>9.2999999999999992E-3</v>
      </c>
      <c r="D80" s="189">
        <f>C80*$D$31</f>
        <v>23.245926599999997</v>
      </c>
      <c r="E80" s="189">
        <f>C80*$E$31</f>
        <v>18.221675999999999</v>
      </c>
      <c r="F80" s="189">
        <f>C80*$F$31</f>
        <v>17.881481999999998</v>
      </c>
      <c r="G80" s="189">
        <f>C80*$G$31</f>
        <v>13.104815999999998</v>
      </c>
    </row>
    <row r="81" spans="1:7" ht="14.25" x14ac:dyDescent="0.2">
      <c r="A81" s="182" t="s">
        <v>11</v>
      </c>
      <c r="B81" s="117" t="s">
        <v>366</v>
      </c>
      <c r="C81" s="164">
        <v>2.8E-3</v>
      </c>
      <c r="D81" s="189">
        <f>C81*$D$31</f>
        <v>6.9987735999999998</v>
      </c>
      <c r="E81" s="189">
        <f>C81*$E$31</f>
        <v>5.4860959999999999</v>
      </c>
      <c r="F81" s="189">
        <f>C81*$F$31</f>
        <v>5.3836719999999998</v>
      </c>
      <c r="G81" s="189">
        <f>C81*$G$31</f>
        <v>3.9455359999999997</v>
      </c>
    </row>
    <row r="82" spans="1:7" ht="14.25" x14ac:dyDescent="0.2">
      <c r="A82" s="182" t="s">
        <v>13</v>
      </c>
      <c r="B82" s="117" t="s">
        <v>367</v>
      </c>
      <c r="C82" s="164">
        <v>8.0000000000000004E-4</v>
      </c>
      <c r="D82" s="189">
        <f>C82*$D$31</f>
        <v>1.9996495999999999</v>
      </c>
      <c r="E82" s="189">
        <f>C82*$E$31</f>
        <v>1.567456</v>
      </c>
      <c r="F82" s="189">
        <f>C82*$F$31</f>
        <v>1.538192</v>
      </c>
      <c r="G82" s="189">
        <f>C82*$G$31</f>
        <v>1.1272960000000001</v>
      </c>
    </row>
    <row r="83" spans="1:7" ht="14.25" x14ac:dyDescent="0.2">
      <c r="A83" s="182" t="s">
        <v>15</v>
      </c>
      <c r="B83" s="117" t="s">
        <v>368</v>
      </c>
      <c r="C83" s="164">
        <v>2.7000000000000001E-3</v>
      </c>
      <c r="D83" s="189">
        <f>C83*$D$31</f>
        <v>6.7488174000000001</v>
      </c>
      <c r="E83" s="189">
        <f>C83*$E$31</f>
        <v>5.2901639999999999</v>
      </c>
      <c r="F83" s="189">
        <f>C83*$F$31</f>
        <v>5.1913980000000004</v>
      </c>
      <c r="G83" s="189">
        <f>C83*$G$31</f>
        <v>3.804624</v>
      </c>
    </row>
    <row r="84" spans="1:7" ht="14.25" x14ac:dyDescent="0.2">
      <c r="A84" s="182" t="s">
        <v>20</v>
      </c>
      <c r="B84" s="117" t="s">
        <v>369</v>
      </c>
      <c r="C84" s="164">
        <v>2.9999999999999997E-4</v>
      </c>
      <c r="D84" s="189">
        <f>C84*$D$31</f>
        <v>0.74986859999999989</v>
      </c>
      <c r="E84" s="189">
        <f>C84*$E$31</f>
        <v>0.58779599999999987</v>
      </c>
      <c r="F84" s="189">
        <f>C84*$F$31</f>
        <v>0.57682199999999995</v>
      </c>
      <c r="G84" s="189">
        <f>C84*$G$31</f>
        <v>0.42273599999999995</v>
      </c>
    </row>
    <row r="85" spans="1:7" ht="14.25" x14ac:dyDescent="0.2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5" x14ac:dyDescent="0.2">
      <c r="A86" s="282" t="s">
        <v>330</v>
      </c>
      <c r="B86" s="282"/>
      <c r="C86" s="208">
        <f>SUM(C80:C85)</f>
        <v>1.5900000000000001E-2</v>
      </c>
      <c r="D86" s="190">
        <f>SUM(D80:D85)</f>
        <v>39.743035799999994</v>
      </c>
      <c r="E86" s="190">
        <f>SUM(E80:E85)</f>
        <v>31.153188</v>
      </c>
      <c r="F86" s="190">
        <f>SUM(F80:F85)</f>
        <v>30.571565999999997</v>
      </c>
      <c r="G86" s="190">
        <f>SUM(G80:G85)</f>
        <v>22.405007999999999</v>
      </c>
    </row>
    <row r="87" spans="1:7" ht="14.25" x14ac:dyDescent="0.2">
      <c r="A87" s="321"/>
      <c r="B87" s="321"/>
      <c r="C87" s="321"/>
      <c r="D87" s="321"/>
      <c r="E87" s="321"/>
      <c r="F87" s="321"/>
      <c r="G87" s="321"/>
    </row>
    <row r="88" spans="1:7" ht="15" x14ac:dyDescent="0.2">
      <c r="A88" s="326" t="s">
        <v>371</v>
      </c>
      <c r="B88" s="326"/>
      <c r="C88" s="326"/>
      <c r="D88" s="326"/>
      <c r="E88" s="326"/>
      <c r="F88" s="326"/>
      <c r="G88" s="326"/>
    </row>
    <row r="89" spans="1:7" ht="15" x14ac:dyDescent="0.2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4.25" x14ac:dyDescent="0.2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5" x14ac:dyDescent="0.2">
      <c r="A91" s="282" t="s">
        <v>330</v>
      </c>
      <c r="B91" s="282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4.25" x14ac:dyDescent="0.2">
      <c r="A92" s="321"/>
      <c r="B92" s="321"/>
      <c r="C92" s="321"/>
      <c r="D92" s="321"/>
      <c r="E92" s="321"/>
      <c r="F92" s="321"/>
      <c r="G92" s="321"/>
    </row>
    <row r="93" spans="1:7" ht="15" x14ac:dyDescent="0.2">
      <c r="A93" s="326" t="s">
        <v>375</v>
      </c>
      <c r="B93" s="326"/>
      <c r="C93" s="326"/>
      <c r="D93" s="326"/>
      <c r="E93" s="326"/>
      <c r="F93" s="326"/>
      <c r="G93" s="326"/>
    </row>
    <row r="94" spans="1:7" ht="15" x14ac:dyDescent="0.2">
      <c r="A94" s="186">
        <v>4</v>
      </c>
      <c r="B94" s="328" t="s">
        <v>376</v>
      </c>
      <c r="C94" s="328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4.25" x14ac:dyDescent="0.2">
      <c r="A95" s="182" t="s">
        <v>363</v>
      </c>
      <c r="B95" s="275" t="s">
        <v>364</v>
      </c>
      <c r="C95" s="275"/>
      <c r="D95" s="189">
        <f>D86</f>
        <v>39.743035799999994</v>
      </c>
      <c r="E95" s="189">
        <f>E86</f>
        <v>31.153188</v>
      </c>
      <c r="F95" s="189">
        <f>F86</f>
        <v>30.571565999999997</v>
      </c>
      <c r="G95" s="189">
        <f>G86</f>
        <v>22.405007999999999</v>
      </c>
    </row>
    <row r="96" spans="1:7" ht="14.25" x14ac:dyDescent="0.2">
      <c r="A96" s="182" t="s">
        <v>372</v>
      </c>
      <c r="B96" s="275" t="s">
        <v>373</v>
      </c>
      <c r="C96" s="275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5" x14ac:dyDescent="0.2">
      <c r="A97" s="282" t="s">
        <v>330</v>
      </c>
      <c r="B97" s="282"/>
      <c r="C97" s="282"/>
      <c r="D97" s="190">
        <f>SUM(D95:D96)</f>
        <v>39.743035799999994</v>
      </c>
      <c r="E97" s="190">
        <f>SUM(E95:E96)</f>
        <v>31.153188</v>
      </c>
      <c r="F97" s="190">
        <f>SUM(F95:F96)</f>
        <v>30.571565999999997</v>
      </c>
      <c r="G97" s="190">
        <f>SUM(G95:G96)</f>
        <v>22.405007999999999</v>
      </c>
    </row>
    <row r="98" spans="1:7" ht="14.25" x14ac:dyDescent="0.2">
      <c r="A98" s="321"/>
      <c r="B98" s="321"/>
      <c r="C98" s="321"/>
      <c r="D98" s="321"/>
      <c r="E98" s="321"/>
      <c r="F98" s="321"/>
      <c r="G98" s="321"/>
    </row>
    <row r="99" spans="1:7" ht="15" customHeight="1" x14ac:dyDescent="0.2">
      <c r="A99" s="335" t="s">
        <v>377</v>
      </c>
      <c r="B99" s="335"/>
      <c r="C99" s="335"/>
      <c r="D99" s="335"/>
      <c r="E99" s="335"/>
      <c r="F99" s="335"/>
      <c r="G99" s="335"/>
    </row>
    <row r="100" spans="1:7" ht="15" x14ac:dyDescent="0.2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4.25" x14ac:dyDescent="0.2">
      <c r="A101" s="182" t="s">
        <v>8</v>
      </c>
      <c r="B101" s="117" t="s">
        <v>378</v>
      </c>
      <c r="C101" s="164"/>
      <c r="D101" s="214">
        <f>'VIII Uniformes e EPI''s'!I11</f>
        <v>37.502656869608209</v>
      </c>
      <c r="E101" s="189">
        <f>'VIII Uniformes e EPI''s'!I11</f>
        <v>37.502656869608209</v>
      </c>
      <c r="F101" s="189">
        <f>'VIII Uniformes e EPI''s'!I11</f>
        <v>37.502656869608209</v>
      </c>
      <c r="G101" s="189">
        <f>'VIII Uniformes e EPI''s'!I11</f>
        <v>37.502656869608209</v>
      </c>
    </row>
    <row r="102" spans="1:7" ht="14.25" x14ac:dyDescent="0.2">
      <c r="A102" s="182" t="s">
        <v>11</v>
      </c>
      <c r="B102" s="117" t="s">
        <v>379</v>
      </c>
      <c r="C102" s="164"/>
      <c r="D102" s="214">
        <v>0</v>
      </c>
      <c r="E102" s="189">
        <v>0</v>
      </c>
      <c r="F102" s="189">
        <v>0</v>
      </c>
      <c r="G102" s="189">
        <v>0</v>
      </c>
    </row>
    <row r="103" spans="1:7" ht="14.25" x14ac:dyDescent="0.2">
      <c r="A103" s="182" t="s">
        <v>13</v>
      </c>
      <c r="B103" s="117" t="s">
        <v>380</v>
      </c>
      <c r="C103" s="164"/>
      <c r="D103" s="214">
        <v>0</v>
      </c>
      <c r="E103" s="189">
        <v>0</v>
      </c>
      <c r="F103" s="189">
        <v>0</v>
      </c>
      <c r="G103" s="189">
        <v>0</v>
      </c>
    </row>
    <row r="104" spans="1:7" ht="14.25" x14ac:dyDescent="0.2">
      <c r="A104" s="182" t="s">
        <v>15</v>
      </c>
      <c r="B104" s="117" t="s">
        <v>329</v>
      </c>
      <c r="C104" s="164"/>
      <c r="D104" s="214">
        <v>0</v>
      </c>
      <c r="E104" s="189">
        <v>0</v>
      </c>
      <c r="F104" s="189">
        <v>0</v>
      </c>
      <c r="G104" s="189">
        <v>0</v>
      </c>
    </row>
    <row r="105" spans="1:7" ht="15" x14ac:dyDescent="0.2">
      <c r="A105" s="282" t="s">
        <v>330</v>
      </c>
      <c r="B105" s="282"/>
      <c r="C105" s="282"/>
      <c r="D105" s="190">
        <f>SUM(D101:D104)</f>
        <v>37.502656869608209</v>
      </c>
      <c r="E105" s="190">
        <f>SUM(E101:E104)</f>
        <v>37.502656869608209</v>
      </c>
      <c r="F105" s="190">
        <f>SUM(F101:F104)</f>
        <v>37.502656869608209</v>
      </c>
      <c r="G105" s="190">
        <f>SUM(G101:G104)</f>
        <v>37.502656869608209</v>
      </c>
    </row>
    <row r="106" spans="1:7" ht="14.25" x14ac:dyDescent="0.2">
      <c r="A106" s="276"/>
      <c r="B106" s="276"/>
      <c r="C106" s="276"/>
      <c r="D106" s="276"/>
      <c r="E106" s="212"/>
      <c r="F106" s="212"/>
      <c r="G106" s="212"/>
    </row>
    <row r="107" spans="1:7" ht="15" x14ac:dyDescent="0.2">
      <c r="A107" s="283"/>
      <c r="B107" s="283"/>
      <c r="C107" s="283"/>
      <c r="D107" s="283"/>
      <c r="E107" s="212"/>
      <c r="F107" s="212"/>
      <c r="G107" s="212"/>
    </row>
    <row r="108" spans="1:7" ht="14.25" x14ac:dyDescent="0.2">
      <c r="A108" s="276"/>
      <c r="B108" s="276"/>
      <c r="C108" s="276"/>
      <c r="D108" s="276"/>
      <c r="E108" s="212"/>
      <c r="F108" s="212"/>
      <c r="G108" s="212"/>
    </row>
    <row r="109" spans="1:7" ht="15" x14ac:dyDescent="0.2">
      <c r="A109" s="186"/>
      <c r="B109" s="322" t="s">
        <v>381</v>
      </c>
      <c r="C109" s="322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5" x14ac:dyDescent="0.2">
      <c r="A110" s="213" t="s">
        <v>8</v>
      </c>
      <c r="B110" s="275" t="s">
        <v>320</v>
      </c>
      <c r="C110" s="275"/>
      <c r="D110" s="189">
        <f>D31</f>
        <v>2499.5619999999999</v>
      </c>
      <c r="E110" s="189">
        <f>E31</f>
        <v>1959.32</v>
      </c>
      <c r="F110" s="189">
        <f>F31</f>
        <v>1922.74</v>
      </c>
      <c r="G110" s="189">
        <f>G31</f>
        <v>1409.12</v>
      </c>
    </row>
    <row r="111" spans="1:7" ht="15" x14ac:dyDescent="0.2">
      <c r="A111" s="213" t="s">
        <v>11</v>
      </c>
      <c r="B111" s="275" t="s">
        <v>331</v>
      </c>
      <c r="C111" s="275"/>
      <c r="D111" s="189">
        <f>D65</f>
        <v>1402.6995616397999</v>
      </c>
      <c r="E111" s="189">
        <f>E65</f>
        <v>1190.5894646279999</v>
      </c>
      <c r="F111" s="189">
        <f>F65</f>
        <v>1178.5708166459999</v>
      </c>
      <c r="G111" s="189">
        <f>G65</f>
        <v>1009.816908048</v>
      </c>
    </row>
    <row r="112" spans="1:7" ht="15" x14ac:dyDescent="0.2">
      <c r="A112" s="213" t="s">
        <v>13</v>
      </c>
      <c r="B112" s="275" t="s">
        <v>353</v>
      </c>
      <c r="C112" s="275"/>
      <c r="D112" s="189">
        <f>D75</f>
        <v>106.70735159604</v>
      </c>
      <c r="E112" s="189">
        <f>E75</f>
        <v>83.644193714399989</v>
      </c>
      <c r="F112" s="189">
        <f>F75</f>
        <v>82.082578150800003</v>
      </c>
      <c r="G112" s="189">
        <f>G75</f>
        <v>60.155924630399994</v>
      </c>
    </row>
    <row r="113" spans="1:7" ht="15" x14ac:dyDescent="0.2">
      <c r="A113" s="213" t="s">
        <v>15</v>
      </c>
      <c r="B113" s="275" t="s">
        <v>361</v>
      </c>
      <c r="C113" s="275"/>
      <c r="D113" s="189">
        <f>D97</f>
        <v>39.743035799999994</v>
      </c>
      <c r="E113" s="189">
        <f>E97</f>
        <v>31.153188</v>
      </c>
      <c r="F113" s="189">
        <f>F97</f>
        <v>30.571565999999997</v>
      </c>
      <c r="G113" s="189">
        <f>G97</f>
        <v>22.405007999999999</v>
      </c>
    </row>
    <row r="114" spans="1:7" ht="15" x14ac:dyDescent="0.2">
      <c r="A114" s="213" t="s">
        <v>20</v>
      </c>
      <c r="B114" s="275" t="s">
        <v>377</v>
      </c>
      <c r="C114" s="275"/>
      <c r="D114" s="189">
        <f>D105</f>
        <v>37.502656869608209</v>
      </c>
      <c r="E114" s="189">
        <f>E105</f>
        <v>37.502656869608209</v>
      </c>
      <c r="F114" s="189">
        <f>F105</f>
        <v>37.502656869608209</v>
      </c>
      <c r="G114" s="189">
        <f>G105</f>
        <v>37.502656869608209</v>
      </c>
    </row>
    <row r="115" spans="1:7" ht="15" x14ac:dyDescent="0.2">
      <c r="A115" s="282" t="s">
        <v>382</v>
      </c>
      <c r="B115" s="282"/>
      <c r="C115" s="282"/>
      <c r="D115" s="190">
        <f>SUM(D110:D114)</f>
        <v>4086.214605905448</v>
      </c>
      <c r="E115" s="190">
        <f>SUM(E110:E114)</f>
        <v>3302.2095032120083</v>
      </c>
      <c r="F115" s="190">
        <f>SUM(F110:F114)</f>
        <v>3251.4676176664079</v>
      </c>
      <c r="G115" s="190">
        <f>SUM(G110:G114)</f>
        <v>2539.0004975480083</v>
      </c>
    </row>
    <row r="116" spans="1:7" x14ac:dyDescent="0.2">
      <c r="A116" s="212"/>
      <c r="B116" s="212"/>
      <c r="C116" s="212"/>
      <c r="D116" s="212"/>
      <c r="E116" s="212"/>
      <c r="F116" s="212"/>
      <c r="G116" s="212"/>
    </row>
    <row r="117" spans="1:7" x14ac:dyDescent="0.2">
      <c r="A117" s="212"/>
      <c r="B117" s="212"/>
      <c r="C117" s="212"/>
      <c r="D117" s="212"/>
      <c r="E117" s="212"/>
      <c r="F117" s="212"/>
      <c r="G117" s="212"/>
    </row>
  </sheetData>
  <mergeCells count="74"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  <mergeCell ref="A97:C97"/>
    <mergeCell ref="A98:G98"/>
    <mergeCell ref="A99:G99"/>
    <mergeCell ref="A105:C105"/>
    <mergeCell ref="A106:D106"/>
    <mergeCell ref="A92:G92"/>
    <mergeCell ref="A93:G93"/>
    <mergeCell ref="B94:C94"/>
    <mergeCell ref="B95:C95"/>
    <mergeCell ref="B96:C96"/>
    <mergeCell ref="A78:G78"/>
    <mergeCell ref="A86:B86"/>
    <mergeCell ref="A87:G87"/>
    <mergeCell ref="A88:G88"/>
    <mergeCell ref="A91:B91"/>
    <mergeCell ref="A66:D66"/>
    <mergeCell ref="A67:G67"/>
    <mergeCell ref="A75:B75"/>
    <mergeCell ref="A76:G76"/>
    <mergeCell ref="A77:G77"/>
    <mergeCell ref="B61:C61"/>
    <mergeCell ref="B62:C62"/>
    <mergeCell ref="B63:C63"/>
    <mergeCell ref="B64:C64"/>
    <mergeCell ref="A65:C65"/>
    <mergeCell ref="A51:D51"/>
    <mergeCell ref="A52:G52"/>
    <mergeCell ref="A58:C58"/>
    <mergeCell ref="A59:G59"/>
    <mergeCell ref="A60:G60"/>
    <mergeCell ref="A34:G34"/>
    <mergeCell ref="A38:B38"/>
    <mergeCell ref="A39:G39"/>
    <mergeCell ref="A40:G40"/>
    <mergeCell ref="A50:B50"/>
    <mergeCell ref="A22:G22"/>
    <mergeCell ref="A23:G23"/>
    <mergeCell ref="A31:B31"/>
    <mergeCell ref="A32:G32"/>
    <mergeCell ref="A33:G33"/>
    <mergeCell ref="B17:C17"/>
    <mergeCell ref="B18:C18"/>
    <mergeCell ref="B19:C19"/>
    <mergeCell ref="B20:C20"/>
    <mergeCell ref="A21:G21"/>
    <mergeCell ref="F12:G12"/>
    <mergeCell ref="F13:G13"/>
    <mergeCell ref="A14:G14"/>
    <mergeCell ref="A15:G15"/>
    <mergeCell ref="A16:G16"/>
    <mergeCell ref="A7:G7"/>
    <mergeCell ref="A8:G8"/>
    <mergeCell ref="A9:G9"/>
    <mergeCell ref="F10:G10"/>
    <mergeCell ref="F11:G11"/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</mergeCells>
  <printOptions horizontalCentered="1"/>
  <pageMargins left="0.78740157480314965" right="0.78740157480314965" top="0.9055118110236221" bottom="0.9055118110236221" header="0.51181102362204722" footer="0.51181102362204722"/>
  <pageSetup paperSize="9" scale="40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J115"/>
  <sheetViews>
    <sheetView showGridLines="0" view="pageBreakPreview" topLeftCell="A94" zoomScale="90" zoomScaleNormal="100" zoomScalePageLayoutView="90" workbookViewId="0">
      <selection activeCell="I73" sqref="I73"/>
    </sheetView>
  </sheetViews>
  <sheetFormatPr defaultRowHeight="12.75" x14ac:dyDescent="0.2"/>
  <cols>
    <col min="1" max="1" width="3.85546875" customWidth="1"/>
    <col min="2" max="2" width="63.140625" customWidth="1"/>
    <col min="3" max="3" width="28.42578125" customWidth="1"/>
    <col min="4" max="7" width="22.85546875" customWidth="1"/>
    <col min="8" max="1025" width="9.140625" customWidth="1"/>
  </cols>
  <sheetData>
    <row r="1" spans="1:10" ht="20.25" x14ac:dyDescent="0.2">
      <c r="A1" s="316" t="s">
        <v>298</v>
      </c>
      <c r="B1" s="316"/>
      <c r="C1" s="316"/>
      <c r="D1" s="316"/>
      <c r="E1" s="316"/>
      <c r="F1" s="316"/>
      <c r="G1" s="316"/>
      <c r="H1" s="1"/>
      <c r="I1" s="1"/>
      <c r="J1" s="101"/>
    </row>
    <row r="2" spans="1:10" ht="14.25" x14ac:dyDescent="0.2">
      <c r="A2" s="317"/>
      <c r="B2" s="317"/>
      <c r="C2" s="317"/>
      <c r="D2" s="317"/>
      <c r="E2" s="317"/>
      <c r="F2" s="317"/>
      <c r="G2" s="317"/>
      <c r="H2" s="1"/>
      <c r="I2" s="1"/>
      <c r="J2" s="101"/>
    </row>
    <row r="3" spans="1:10" ht="14.25" x14ac:dyDescent="0.2">
      <c r="A3" s="275" t="s">
        <v>1024</v>
      </c>
      <c r="B3" s="275"/>
      <c r="C3" s="331" t="s">
        <v>402</v>
      </c>
      <c r="D3" s="331"/>
      <c r="E3" s="331"/>
      <c r="F3" s="215" t="s">
        <v>389</v>
      </c>
      <c r="G3" s="216">
        <v>20.98</v>
      </c>
      <c r="H3" s="1"/>
      <c r="I3" s="1"/>
      <c r="J3" s="101"/>
    </row>
    <row r="4" spans="1:10" ht="14.25" x14ac:dyDescent="0.2">
      <c r="A4" s="275" t="s">
        <v>1025</v>
      </c>
      <c r="B4" s="275"/>
      <c r="C4" s="330" t="s">
        <v>390</v>
      </c>
      <c r="D4" s="330"/>
      <c r="E4" s="177" t="s">
        <v>1023</v>
      </c>
      <c r="F4" s="177" t="s">
        <v>391</v>
      </c>
      <c r="G4" s="164">
        <v>0.06</v>
      </c>
      <c r="H4" s="1"/>
      <c r="I4" s="1"/>
      <c r="J4" s="101"/>
    </row>
    <row r="5" spans="1:10" ht="14.25" x14ac:dyDescent="0.2">
      <c r="A5" s="185"/>
      <c r="B5" s="203"/>
      <c r="C5" s="330" t="s">
        <v>392</v>
      </c>
      <c r="D5" s="330"/>
      <c r="E5" s="183">
        <v>44167</v>
      </c>
      <c r="F5" s="117" t="s">
        <v>393</v>
      </c>
      <c r="G5" s="164">
        <v>0</v>
      </c>
      <c r="H5" s="1"/>
      <c r="I5" s="1"/>
      <c r="J5" s="101"/>
    </row>
    <row r="6" spans="1:10" ht="14.25" x14ac:dyDescent="0.2">
      <c r="A6" s="319" t="s">
        <v>1026</v>
      </c>
      <c r="B6" s="319"/>
      <c r="C6" s="321"/>
      <c r="D6" s="321"/>
      <c r="E6" s="321"/>
      <c r="F6" s="321"/>
      <c r="G6" s="321"/>
      <c r="H6" s="1"/>
      <c r="I6" s="1"/>
      <c r="J6" s="101"/>
    </row>
    <row r="7" spans="1:10" ht="14.25" x14ac:dyDescent="0.2">
      <c r="A7" s="276"/>
      <c r="B7" s="276"/>
      <c r="C7" s="276"/>
      <c r="D7" s="276"/>
      <c r="E7" s="276"/>
      <c r="F7" s="276"/>
      <c r="G7" s="276"/>
      <c r="H7" s="1"/>
      <c r="I7" s="1"/>
      <c r="J7" s="101"/>
    </row>
    <row r="8" spans="1:10" ht="15" x14ac:dyDescent="0.2">
      <c r="A8" s="283" t="s">
        <v>394</v>
      </c>
      <c r="B8" s="283"/>
      <c r="C8" s="283"/>
      <c r="D8" s="283"/>
      <c r="E8" s="283"/>
      <c r="F8" s="283"/>
      <c r="G8" s="283"/>
      <c r="H8" s="1"/>
      <c r="I8" s="1"/>
      <c r="J8" s="101"/>
    </row>
    <row r="9" spans="1:10" ht="14.25" x14ac:dyDescent="0.2">
      <c r="A9" s="276"/>
      <c r="B9" s="276"/>
      <c r="C9" s="276"/>
      <c r="D9" s="276"/>
      <c r="E9" s="276"/>
      <c r="F9" s="276"/>
      <c r="G9" s="276"/>
      <c r="H9" s="1"/>
      <c r="I9" s="1"/>
      <c r="J9" s="101"/>
    </row>
    <row r="10" spans="1:10" ht="14.25" x14ac:dyDescent="0.2">
      <c r="A10" s="182" t="s">
        <v>8</v>
      </c>
      <c r="B10" s="117" t="s">
        <v>300</v>
      </c>
      <c r="C10" s="182" t="s">
        <v>1027</v>
      </c>
      <c r="D10" s="217"/>
      <c r="E10" s="218" t="s">
        <v>307</v>
      </c>
      <c r="F10" s="317" t="s">
        <v>395</v>
      </c>
      <c r="G10" s="317"/>
      <c r="H10" s="1"/>
      <c r="I10" s="1"/>
      <c r="J10" s="101"/>
    </row>
    <row r="11" spans="1:10" ht="14.25" x14ac:dyDescent="0.2">
      <c r="A11" s="182" t="s">
        <v>11</v>
      </c>
      <c r="B11" s="117" t="s">
        <v>301</v>
      </c>
      <c r="C11" s="182" t="s">
        <v>403</v>
      </c>
      <c r="D11" s="217"/>
      <c r="E11" s="218" t="s">
        <v>308</v>
      </c>
      <c r="F11" s="317" t="s">
        <v>397</v>
      </c>
      <c r="G11" s="317"/>
      <c r="H11" s="1"/>
      <c r="I11" s="1"/>
      <c r="J11" s="101"/>
    </row>
    <row r="12" spans="1:10" ht="14.25" x14ac:dyDescent="0.2">
      <c r="A12" s="182" t="s">
        <v>13</v>
      </c>
      <c r="B12" s="117" t="s">
        <v>303</v>
      </c>
      <c r="C12" s="182">
        <v>2020</v>
      </c>
      <c r="D12" s="217"/>
      <c r="E12" s="218" t="s">
        <v>309</v>
      </c>
      <c r="F12" s="332">
        <v>59637.97</v>
      </c>
      <c r="G12" s="332"/>
      <c r="H12" s="1"/>
      <c r="I12" s="1"/>
      <c r="J12" s="101"/>
    </row>
    <row r="13" spans="1:10" ht="14.25" x14ac:dyDescent="0.2">
      <c r="A13" s="182" t="s">
        <v>15</v>
      </c>
      <c r="B13" s="117" t="s">
        <v>305</v>
      </c>
      <c r="C13" s="182">
        <v>12</v>
      </c>
      <c r="D13" s="217"/>
      <c r="E13" s="217"/>
      <c r="F13" s="276"/>
      <c r="G13" s="276"/>
      <c r="H13" s="1"/>
      <c r="I13" s="1"/>
      <c r="J13" s="101"/>
    </row>
    <row r="14" spans="1:10" ht="14.25" x14ac:dyDescent="0.2">
      <c r="A14" s="276"/>
      <c r="B14" s="276"/>
      <c r="C14" s="276"/>
      <c r="D14" s="276"/>
      <c r="E14" s="276"/>
      <c r="F14" s="276"/>
      <c r="G14" s="276"/>
      <c r="H14" s="1"/>
      <c r="I14" s="1"/>
      <c r="J14" s="101"/>
    </row>
    <row r="15" spans="1:10" ht="14.25" x14ac:dyDescent="0.2">
      <c r="A15" s="276"/>
      <c r="B15" s="276"/>
      <c r="C15" s="276"/>
      <c r="D15" s="276"/>
      <c r="E15" s="276"/>
      <c r="F15" s="276"/>
      <c r="G15" s="276"/>
      <c r="H15" s="1"/>
      <c r="I15" s="1"/>
      <c r="J15" s="101"/>
    </row>
    <row r="16" spans="1:10" ht="15" x14ac:dyDescent="0.2">
      <c r="A16" s="322" t="s">
        <v>312</v>
      </c>
      <c r="B16" s="322"/>
      <c r="C16" s="322"/>
      <c r="D16" s="322"/>
      <c r="E16" s="322"/>
      <c r="F16" s="322"/>
      <c r="G16" s="322"/>
      <c r="H16" s="1"/>
      <c r="I16" s="1"/>
      <c r="J16" s="101"/>
    </row>
    <row r="17" spans="1:10" ht="28.5" customHeight="1" x14ac:dyDescent="0.2">
      <c r="A17" s="216">
        <v>1</v>
      </c>
      <c r="B17" s="275" t="s">
        <v>317</v>
      </c>
      <c r="C17" s="275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4.25" x14ac:dyDescent="0.2">
      <c r="A18" s="182">
        <v>2</v>
      </c>
      <c r="B18" s="275" t="s">
        <v>314</v>
      </c>
      <c r="C18" s="275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4.25" x14ac:dyDescent="0.2">
      <c r="A19" s="182">
        <v>3</v>
      </c>
      <c r="B19" s="275" t="s">
        <v>316</v>
      </c>
      <c r="C19" s="275"/>
      <c r="D19" s="104">
        <v>1922.74</v>
      </c>
      <c r="E19" s="222">
        <v>1959.32</v>
      </c>
      <c r="F19" s="104">
        <v>1922.74</v>
      </c>
      <c r="G19" s="104">
        <v>1409.12</v>
      </c>
      <c r="H19" s="1"/>
      <c r="I19" s="1"/>
      <c r="J19" s="101"/>
    </row>
    <row r="20" spans="1:10" ht="14.25" x14ac:dyDescent="0.2">
      <c r="A20" s="182">
        <v>4</v>
      </c>
      <c r="B20" s="275" t="s">
        <v>319</v>
      </c>
      <c r="C20" s="275"/>
      <c r="D20" s="109">
        <v>43891</v>
      </c>
      <c r="E20" s="109">
        <v>43891</v>
      </c>
      <c r="F20" s="109">
        <v>43891</v>
      </c>
      <c r="G20" s="109">
        <v>43891</v>
      </c>
      <c r="H20" s="101"/>
      <c r="I20" s="101"/>
      <c r="J20" s="101"/>
    </row>
    <row r="21" spans="1:10" ht="14.25" x14ac:dyDescent="0.2">
      <c r="A21" s="321"/>
      <c r="B21" s="321"/>
      <c r="C21" s="321"/>
      <c r="D21" s="321"/>
      <c r="E21" s="321"/>
      <c r="F21" s="321"/>
      <c r="G21" s="321"/>
      <c r="H21" s="101"/>
      <c r="I21" s="101"/>
      <c r="J21" s="101"/>
    </row>
    <row r="22" spans="1:10" ht="14.25" x14ac:dyDescent="0.2">
      <c r="A22" s="276"/>
      <c r="B22" s="276"/>
      <c r="C22" s="276"/>
      <c r="D22" s="276"/>
      <c r="E22" s="276"/>
      <c r="F22" s="276"/>
      <c r="G22" s="276"/>
      <c r="H22" s="101"/>
      <c r="I22" s="101"/>
      <c r="J22" s="101"/>
    </row>
    <row r="23" spans="1:10" ht="15" x14ac:dyDescent="0.2">
      <c r="A23" s="333" t="s">
        <v>320</v>
      </c>
      <c r="B23" s="333"/>
      <c r="C23" s="333"/>
      <c r="D23" s="333"/>
      <c r="E23" s="333"/>
      <c r="F23" s="333"/>
      <c r="G23" s="333"/>
      <c r="H23" s="101"/>
      <c r="I23" s="101"/>
      <c r="J23" s="101"/>
    </row>
    <row r="24" spans="1:10" ht="15" x14ac:dyDescent="0.2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4.25" x14ac:dyDescent="0.2">
      <c r="A25" s="182" t="s">
        <v>8</v>
      </c>
      <c r="B25" s="223" t="s">
        <v>324</v>
      </c>
      <c r="C25" s="164"/>
      <c r="D25" s="188">
        <f>D19</f>
        <v>1922.74</v>
      </c>
      <c r="E25" s="188">
        <f>E19</f>
        <v>1959.32</v>
      </c>
      <c r="F25" s="188">
        <f>F19</f>
        <v>1922.74</v>
      </c>
      <c r="G25" s="188">
        <f>G19</f>
        <v>1409.12</v>
      </c>
      <c r="H25" s="101"/>
      <c r="I25" s="101"/>
      <c r="J25" s="101"/>
    </row>
    <row r="26" spans="1:10" ht="14.25" x14ac:dyDescent="0.2">
      <c r="A26" s="182" t="s">
        <v>11</v>
      </c>
      <c r="B26" s="223" t="s">
        <v>325</v>
      </c>
      <c r="C26" s="164">
        <v>0.3</v>
      </c>
      <c r="D26" s="188">
        <f>C26*D25</f>
        <v>576.822</v>
      </c>
      <c r="E26" s="188"/>
      <c r="F26" s="188"/>
      <c r="G26" s="188"/>
      <c r="H26" s="101"/>
      <c r="I26" s="101"/>
      <c r="J26" s="101"/>
    </row>
    <row r="27" spans="1:10" ht="14.25" x14ac:dyDescent="0.2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4.25" x14ac:dyDescent="0.2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4.25" x14ac:dyDescent="0.2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4.25" x14ac:dyDescent="0.2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5" x14ac:dyDescent="0.2">
      <c r="A31" s="334" t="s">
        <v>330</v>
      </c>
      <c r="B31" s="334"/>
      <c r="C31" s="208">
        <f>SUM(C25:C30)</f>
        <v>0.3</v>
      </c>
      <c r="D31" s="209">
        <f>SUM(D25:D30)</f>
        <v>2499.5619999999999</v>
      </c>
      <c r="E31" s="209">
        <f>SUM(E25:E30)</f>
        <v>1959.32</v>
      </c>
      <c r="F31" s="209">
        <f>SUM(F25:F30)</f>
        <v>1922.74</v>
      </c>
      <c r="G31" s="209">
        <f>SUM(G25:G30)</f>
        <v>1409.12</v>
      </c>
      <c r="H31" s="101"/>
      <c r="I31" s="101"/>
      <c r="J31" s="101"/>
    </row>
    <row r="32" spans="1:10" ht="14.25" x14ac:dyDescent="0.2">
      <c r="A32" s="321"/>
      <c r="B32" s="321"/>
      <c r="C32" s="321"/>
      <c r="D32" s="321"/>
      <c r="E32" s="321"/>
      <c r="F32" s="321"/>
      <c r="G32" s="321"/>
      <c r="H32" s="101"/>
      <c r="I32" s="101"/>
      <c r="J32" s="101"/>
    </row>
    <row r="33" spans="1:10" ht="15" x14ac:dyDescent="0.2">
      <c r="A33" s="326" t="s">
        <v>331</v>
      </c>
      <c r="B33" s="326"/>
      <c r="C33" s="326"/>
      <c r="D33" s="326"/>
      <c r="E33" s="326"/>
      <c r="F33" s="326"/>
      <c r="G33" s="326"/>
      <c r="H33" s="101"/>
      <c r="I33" s="101"/>
      <c r="J33" s="101"/>
    </row>
    <row r="34" spans="1:10" ht="15" x14ac:dyDescent="0.2">
      <c r="A34" s="333" t="s">
        <v>332</v>
      </c>
      <c r="B34" s="333"/>
      <c r="C34" s="333"/>
      <c r="D34" s="333"/>
      <c r="E34" s="333"/>
      <c r="F34" s="333"/>
      <c r="G34" s="333"/>
      <c r="H34" s="101"/>
      <c r="I34" s="101"/>
      <c r="J34" s="101"/>
    </row>
    <row r="35" spans="1:10" ht="15" x14ac:dyDescent="0.2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4.25" x14ac:dyDescent="0.2">
      <c r="A36" s="182" t="s">
        <v>8</v>
      </c>
      <c r="B36" s="117" t="s">
        <v>334</v>
      </c>
      <c r="C36" s="164">
        <v>8.3299999999999999E-2</v>
      </c>
      <c r="D36" s="189">
        <f>C36*$D$31</f>
        <v>208.2135146</v>
      </c>
      <c r="E36" s="189">
        <f>C36*$E$31</f>
        <v>163.21135599999999</v>
      </c>
      <c r="F36" s="189">
        <f>C36*$F$31</f>
        <v>160.164242</v>
      </c>
      <c r="G36" s="189">
        <f>C36*$G$31</f>
        <v>117.379696</v>
      </c>
      <c r="H36" s="101"/>
      <c r="I36" s="101"/>
      <c r="J36" s="101"/>
    </row>
    <row r="37" spans="1:10" ht="14.25" x14ac:dyDescent="0.2">
      <c r="A37" s="182" t="s">
        <v>11</v>
      </c>
      <c r="B37" s="117" t="s">
        <v>335</v>
      </c>
      <c r="C37" s="164">
        <v>0.121</v>
      </c>
      <c r="D37" s="189">
        <f>C37*$D$31</f>
        <v>302.447002</v>
      </c>
      <c r="E37" s="189">
        <f>C37*$E$31</f>
        <v>237.07772</v>
      </c>
      <c r="F37" s="189">
        <f>C37*$F$31</f>
        <v>232.65153999999998</v>
      </c>
      <c r="G37" s="189">
        <f>C37*$G$31</f>
        <v>170.50351999999998</v>
      </c>
      <c r="H37" s="101"/>
      <c r="I37" s="101"/>
      <c r="J37" s="101"/>
    </row>
    <row r="38" spans="1:10" ht="15" x14ac:dyDescent="0.2">
      <c r="A38" s="282" t="s">
        <v>330</v>
      </c>
      <c r="B38" s="282"/>
      <c r="C38" s="208">
        <f>SUM(C36:C37)</f>
        <v>0.20429999999999998</v>
      </c>
      <c r="D38" s="190">
        <f>SUM(D36:D37)</f>
        <v>510.66051659999999</v>
      </c>
      <c r="E38" s="190">
        <f>SUM(E36:E37)</f>
        <v>400.28907600000002</v>
      </c>
      <c r="F38" s="190">
        <f>SUM(F36:F37)</f>
        <v>392.81578200000001</v>
      </c>
      <c r="G38" s="190">
        <f>SUM(G36:G37)</f>
        <v>287.88321599999995</v>
      </c>
      <c r="H38" s="101"/>
      <c r="I38" s="101"/>
      <c r="J38" s="101"/>
    </row>
    <row r="39" spans="1:10" ht="14.25" x14ac:dyDescent="0.2">
      <c r="A39" s="321"/>
      <c r="B39" s="321"/>
      <c r="C39" s="321"/>
      <c r="D39" s="321"/>
      <c r="E39" s="321"/>
      <c r="F39" s="321"/>
      <c r="G39" s="321"/>
      <c r="H39" s="101"/>
      <c r="I39" s="101"/>
      <c r="J39" s="101"/>
    </row>
    <row r="40" spans="1:10" ht="15" customHeight="1" x14ac:dyDescent="0.2">
      <c r="A40" s="335" t="s">
        <v>336</v>
      </c>
      <c r="B40" s="335"/>
      <c r="C40" s="335"/>
      <c r="D40" s="335"/>
      <c r="E40" s="335"/>
      <c r="F40" s="335"/>
      <c r="G40" s="335"/>
      <c r="H40" s="101"/>
      <c r="I40" s="101"/>
      <c r="J40" s="101"/>
    </row>
    <row r="41" spans="1:10" ht="15" x14ac:dyDescent="0.2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4.25" x14ac:dyDescent="0.2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4.25" x14ac:dyDescent="0.2">
      <c r="A43" s="182" t="s">
        <v>11</v>
      </c>
      <c r="B43" s="117" t="s">
        <v>339</v>
      </c>
      <c r="C43" s="164">
        <v>2.5000000000000001E-2</v>
      </c>
      <c r="D43" s="188">
        <f t="shared" si="0"/>
        <v>75.255562914999999</v>
      </c>
      <c r="E43" s="188">
        <f t="shared" si="1"/>
        <v>58.990226899999996</v>
      </c>
      <c r="F43" s="188">
        <f t="shared" si="2"/>
        <v>57.888894550000003</v>
      </c>
      <c r="G43" s="188">
        <f t="shared" si="3"/>
        <v>42.425080399999999</v>
      </c>
      <c r="H43" s="101"/>
      <c r="I43" s="101"/>
      <c r="J43" s="101"/>
    </row>
    <row r="44" spans="1:10" ht="14.25" x14ac:dyDescent="0.2">
      <c r="A44" s="182" t="s">
        <v>13</v>
      </c>
      <c r="B44" s="117" t="s">
        <v>1020</v>
      </c>
      <c r="C44" s="210">
        <v>1.4999999999999999E-2</v>
      </c>
      <c r="D44" s="188">
        <f t="shared" si="0"/>
        <v>45.153337748999995</v>
      </c>
      <c r="E44" s="188">
        <f t="shared" si="1"/>
        <v>35.394136139999993</v>
      </c>
      <c r="F44" s="188">
        <f t="shared" si="2"/>
        <v>34.733336729999998</v>
      </c>
      <c r="G44" s="188">
        <f t="shared" si="3"/>
        <v>25.455048239999996</v>
      </c>
      <c r="H44" s="101"/>
      <c r="I44" s="101"/>
      <c r="J44" s="101"/>
    </row>
    <row r="45" spans="1:10" ht="14.25" x14ac:dyDescent="0.2">
      <c r="A45" s="182" t="s">
        <v>15</v>
      </c>
      <c r="B45" s="117" t="s">
        <v>340</v>
      </c>
      <c r="C45" s="164">
        <v>1.4999999999999999E-2</v>
      </c>
      <c r="D45" s="188">
        <f t="shared" si="0"/>
        <v>45.153337748999995</v>
      </c>
      <c r="E45" s="188">
        <f t="shared" si="1"/>
        <v>35.394136139999993</v>
      </c>
      <c r="F45" s="188">
        <f t="shared" si="2"/>
        <v>34.733336729999998</v>
      </c>
      <c r="G45" s="188">
        <f t="shared" si="3"/>
        <v>25.455048239999996</v>
      </c>
      <c r="H45" s="101"/>
      <c r="I45" s="101"/>
      <c r="J45" s="101"/>
    </row>
    <row r="46" spans="1:10" ht="14.25" x14ac:dyDescent="0.2">
      <c r="A46" s="182" t="s">
        <v>20</v>
      </c>
      <c r="B46" s="117" t="s">
        <v>341</v>
      </c>
      <c r="C46" s="164">
        <v>0.01</v>
      </c>
      <c r="D46" s="188">
        <f t="shared" si="0"/>
        <v>30.102225166</v>
      </c>
      <c r="E46" s="188">
        <f t="shared" si="1"/>
        <v>23.596090759999999</v>
      </c>
      <c r="F46" s="188">
        <f t="shared" si="2"/>
        <v>23.155557819999999</v>
      </c>
      <c r="G46" s="188">
        <f t="shared" si="3"/>
        <v>16.970032159999999</v>
      </c>
      <c r="H46" s="101"/>
      <c r="I46" s="101"/>
      <c r="J46" s="101"/>
    </row>
    <row r="47" spans="1:10" ht="14.25" x14ac:dyDescent="0.2">
      <c r="A47" s="182" t="s">
        <v>22</v>
      </c>
      <c r="B47" s="117" t="s">
        <v>342</v>
      </c>
      <c r="C47" s="164">
        <v>6.0000000000000001E-3</v>
      </c>
      <c r="D47" s="188">
        <f t="shared" si="0"/>
        <v>18.061335099600001</v>
      </c>
      <c r="E47" s="188">
        <f t="shared" si="1"/>
        <v>14.157654455999999</v>
      </c>
      <c r="F47" s="188">
        <f t="shared" si="2"/>
        <v>13.893334692</v>
      </c>
      <c r="G47" s="188">
        <f t="shared" si="3"/>
        <v>10.182019296</v>
      </c>
    </row>
    <row r="48" spans="1:10" ht="14.25" x14ac:dyDescent="0.2">
      <c r="A48" s="182" t="s">
        <v>279</v>
      </c>
      <c r="B48" s="117" t="s">
        <v>343</v>
      </c>
      <c r="C48" s="164">
        <v>2E-3</v>
      </c>
      <c r="D48" s="188">
        <f t="shared" si="0"/>
        <v>6.0204450331999997</v>
      </c>
      <c r="E48" s="188">
        <f t="shared" si="1"/>
        <v>4.7192181519999998</v>
      </c>
      <c r="F48" s="188">
        <f t="shared" si="2"/>
        <v>4.6311115640000002</v>
      </c>
      <c r="G48" s="188">
        <f t="shared" si="3"/>
        <v>3.3940064319999999</v>
      </c>
    </row>
    <row r="49" spans="1:7" ht="14.25" x14ac:dyDescent="0.2">
      <c r="A49" s="182" t="s">
        <v>190</v>
      </c>
      <c r="B49" s="117" t="s">
        <v>344</v>
      </c>
      <c r="C49" s="164">
        <v>0.08</v>
      </c>
      <c r="D49" s="188">
        <f t="shared" si="0"/>
        <v>240.817801328</v>
      </c>
      <c r="E49" s="188">
        <f t="shared" si="1"/>
        <v>188.76872607999999</v>
      </c>
      <c r="F49" s="188">
        <f t="shared" si="2"/>
        <v>185.24446255999999</v>
      </c>
      <c r="G49" s="188">
        <f t="shared" si="3"/>
        <v>135.76025727999999</v>
      </c>
    </row>
    <row r="50" spans="1:7" ht="15" x14ac:dyDescent="0.2">
      <c r="A50" s="282" t="s">
        <v>330</v>
      </c>
      <c r="B50" s="282"/>
      <c r="C50" s="208">
        <f>SUM(C42:C49)</f>
        <v>0.15300000000000002</v>
      </c>
      <c r="D50" s="209">
        <f>SUM(D42:D49)</f>
        <v>460.56404503980002</v>
      </c>
      <c r="E50" s="209">
        <f>SUM(E42:E49)</f>
        <v>361.02018862799997</v>
      </c>
      <c r="F50" s="209">
        <f>SUM(F42:F49)</f>
        <v>354.28003464599999</v>
      </c>
      <c r="G50" s="209">
        <f>SUM(G42:G49)</f>
        <v>259.64149204799998</v>
      </c>
    </row>
    <row r="51" spans="1:7" ht="14.25" x14ac:dyDescent="0.2">
      <c r="A51" s="276"/>
      <c r="B51" s="276"/>
      <c r="C51" s="276"/>
      <c r="D51" s="276"/>
      <c r="E51" s="212"/>
      <c r="F51" s="212"/>
      <c r="G51" s="212"/>
    </row>
    <row r="52" spans="1:7" ht="15" x14ac:dyDescent="0.2">
      <c r="A52" s="326" t="s">
        <v>345</v>
      </c>
      <c r="B52" s="326"/>
      <c r="C52" s="326"/>
      <c r="D52" s="326"/>
      <c r="E52" s="326"/>
      <c r="F52" s="326"/>
      <c r="G52" s="326"/>
    </row>
    <row r="53" spans="1:7" ht="15" x14ac:dyDescent="0.2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4.25" x14ac:dyDescent="0.2">
      <c r="A54" s="182" t="s">
        <v>8</v>
      </c>
      <c r="B54" s="117" t="s">
        <v>348</v>
      </c>
      <c r="C54" s="104">
        <v>4</v>
      </c>
      <c r="D54" s="189">
        <f>IF(((2*C54*G3)-(G4*D25))&gt;0,(2*C54*G3)-(G4*D25),0)</f>
        <v>52.475600000000014</v>
      </c>
      <c r="E54" s="189">
        <f>IF(((2*C54*G3)-(G4*E25))&gt;0,(2*C54*G3)-(G4*E25),0)</f>
        <v>50.280800000000013</v>
      </c>
      <c r="F54" s="189">
        <f>IF(((2*C54*G3)-(G4*F25))&gt;0,(2*C54*G3)-(G4*F25),0)</f>
        <v>52.475600000000014</v>
      </c>
      <c r="G54" s="189">
        <f>IF(((2*C54*G3)-(G4*G25))&gt;0,(2*C54*G3)-(G4*G25),0)</f>
        <v>83.292800000000014</v>
      </c>
    </row>
    <row r="55" spans="1:7" ht="14.25" x14ac:dyDescent="0.2">
      <c r="A55" s="182" t="s">
        <v>11</v>
      </c>
      <c r="B55" s="117" t="s">
        <v>1028</v>
      </c>
      <c r="C55" s="104">
        <f>300 + (3.43*20.98)</f>
        <v>371.96140000000003</v>
      </c>
      <c r="D55" s="189">
        <f>$C$55</f>
        <v>371.96140000000003</v>
      </c>
      <c r="E55" s="189">
        <f t="shared" ref="E55:G55" si="4">$C$55</f>
        <v>371.96140000000003</v>
      </c>
      <c r="F55" s="189">
        <f t="shared" si="4"/>
        <v>371.96140000000003</v>
      </c>
      <c r="G55" s="189">
        <f t="shared" si="4"/>
        <v>371.96140000000003</v>
      </c>
    </row>
    <row r="56" spans="1:7" ht="14.25" x14ac:dyDescent="0.2">
      <c r="A56" s="182" t="s">
        <v>13</v>
      </c>
      <c r="B56" s="117" t="s">
        <v>350</v>
      </c>
      <c r="C56" s="168">
        <v>0</v>
      </c>
      <c r="D56" s="174">
        <v>0</v>
      </c>
      <c r="E56" s="174">
        <v>0</v>
      </c>
      <c r="F56" s="174">
        <v>0</v>
      </c>
      <c r="G56" s="174">
        <v>0</v>
      </c>
    </row>
    <row r="57" spans="1:7" ht="14.25" x14ac:dyDescent="0.2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5" x14ac:dyDescent="0.2">
      <c r="A58" s="282" t="s">
        <v>330</v>
      </c>
      <c r="B58" s="282"/>
      <c r="C58" s="282"/>
      <c r="D58" s="190">
        <f>SUM(D54:D57)</f>
        <v>429.37700000000001</v>
      </c>
      <c r="E58" s="190">
        <f>SUM(E54:E57)</f>
        <v>427.18220000000002</v>
      </c>
      <c r="F58" s="190">
        <f>SUM(F54:F57)</f>
        <v>429.37700000000001</v>
      </c>
      <c r="G58" s="190">
        <f>SUM(G54:G57)</f>
        <v>460.19420000000002</v>
      </c>
    </row>
    <row r="59" spans="1:7" ht="14.25" x14ac:dyDescent="0.2">
      <c r="A59" s="321"/>
      <c r="B59" s="321"/>
      <c r="C59" s="321"/>
      <c r="D59" s="321"/>
      <c r="E59" s="321"/>
      <c r="F59" s="321"/>
      <c r="G59" s="321"/>
    </row>
    <row r="60" spans="1:7" ht="15" x14ac:dyDescent="0.2">
      <c r="A60" s="326" t="s">
        <v>351</v>
      </c>
      <c r="B60" s="326"/>
      <c r="C60" s="326"/>
      <c r="D60" s="326"/>
      <c r="E60" s="326"/>
      <c r="F60" s="326"/>
      <c r="G60" s="326"/>
    </row>
    <row r="61" spans="1:7" ht="15" x14ac:dyDescent="0.2">
      <c r="A61" s="186">
        <v>2</v>
      </c>
      <c r="B61" s="328" t="s">
        <v>352</v>
      </c>
      <c r="C61" s="328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4.25" x14ac:dyDescent="0.2">
      <c r="A62" s="182" t="s">
        <v>206</v>
      </c>
      <c r="B62" s="275" t="s">
        <v>333</v>
      </c>
      <c r="C62" s="275"/>
      <c r="D62" s="189">
        <f>D38</f>
        <v>510.66051659999999</v>
      </c>
      <c r="E62" s="189">
        <f>E38</f>
        <v>400.28907600000002</v>
      </c>
      <c r="F62" s="189">
        <f>F38</f>
        <v>392.81578200000001</v>
      </c>
      <c r="G62" s="189">
        <f>G38</f>
        <v>287.88321599999995</v>
      </c>
    </row>
    <row r="63" spans="1:7" ht="14.25" x14ac:dyDescent="0.2">
      <c r="A63" s="182" t="s">
        <v>208</v>
      </c>
      <c r="B63" s="275" t="s">
        <v>337</v>
      </c>
      <c r="C63" s="275"/>
      <c r="D63" s="189">
        <f>D50</f>
        <v>460.56404503980002</v>
      </c>
      <c r="E63" s="189">
        <f>E50</f>
        <v>361.02018862799997</v>
      </c>
      <c r="F63" s="189">
        <f>F50</f>
        <v>354.28003464599999</v>
      </c>
      <c r="G63" s="189">
        <f>G50</f>
        <v>259.64149204799998</v>
      </c>
    </row>
    <row r="64" spans="1:7" ht="14.25" x14ac:dyDescent="0.2">
      <c r="A64" s="182" t="s">
        <v>346</v>
      </c>
      <c r="B64" s="275" t="s">
        <v>347</v>
      </c>
      <c r="C64" s="275"/>
      <c r="D64" s="189">
        <f>D58</f>
        <v>429.37700000000001</v>
      </c>
      <c r="E64" s="189">
        <f>E58</f>
        <v>427.18220000000002</v>
      </c>
      <c r="F64" s="189">
        <f>F58</f>
        <v>429.37700000000001</v>
      </c>
      <c r="G64" s="189">
        <f>G58</f>
        <v>460.19420000000002</v>
      </c>
    </row>
    <row r="65" spans="1:7" ht="15" x14ac:dyDescent="0.2">
      <c r="A65" s="282" t="s">
        <v>330</v>
      </c>
      <c r="B65" s="282"/>
      <c r="C65" s="282"/>
      <c r="D65" s="190">
        <f>SUM(D62:D64)</f>
        <v>1400.6015616397999</v>
      </c>
      <c r="E65" s="190">
        <f>SUM(E62:E64)</f>
        <v>1188.4914646279999</v>
      </c>
      <c r="F65" s="190">
        <f>SUM(F62:F64)</f>
        <v>1176.472816646</v>
      </c>
      <c r="G65" s="190">
        <f>SUM(G62:G64)</f>
        <v>1007.7189080479999</v>
      </c>
    </row>
    <row r="66" spans="1:7" ht="14.25" x14ac:dyDescent="0.2">
      <c r="A66" s="276"/>
      <c r="B66" s="276"/>
      <c r="C66" s="276"/>
      <c r="D66" s="276"/>
      <c r="E66" s="212"/>
      <c r="F66" s="212"/>
      <c r="G66" s="212"/>
    </row>
    <row r="67" spans="1:7" ht="15" customHeight="1" x14ac:dyDescent="0.2">
      <c r="A67" s="335" t="s">
        <v>353</v>
      </c>
      <c r="B67" s="335"/>
      <c r="C67" s="335"/>
      <c r="D67" s="335"/>
      <c r="E67" s="335"/>
      <c r="F67" s="335"/>
      <c r="G67" s="335"/>
    </row>
    <row r="68" spans="1:7" ht="15" x14ac:dyDescent="0.2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4.25" x14ac:dyDescent="0.2">
      <c r="A69" s="182" t="s">
        <v>8</v>
      </c>
      <c r="B69" s="117" t="s">
        <v>355</v>
      </c>
      <c r="C69" s="246">
        <v>4.2000000000000002E-4</v>
      </c>
      <c r="D69" s="189">
        <f t="shared" ref="D69:D74" si="5">C69*$D$31</f>
        <v>1.0498160400000001</v>
      </c>
      <c r="E69" s="189">
        <f t="shared" ref="E69:E74" si="6">C69*$E$31</f>
        <v>0.82291440000000005</v>
      </c>
      <c r="F69" s="189">
        <f t="shared" ref="F69:F74" si="7">C69*$F$31</f>
        <v>0.80755080000000001</v>
      </c>
      <c r="G69" s="189">
        <f t="shared" ref="G69:G74" si="8">C69*$G$31</f>
        <v>0.59183039999999998</v>
      </c>
    </row>
    <row r="70" spans="1:7" ht="14.25" x14ac:dyDescent="0.2">
      <c r="A70" s="182" t="s">
        <v>11</v>
      </c>
      <c r="B70" s="117" t="s">
        <v>356</v>
      </c>
      <c r="C70" s="246">
        <f>C49*C69</f>
        <v>3.3600000000000004E-5</v>
      </c>
      <c r="D70" s="189">
        <f t="shared" si="5"/>
        <v>8.398528320000001E-2</v>
      </c>
      <c r="E70" s="189">
        <f t="shared" si="6"/>
        <v>6.5833152000000006E-2</v>
      </c>
      <c r="F70" s="189">
        <f t="shared" si="7"/>
        <v>6.4604064000000003E-2</v>
      </c>
      <c r="G70" s="189">
        <f t="shared" si="8"/>
        <v>4.7346432000000001E-2</v>
      </c>
    </row>
    <row r="71" spans="1:7" ht="28.5" x14ac:dyDescent="0.2">
      <c r="A71" s="182" t="s">
        <v>13</v>
      </c>
      <c r="B71" s="120" t="s">
        <v>357</v>
      </c>
      <c r="C71" s="164">
        <v>0.02</v>
      </c>
      <c r="D71" s="189">
        <f t="shared" si="5"/>
        <v>49.991239999999998</v>
      </c>
      <c r="E71" s="189">
        <f t="shared" si="6"/>
        <v>39.186399999999999</v>
      </c>
      <c r="F71" s="189">
        <f t="shared" si="7"/>
        <v>38.454799999999999</v>
      </c>
      <c r="G71" s="189">
        <f t="shared" si="8"/>
        <v>28.182399999999998</v>
      </c>
    </row>
    <row r="72" spans="1:7" ht="14.25" x14ac:dyDescent="0.2">
      <c r="A72" s="182" t="s">
        <v>15</v>
      </c>
      <c r="B72" s="117" t="s">
        <v>358</v>
      </c>
      <c r="C72" s="246">
        <v>1.9400000000000001E-3</v>
      </c>
      <c r="D72" s="189">
        <f t="shared" si="5"/>
        <v>4.8491502799999999</v>
      </c>
      <c r="E72" s="189">
        <f t="shared" si="6"/>
        <v>3.8010808000000003</v>
      </c>
      <c r="F72" s="189">
        <f t="shared" si="7"/>
        <v>3.7301156000000004</v>
      </c>
      <c r="G72" s="189">
        <f t="shared" si="8"/>
        <v>2.7336928</v>
      </c>
    </row>
    <row r="73" spans="1:7" ht="28.5" x14ac:dyDescent="0.2">
      <c r="A73" s="182" t="s">
        <v>20</v>
      </c>
      <c r="B73" s="120" t="s">
        <v>359</v>
      </c>
      <c r="C73" s="164">
        <f>C50*C72</f>
        <v>2.9682000000000005E-4</v>
      </c>
      <c r="D73" s="189">
        <f t="shared" si="5"/>
        <v>0.7419199928400001</v>
      </c>
      <c r="E73" s="189">
        <f t="shared" si="6"/>
        <v>0.58156536240000012</v>
      </c>
      <c r="F73" s="189">
        <f t="shared" si="7"/>
        <v>0.57070768680000006</v>
      </c>
      <c r="G73" s="189">
        <f t="shared" si="8"/>
        <v>0.41825499840000002</v>
      </c>
    </row>
    <row r="74" spans="1:7" ht="28.5" x14ac:dyDescent="0.2">
      <c r="A74" s="182" t="s">
        <v>22</v>
      </c>
      <c r="B74" s="120" t="s">
        <v>360</v>
      </c>
      <c r="C74" s="164">
        <v>0.02</v>
      </c>
      <c r="D74" s="189">
        <f t="shared" si="5"/>
        <v>49.991239999999998</v>
      </c>
      <c r="E74" s="189">
        <f t="shared" si="6"/>
        <v>39.186399999999999</v>
      </c>
      <c r="F74" s="189">
        <f t="shared" si="7"/>
        <v>38.454799999999999</v>
      </c>
      <c r="G74" s="189">
        <f t="shared" si="8"/>
        <v>28.182399999999998</v>
      </c>
    </row>
    <row r="75" spans="1:7" ht="15" x14ac:dyDescent="0.2">
      <c r="A75" s="282" t="s">
        <v>330</v>
      </c>
      <c r="B75" s="282"/>
      <c r="C75" s="208">
        <f>SUM(C69:C74)</f>
        <v>4.269042E-2</v>
      </c>
      <c r="D75" s="190">
        <f>SUM(D69:D74)</f>
        <v>106.70735159604</v>
      </c>
      <c r="E75" s="190">
        <f>SUM(E69:E74)</f>
        <v>83.644193714399989</v>
      </c>
      <c r="F75" s="190">
        <f>SUM(F69:F74)</f>
        <v>82.082578150800003</v>
      </c>
      <c r="G75" s="190">
        <f>SUM(G69:G74)</f>
        <v>60.155924630399994</v>
      </c>
    </row>
    <row r="76" spans="1:7" ht="14.25" x14ac:dyDescent="0.2">
      <c r="A76" s="321"/>
      <c r="B76" s="321"/>
      <c r="C76" s="321"/>
      <c r="D76" s="321"/>
      <c r="E76" s="321"/>
      <c r="F76" s="321"/>
      <c r="G76" s="321"/>
    </row>
    <row r="77" spans="1:7" ht="15" x14ac:dyDescent="0.2">
      <c r="A77" s="326" t="s">
        <v>361</v>
      </c>
      <c r="B77" s="326"/>
      <c r="C77" s="326"/>
      <c r="D77" s="326"/>
      <c r="E77" s="326"/>
      <c r="F77" s="326"/>
      <c r="G77" s="326"/>
    </row>
    <row r="78" spans="1:7" ht="15" x14ac:dyDescent="0.2">
      <c r="A78" s="326" t="s">
        <v>362</v>
      </c>
      <c r="B78" s="326"/>
      <c r="C78" s="326"/>
      <c r="D78" s="326"/>
      <c r="E78" s="326"/>
      <c r="F78" s="326"/>
      <c r="G78" s="326"/>
    </row>
    <row r="79" spans="1:7" ht="15" x14ac:dyDescent="0.2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4.25" x14ac:dyDescent="0.2">
      <c r="A80" s="182" t="s">
        <v>8</v>
      </c>
      <c r="B80" s="117" t="s">
        <v>365</v>
      </c>
      <c r="C80" s="164">
        <v>9.2999999999999992E-3</v>
      </c>
      <c r="D80" s="189">
        <f>C80*$D$31</f>
        <v>23.245926599999997</v>
      </c>
      <c r="E80" s="189">
        <f>C80*$E$31</f>
        <v>18.221675999999999</v>
      </c>
      <c r="F80" s="189">
        <f>C80*$F$31</f>
        <v>17.881481999999998</v>
      </c>
      <c r="G80" s="189">
        <f>C80*$G$31</f>
        <v>13.104815999999998</v>
      </c>
    </row>
    <row r="81" spans="1:7" ht="14.25" x14ac:dyDescent="0.2">
      <c r="A81" s="182" t="s">
        <v>11</v>
      </c>
      <c r="B81" s="117" t="s">
        <v>366</v>
      </c>
      <c r="C81" s="164">
        <v>2.8E-3</v>
      </c>
      <c r="D81" s="189">
        <f>C81*$D$31</f>
        <v>6.9987735999999998</v>
      </c>
      <c r="E81" s="189">
        <f>C81*$E$31</f>
        <v>5.4860959999999999</v>
      </c>
      <c r="F81" s="189">
        <f>C81*$F$31</f>
        <v>5.3836719999999998</v>
      </c>
      <c r="G81" s="189">
        <f>C81*$G$31</f>
        <v>3.9455359999999997</v>
      </c>
    </row>
    <row r="82" spans="1:7" ht="14.25" x14ac:dyDescent="0.2">
      <c r="A82" s="182" t="s">
        <v>13</v>
      </c>
      <c r="B82" s="117" t="s">
        <v>367</v>
      </c>
      <c r="C82" s="164">
        <v>8.0000000000000004E-4</v>
      </c>
      <c r="D82" s="189">
        <f>C82*$D$31</f>
        <v>1.9996495999999999</v>
      </c>
      <c r="E82" s="189">
        <f>C82*$E$31</f>
        <v>1.567456</v>
      </c>
      <c r="F82" s="189">
        <f>C82*$F$31</f>
        <v>1.538192</v>
      </c>
      <c r="G82" s="189">
        <f>C82*$G$31</f>
        <v>1.1272960000000001</v>
      </c>
    </row>
    <row r="83" spans="1:7" ht="14.25" x14ac:dyDescent="0.2">
      <c r="A83" s="182" t="s">
        <v>15</v>
      </c>
      <c r="B83" s="117" t="s">
        <v>368</v>
      </c>
      <c r="C83" s="164">
        <v>2.7000000000000001E-3</v>
      </c>
      <c r="D83" s="189">
        <f>C83*$D$31</f>
        <v>6.7488174000000001</v>
      </c>
      <c r="E83" s="189">
        <f>C83*$E$31</f>
        <v>5.2901639999999999</v>
      </c>
      <c r="F83" s="189">
        <f>C83*$F$31</f>
        <v>5.1913980000000004</v>
      </c>
      <c r="G83" s="189">
        <f>C83*$G$31</f>
        <v>3.804624</v>
      </c>
    </row>
    <row r="84" spans="1:7" ht="14.25" x14ac:dyDescent="0.2">
      <c r="A84" s="182" t="s">
        <v>20</v>
      </c>
      <c r="B84" s="117" t="s">
        <v>369</v>
      </c>
      <c r="C84" s="164">
        <v>2.9999999999999997E-4</v>
      </c>
      <c r="D84" s="189">
        <f>C84*$D$31</f>
        <v>0.74986859999999989</v>
      </c>
      <c r="E84" s="189">
        <f>C84*$E$31</f>
        <v>0.58779599999999987</v>
      </c>
      <c r="F84" s="189">
        <f>C84*$F$31</f>
        <v>0.57682199999999995</v>
      </c>
      <c r="G84" s="189">
        <f>C84*$G$31</f>
        <v>0.42273599999999995</v>
      </c>
    </row>
    <row r="85" spans="1:7" ht="14.25" x14ac:dyDescent="0.2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5" x14ac:dyDescent="0.2">
      <c r="A86" s="282" t="s">
        <v>330</v>
      </c>
      <c r="B86" s="282"/>
      <c r="C86" s="208">
        <f>SUM(C80:C85)</f>
        <v>1.5900000000000001E-2</v>
      </c>
      <c r="D86" s="190">
        <f>SUM(D80:D85)</f>
        <v>39.743035799999994</v>
      </c>
      <c r="E86" s="190">
        <f>SUM(E80:E85)</f>
        <v>31.153188</v>
      </c>
      <c r="F86" s="190">
        <f>SUM(F80:F85)</f>
        <v>30.571565999999997</v>
      </c>
      <c r="G86" s="190">
        <f>SUM(G80:G85)</f>
        <v>22.405007999999999</v>
      </c>
    </row>
    <row r="87" spans="1:7" ht="14.25" x14ac:dyDescent="0.2">
      <c r="A87" s="321"/>
      <c r="B87" s="321"/>
      <c r="C87" s="321"/>
      <c r="D87" s="321"/>
      <c r="E87" s="321"/>
      <c r="F87" s="321"/>
      <c r="G87" s="321"/>
    </row>
    <row r="88" spans="1:7" ht="15" x14ac:dyDescent="0.2">
      <c r="A88" s="326" t="s">
        <v>371</v>
      </c>
      <c r="B88" s="326"/>
      <c r="C88" s="326"/>
      <c r="D88" s="326"/>
      <c r="E88" s="326"/>
      <c r="F88" s="326"/>
      <c r="G88" s="326"/>
    </row>
    <row r="89" spans="1:7" ht="15" x14ac:dyDescent="0.2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4.25" x14ac:dyDescent="0.2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5" x14ac:dyDescent="0.2">
      <c r="A91" s="282" t="s">
        <v>330</v>
      </c>
      <c r="B91" s="282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4.25" x14ac:dyDescent="0.2">
      <c r="A92" s="321"/>
      <c r="B92" s="321"/>
      <c r="C92" s="321"/>
      <c r="D92" s="321"/>
      <c r="E92" s="321"/>
      <c r="F92" s="321"/>
      <c r="G92" s="321"/>
    </row>
    <row r="93" spans="1:7" ht="15" x14ac:dyDescent="0.2">
      <c r="A93" s="326" t="s">
        <v>375</v>
      </c>
      <c r="B93" s="326"/>
      <c r="C93" s="326"/>
      <c r="D93" s="326"/>
      <c r="E93" s="326"/>
      <c r="F93" s="326"/>
      <c r="G93" s="326"/>
    </row>
    <row r="94" spans="1:7" ht="15" x14ac:dyDescent="0.2">
      <c r="A94" s="186">
        <v>4</v>
      </c>
      <c r="B94" s="328" t="s">
        <v>376</v>
      </c>
      <c r="C94" s="328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4.25" x14ac:dyDescent="0.2">
      <c r="A95" s="182" t="s">
        <v>363</v>
      </c>
      <c r="B95" s="275" t="s">
        <v>364</v>
      </c>
      <c r="C95" s="275"/>
      <c r="D95" s="189">
        <f>D86</f>
        <v>39.743035799999994</v>
      </c>
      <c r="E95" s="189">
        <f>E86</f>
        <v>31.153188</v>
      </c>
      <c r="F95" s="189">
        <f>F86</f>
        <v>30.571565999999997</v>
      </c>
      <c r="G95" s="189">
        <f>G86</f>
        <v>22.405007999999999</v>
      </c>
    </row>
    <row r="96" spans="1:7" ht="14.25" x14ac:dyDescent="0.2">
      <c r="A96" s="182" t="s">
        <v>372</v>
      </c>
      <c r="B96" s="275" t="s">
        <v>373</v>
      </c>
      <c r="C96" s="275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5" x14ac:dyDescent="0.2">
      <c r="A97" s="282" t="s">
        <v>330</v>
      </c>
      <c r="B97" s="282"/>
      <c r="C97" s="282"/>
      <c r="D97" s="190">
        <f>SUM(D95:D96)</f>
        <v>39.743035799999994</v>
      </c>
      <c r="E97" s="190">
        <f>SUM(E95:E96)</f>
        <v>31.153188</v>
      </c>
      <c r="F97" s="190">
        <f>SUM(F95:F96)</f>
        <v>30.571565999999997</v>
      </c>
      <c r="G97" s="190">
        <f>SUM(G95:G96)</f>
        <v>22.405007999999999</v>
      </c>
    </row>
    <row r="98" spans="1:7" ht="14.25" x14ac:dyDescent="0.2">
      <c r="A98" s="321"/>
      <c r="B98" s="321"/>
      <c r="C98" s="321"/>
      <c r="D98" s="321"/>
      <c r="E98" s="321"/>
      <c r="F98" s="321"/>
      <c r="G98" s="321"/>
    </row>
    <row r="99" spans="1:7" ht="15" customHeight="1" x14ac:dyDescent="0.2">
      <c r="A99" s="335" t="s">
        <v>377</v>
      </c>
      <c r="B99" s="335"/>
      <c r="C99" s="335"/>
      <c r="D99" s="335"/>
      <c r="E99" s="335"/>
      <c r="F99" s="335"/>
      <c r="G99" s="335"/>
    </row>
    <row r="100" spans="1:7" ht="15" x14ac:dyDescent="0.2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4.25" x14ac:dyDescent="0.2">
      <c r="A101" s="182" t="s">
        <v>8</v>
      </c>
      <c r="B101" s="117" t="s">
        <v>378</v>
      </c>
      <c r="C101" s="164"/>
      <c r="D101" s="214">
        <f>'VIII Uniformes e EPI''s'!I11</f>
        <v>37.502656869608209</v>
      </c>
      <c r="E101" s="189">
        <f>'VIII Uniformes e EPI''s'!I11</f>
        <v>37.502656869608209</v>
      </c>
      <c r="F101" s="189">
        <f>'VIII Uniformes e EPI''s'!I11</f>
        <v>37.502656869608209</v>
      </c>
      <c r="G101" s="189">
        <f>'VIII Uniformes e EPI''s'!I11</f>
        <v>37.502656869608209</v>
      </c>
    </row>
    <row r="102" spans="1:7" ht="14.25" x14ac:dyDescent="0.2">
      <c r="A102" s="182" t="s">
        <v>11</v>
      </c>
      <c r="B102" s="117" t="s">
        <v>379</v>
      </c>
      <c r="C102" s="164"/>
      <c r="D102" s="189">
        <v>0</v>
      </c>
      <c r="E102" s="189">
        <v>0</v>
      </c>
      <c r="F102" s="189">
        <v>0</v>
      </c>
      <c r="G102" s="189">
        <v>0</v>
      </c>
    </row>
    <row r="103" spans="1:7" ht="14.25" x14ac:dyDescent="0.2">
      <c r="A103" s="182" t="s">
        <v>13</v>
      </c>
      <c r="B103" s="117" t="s">
        <v>380</v>
      </c>
      <c r="C103" s="164"/>
      <c r="D103" s="189">
        <v>0</v>
      </c>
      <c r="E103" s="189">
        <v>0</v>
      </c>
      <c r="F103" s="189">
        <v>0</v>
      </c>
      <c r="G103" s="189">
        <v>0</v>
      </c>
    </row>
    <row r="104" spans="1:7" ht="14.25" x14ac:dyDescent="0.2">
      <c r="A104" s="182" t="s">
        <v>15</v>
      </c>
      <c r="B104" s="117" t="s">
        <v>329</v>
      </c>
      <c r="C104" s="164"/>
      <c r="D104" s="189">
        <v>0</v>
      </c>
      <c r="E104" s="189">
        <v>0</v>
      </c>
      <c r="F104" s="189">
        <v>0</v>
      </c>
      <c r="G104" s="189">
        <v>0</v>
      </c>
    </row>
    <row r="105" spans="1:7" ht="15" x14ac:dyDescent="0.2">
      <c r="A105" s="282" t="s">
        <v>330</v>
      </c>
      <c r="B105" s="282"/>
      <c r="C105" s="282"/>
      <c r="D105" s="190">
        <f>SUM(D101:D104)</f>
        <v>37.502656869608209</v>
      </c>
      <c r="E105" s="190">
        <f>SUM(E101:E104)</f>
        <v>37.502656869608209</v>
      </c>
      <c r="F105" s="190">
        <f>SUM(F101:F104)</f>
        <v>37.502656869608209</v>
      </c>
      <c r="G105" s="190">
        <f>SUM(G101:G104)</f>
        <v>37.502656869608209</v>
      </c>
    </row>
    <row r="106" spans="1:7" ht="14.25" x14ac:dyDescent="0.2">
      <c r="A106" s="276"/>
      <c r="B106" s="276"/>
      <c r="C106" s="276"/>
      <c r="D106" s="276"/>
      <c r="E106" s="212"/>
      <c r="F106" s="212"/>
      <c r="G106" s="212"/>
    </row>
    <row r="107" spans="1:7" ht="15" x14ac:dyDescent="0.2">
      <c r="A107" s="283"/>
      <c r="B107" s="283"/>
      <c r="C107" s="283"/>
      <c r="D107" s="283"/>
      <c r="E107" s="212"/>
      <c r="F107" s="212"/>
      <c r="G107" s="212"/>
    </row>
    <row r="108" spans="1:7" ht="14.25" x14ac:dyDescent="0.2">
      <c r="A108" s="276"/>
      <c r="B108" s="276"/>
      <c r="C108" s="276"/>
      <c r="D108" s="276"/>
      <c r="E108" s="212"/>
      <c r="F108" s="212"/>
      <c r="G108" s="212"/>
    </row>
    <row r="109" spans="1:7" ht="15" x14ac:dyDescent="0.2">
      <c r="A109" s="186"/>
      <c r="B109" s="322" t="s">
        <v>381</v>
      </c>
      <c r="C109" s="322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5" x14ac:dyDescent="0.2">
      <c r="A110" s="213" t="s">
        <v>8</v>
      </c>
      <c r="B110" s="275" t="s">
        <v>320</v>
      </c>
      <c r="C110" s="275"/>
      <c r="D110" s="189">
        <f>D31</f>
        <v>2499.5619999999999</v>
      </c>
      <c r="E110" s="189">
        <f>E31</f>
        <v>1959.32</v>
      </c>
      <c r="F110" s="189">
        <f>F31</f>
        <v>1922.74</v>
      </c>
      <c r="G110" s="189">
        <f>G31</f>
        <v>1409.12</v>
      </c>
    </row>
    <row r="111" spans="1:7" ht="15" x14ac:dyDescent="0.2">
      <c r="A111" s="213" t="s">
        <v>11</v>
      </c>
      <c r="B111" s="275" t="s">
        <v>331</v>
      </c>
      <c r="C111" s="275"/>
      <c r="D111" s="189">
        <f>D65</f>
        <v>1400.6015616397999</v>
      </c>
      <c r="E111" s="189">
        <f>E65</f>
        <v>1188.4914646279999</v>
      </c>
      <c r="F111" s="189">
        <f>F65</f>
        <v>1176.472816646</v>
      </c>
      <c r="G111" s="189">
        <f>G65</f>
        <v>1007.7189080479999</v>
      </c>
    </row>
    <row r="112" spans="1:7" ht="15" x14ac:dyDescent="0.2">
      <c r="A112" s="213" t="s">
        <v>13</v>
      </c>
      <c r="B112" s="275" t="s">
        <v>353</v>
      </c>
      <c r="C112" s="275"/>
      <c r="D112" s="189">
        <f>D75</f>
        <v>106.70735159604</v>
      </c>
      <c r="E112" s="189">
        <f>E75</f>
        <v>83.644193714399989</v>
      </c>
      <c r="F112" s="189">
        <f>F75</f>
        <v>82.082578150800003</v>
      </c>
      <c r="G112" s="189">
        <f>G75</f>
        <v>60.155924630399994</v>
      </c>
    </row>
    <row r="113" spans="1:7" ht="15" x14ac:dyDescent="0.2">
      <c r="A113" s="213" t="s">
        <v>15</v>
      </c>
      <c r="B113" s="275" t="s">
        <v>361</v>
      </c>
      <c r="C113" s="275"/>
      <c r="D113" s="189">
        <f>D97</f>
        <v>39.743035799999994</v>
      </c>
      <c r="E113" s="189">
        <f>E97</f>
        <v>31.153188</v>
      </c>
      <c r="F113" s="189">
        <f>F97</f>
        <v>30.571565999999997</v>
      </c>
      <c r="G113" s="189">
        <f>G97</f>
        <v>22.405007999999999</v>
      </c>
    </row>
    <row r="114" spans="1:7" ht="15" x14ac:dyDescent="0.2">
      <c r="A114" s="213" t="s">
        <v>20</v>
      </c>
      <c r="B114" s="275" t="s">
        <v>377</v>
      </c>
      <c r="C114" s="275"/>
      <c r="D114" s="189">
        <f>D105</f>
        <v>37.502656869608209</v>
      </c>
      <c r="E114" s="189">
        <f>E105</f>
        <v>37.502656869608209</v>
      </c>
      <c r="F114" s="189">
        <f>F105</f>
        <v>37.502656869608209</v>
      </c>
      <c r="G114" s="189">
        <f>G105</f>
        <v>37.502656869608209</v>
      </c>
    </row>
    <row r="115" spans="1:7" ht="15" x14ac:dyDescent="0.2">
      <c r="A115" s="282" t="s">
        <v>382</v>
      </c>
      <c r="B115" s="282"/>
      <c r="C115" s="282"/>
      <c r="D115" s="190">
        <f>SUM(D110:D114)</f>
        <v>4084.1166059054481</v>
      </c>
      <c r="E115" s="190">
        <f>SUM(E110:E114)</f>
        <v>3300.1115032120083</v>
      </c>
      <c r="F115" s="190">
        <f>SUM(F110:F114)</f>
        <v>3249.369617666408</v>
      </c>
      <c r="G115" s="190">
        <f>SUM(G110:G114)</f>
        <v>2536.9024975480079</v>
      </c>
    </row>
  </sheetData>
  <mergeCells count="74"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  <mergeCell ref="A97:C97"/>
    <mergeCell ref="A98:G98"/>
    <mergeCell ref="A99:G99"/>
    <mergeCell ref="A105:C105"/>
    <mergeCell ref="A106:D106"/>
    <mergeCell ref="A92:G92"/>
    <mergeCell ref="A93:G93"/>
    <mergeCell ref="B94:C94"/>
    <mergeCell ref="B95:C95"/>
    <mergeCell ref="B96:C96"/>
    <mergeCell ref="A78:G78"/>
    <mergeCell ref="A86:B86"/>
    <mergeCell ref="A87:G87"/>
    <mergeCell ref="A88:G88"/>
    <mergeCell ref="A91:B91"/>
    <mergeCell ref="A66:D66"/>
    <mergeCell ref="A67:G67"/>
    <mergeCell ref="A75:B75"/>
    <mergeCell ref="A76:G76"/>
    <mergeCell ref="A77:G77"/>
    <mergeCell ref="B61:C61"/>
    <mergeCell ref="B62:C62"/>
    <mergeCell ref="B63:C63"/>
    <mergeCell ref="B64:C64"/>
    <mergeCell ref="A65:C65"/>
    <mergeCell ref="A51:D51"/>
    <mergeCell ref="A52:G52"/>
    <mergeCell ref="A58:C58"/>
    <mergeCell ref="A59:G59"/>
    <mergeCell ref="A60:G60"/>
    <mergeCell ref="A34:G34"/>
    <mergeCell ref="A38:B38"/>
    <mergeCell ref="A39:G39"/>
    <mergeCell ref="A40:G40"/>
    <mergeCell ref="A50:B50"/>
    <mergeCell ref="A22:G22"/>
    <mergeCell ref="A23:G23"/>
    <mergeCell ref="A31:B31"/>
    <mergeCell ref="A32:G32"/>
    <mergeCell ref="A33:G33"/>
    <mergeCell ref="B17:C17"/>
    <mergeCell ref="B18:C18"/>
    <mergeCell ref="B19:C19"/>
    <mergeCell ref="B20:C20"/>
    <mergeCell ref="A21:G21"/>
    <mergeCell ref="F12:G12"/>
    <mergeCell ref="F13:G13"/>
    <mergeCell ref="A14:G14"/>
    <mergeCell ref="A15:G15"/>
    <mergeCell ref="A16:G16"/>
    <mergeCell ref="A7:G7"/>
    <mergeCell ref="A8:G8"/>
    <mergeCell ref="A9:G9"/>
    <mergeCell ref="F10:G10"/>
    <mergeCell ref="F11:G11"/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</mergeCells>
  <printOptions horizontalCentered="1"/>
  <pageMargins left="0.78740157480314965" right="0.78740157480314965" top="0.9055118110236221" bottom="0.9055118110236221" header="0.51181102362204722" footer="0.51181102362204722"/>
  <pageSetup paperSize="9" scale="40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J116"/>
  <sheetViews>
    <sheetView showGridLines="0" view="pageBreakPreview" topLeftCell="A94" zoomScale="90" zoomScaleNormal="100" zoomScalePageLayoutView="90" workbookViewId="0">
      <selection activeCell="I73" sqref="I73"/>
    </sheetView>
  </sheetViews>
  <sheetFormatPr defaultRowHeight="12.75" x14ac:dyDescent="0.2"/>
  <cols>
    <col min="1" max="1" width="3.85546875" customWidth="1"/>
    <col min="2" max="2" width="63.140625" customWidth="1"/>
    <col min="3" max="3" width="28.42578125" customWidth="1"/>
    <col min="4" max="7" width="22.85546875" customWidth="1"/>
    <col min="8" max="1025" width="9.140625" customWidth="1"/>
  </cols>
  <sheetData>
    <row r="1" spans="1:10" ht="20.25" x14ac:dyDescent="0.2">
      <c r="A1" s="316" t="s">
        <v>298</v>
      </c>
      <c r="B1" s="316"/>
      <c r="C1" s="316"/>
      <c r="D1" s="316"/>
      <c r="E1" s="316"/>
      <c r="F1" s="316"/>
      <c r="G1" s="316"/>
      <c r="H1" s="1"/>
      <c r="I1" s="1"/>
      <c r="J1" s="101"/>
    </row>
    <row r="2" spans="1:10" ht="14.25" x14ac:dyDescent="0.2">
      <c r="A2" s="317"/>
      <c r="B2" s="317"/>
      <c r="C2" s="317"/>
      <c r="D2" s="317"/>
      <c r="E2" s="317"/>
      <c r="F2" s="317"/>
      <c r="G2" s="317"/>
      <c r="H2" s="1"/>
      <c r="I2" s="1"/>
      <c r="J2" s="101"/>
    </row>
    <row r="3" spans="1:10" ht="14.25" x14ac:dyDescent="0.2">
      <c r="A3" s="275" t="s">
        <v>1024</v>
      </c>
      <c r="B3" s="275"/>
      <c r="C3" s="331" t="s">
        <v>388</v>
      </c>
      <c r="D3" s="331"/>
      <c r="E3" s="331"/>
      <c r="F3" s="215" t="s">
        <v>389</v>
      </c>
      <c r="G3" s="216">
        <v>20.98</v>
      </c>
      <c r="H3" s="1"/>
      <c r="I3" s="1"/>
      <c r="J3" s="101"/>
    </row>
    <row r="4" spans="1:10" ht="14.25" x14ac:dyDescent="0.2">
      <c r="A4" s="275" t="s">
        <v>1025</v>
      </c>
      <c r="B4" s="275"/>
      <c r="C4" s="330" t="s">
        <v>390</v>
      </c>
      <c r="D4" s="330"/>
      <c r="E4" s="177" t="s">
        <v>1023</v>
      </c>
      <c r="F4" s="177" t="s">
        <v>391</v>
      </c>
      <c r="G4" s="164">
        <v>0.06</v>
      </c>
      <c r="H4" s="1"/>
      <c r="I4" s="1"/>
      <c r="J4" s="101"/>
    </row>
    <row r="5" spans="1:10" ht="14.25" x14ac:dyDescent="0.2">
      <c r="A5" s="185"/>
      <c r="B5" s="203"/>
      <c r="C5" s="330" t="s">
        <v>392</v>
      </c>
      <c r="D5" s="330"/>
      <c r="E5" s="183">
        <v>44167</v>
      </c>
      <c r="F5" s="117" t="s">
        <v>393</v>
      </c>
      <c r="G5" s="164">
        <v>0</v>
      </c>
      <c r="H5" s="1"/>
      <c r="I5" s="1"/>
      <c r="J5" s="101"/>
    </row>
    <row r="6" spans="1:10" ht="14.25" x14ac:dyDescent="0.2">
      <c r="A6" s="319" t="s">
        <v>1026</v>
      </c>
      <c r="B6" s="319"/>
      <c r="C6" s="321"/>
      <c r="D6" s="321"/>
      <c r="E6" s="321"/>
      <c r="F6" s="321"/>
      <c r="G6" s="321"/>
      <c r="H6" s="1"/>
      <c r="I6" s="1"/>
      <c r="J6" s="101"/>
    </row>
    <row r="7" spans="1:10" ht="14.25" x14ac:dyDescent="0.2">
      <c r="A7" s="276"/>
      <c r="B7" s="276"/>
      <c r="C7" s="276"/>
      <c r="D7" s="276"/>
      <c r="E7" s="276"/>
      <c r="F7" s="276"/>
      <c r="G7" s="276"/>
      <c r="H7" s="1"/>
      <c r="I7" s="1"/>
      <c r="J7" s="101"/>
    </row>
    <row r="8" spans="1:10" ht="15" x14ac:dyDescent="0.2">
      <c r="A8" s="283" t="s">
        <v>394</v>
      </c>
      <c r="B8" s="283"/>
      <c r="C8" s="283"/>
      <c r="D8" s="283"/>
      <c r="E8" s="283"/>
      <c r="F8" s="283"/>
      <c r="G8" s="283"/>
      <c r="H8" s="1"/>
      <c r="I8" s="1"/>
      <c r="J8" s="101"/>
    </row>
    <row r="9" spans="1:10" ht="14.25" x14ac:dyDescent="0.2">
      <c r="A9" s="276"/>
      <c r="B9" s="276"/>
      <c r="C9" s="276"/>
      <c r="D9" s="276"/>
      <c r="E9" s="276"/>
      <c r="F9" s="276"/>
      <c r="G9" s="276"/>
      <c r="H9" s="1"/>
      <c r="I9" s="1"/>
      <c r="J9" s="101"/>
    </row>
    <row r="10" spans="1:10" ht="14.25" x14ac:dyDescent="0.2">
      <c r="A10" s="182" t="s">
        <v>8</v>
      </c>
      <c r="B10" s="117" t="s">
        <v>300</v>
      </c>
      <c r="C10" s="182" t="s">
        <v>1027</v>
      </c>
      <c r="D10" s="217"/>
      <c r="E10" s="218" t="s">
        <v>307</v>
      </c>
      <c r="F10" s="317" t="s">
        <v>395</v>
      </c>
      <c r="G10" s="317"/>
      <c r="H10" s="1"/>
      <c r="I10" s="1"/>
      <c r="J10" s="101"/>
    </row>
    <row r="11" spans="1:10" ht="14.25" x14ac:dyDescent="0.2">
      <c r="A11" s="182" t="s">
        <v>11</v>
      </c>
      <c r="B11" s="117" t="s">
        <v>301</v>
      </c>
      <c r="C11" s="182" t="s">
        <v>386</v>
      </c>
      <c r="D11" s="217"/>
      <c r="E11" s="218" t="s">
        <v>308</v>
      </c>
      <c r="F11" s="317" t="s">
        <v>397</v>
      </c>
      <c r="G11" s="317"/>
      <c r="H11" s="1"/>
      <c r="I11" s="1"/>
      <c r="J11" s="101"/>
    </row>
    <row r="12" spans="1:10" ht="14.25" x14ac:dyDescent="0.2">
      <c r="A12" s="182" t="s">
        <v>13</v>
      </c>
      <c r="B12" s="117" t="s">
        <v>303</v>
      </c>
      <c r="C12" s="182">
        <v>2020</v>
      </c>
      <c r="D12" s="217"/>
      <c r="E12" s="218" t="s">
        <v>309</v>
      </c>
      <c r="F12" s="332">
        <v>59637.97</v>
      </c>
      <c r="G12" s="332"/>
      <c r="H12" s="1"/>
      <c r="I12" s="1"/>
      <c r="J12" s="101"/>
    </row>
    <row r="13" spans="1:10" ht="14.25" x14ac:dyDescent="0.2">
      <c r="A13" s="182" t="s">
        <v>15</v>
      </c>
      <c r="B13" s="117" t="s">
        <v>305</v>
      </c>
      <c r="C13" s="182">
        <v>12</v>
      </c>
      <c r="D13" s="217"/>
      <c r="E13" s="217"/>
      <c r="F13" s="276"/>
      <c r="G13" s="276"/>
      <c r="H13" s="1"/>
      <c r="I13" s="1"/>
      <c r="J13" s="101"/>
    </row>
    <row r="14" spans="1:10" ht="14.25" x14ac:dyDescent="0.2">
      <c r="A14" s="276"/>
      <c r="B14" s="276"/>
      <c r="C14" s="276"/>
      <c r="D14" s="276"/>
      <c r="E14" s="276"/>
      <c r="F14" s="276"/>
      <c r="G14" s="276"/>
      <c r="H14" s="1"/>
      <c r="I14" s="1"/>
      <c r="J14" s="101"/>
    </row>
    <row r="15" spans="1:10" ht="14.25" x14ac:dyDescent="0.2">
      <c r="A15" s="276"/>
      <c r="B15" s="276"/>
      <c r="C15" s="276"/>
      <c r="D15" s="276"/>
      <c r="E15" s="276"/>
      <c r="F15" s="276"/>
      <c r="G15" s="276"/>
      <c r="H15" s="1"/>
      <c r="I15" s="1"/>
      <c r="J15" s="101"/>
    </row>
    <row r="16" spans="1:10" ht="15" x14ac:dyDescent="0.2">
      <c r="A16" s="322" t="s">
        <v>312</v>
      </c>
      <c r="B16" s="322"/>
      <c r="C16" s="322"/>
      <c r="D16" s="322"/>
      <c r="E16" s="322"/>
      <c r="F16" s="322"/>
      <c r="G16" s="322"/>
      <c r="H16" s="1"/>
      <c r="I16" s="1"/>
      <c r="J16" s="101"/>
    </row>
    <row r="17" spans="1:10" ht="28.5" customHeight="1" x14ac:dyDescent="0.2">
      <c r="A17" s="216">
        <v>1</v>
      </c>
      <c r="B17" s="275" t="s">
        <v>317</v>
      </c>
      <c r="C17" s="275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4.25" x14ac:dyDescent="0.2">
      <c r="A18" s="182">
        <v>2</v>
      </c>
      <c r="B18" s="275" t="s">
        <v>314</v>
      </c>
      <c r="C18" s="275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4.25" x14ac:dyDescent="0.2">
      <c r="A19" s="182">
        <v>3</v>
      </c>
      <c r="B19" s="275" t="s">
        <v>316</v>
      </c>
      <c r="C19" s="275"/>
      <c r="D19" s="104">
        <v>1822.5</v>
      </c>
      <c r="E19" s="222">
        <v>1857.18</v>
      </c>
      <c r="F19" s="104">
        <v>1822.5</v>
      </c>
      <c r="G19" s="104">
        <v>1335.66</v>
      </c>
      <c r="H19" s="1"/>
      <c r="I19" s="1"/>
      <c r="J19" s="101"/>
    </row>
    <row r="20" spans="1:10" ht="14.25" x14ac:dyDescent="0.2">
      <c r="A20" s="182">
        <v>4</v>
      </c>
      <c r="B20" s="275" t="s">
        <v>319</v>
      </c>
      <c r="C20" s="275"/>
      <c r="D20" s="109">
        <v>43891</v>
      </c>
      <c r="E20" s="109">
        <v>43891</v>
      </c>
      <c r="F20" s="109">
        <v>43891</v>
      </c>
      <c r="G20" s="109">
        <v>43891</v>
      </c>
      <c r="H20" s="101"/>
      <c r="I20" s="101"/>
      <c r="J20" s="101"/>
    </row>
    <row r="21" spans="1:10" ht="14.25" x14ac:dyDescent="0.2">
      <c r="A21" s="321"/>
      <c r="B21" s="321"/>
      <c r="C21" s="321"/>
      <c r="D21" s="321"/>
      <c r="E21" s="321"/>
      <c r="F21" s="321"/>
      <c r="G21" s="321"/>
      <c r="H21" s="101"/>
      <c r="I21" s="101"/>
      <c r="J21" s="101"/>
    </row>
    <row r="22" spans="1:10" ht="14.25" x14ac:dyDescent="0.2">
      <c r="A22" s="276"/>
      <c r="B22" s="276"/>
      <c r="C22" s="276"/>
      <c r="D22" s="276"/>
      <c r="E22" s="276"/>
      <c r="F22" s="276"/>
      <c r="G22" s="276"/>
      <c r="H22" s="101"/>
      <c r="I22" s="101"/>
      <c r="J22" s="101"/>
    </row>
    <row r="23" spans="1:10" ht="15" x14ac:dyDescent="0.2">
      <c r="A23" s="333" t="s">
        <v>320</v>
      </c>
      <c r="B23" s="333"/>
      <c r="C23" s="333"/>
      <c r="D23" s="333"/>
      <c r="E23" s="333"/>
      <c r="F23" s="333"/>
      <c r="G23" s="333"/>
      <c r="H23" s="101"/>
      <c r="I23" s="101"/>
      <c r="J23" s="101"/>
    </row>
    <row r="24" spans="1:10" ht="15" x14ac:dyDescent="0.2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4.25" x14ac:dyDescent="0.2">
      <c r="A25" s="182" t="s">
        <v>8</v>
      </c>
      <c r="B25" s="223" t="s">
        <v>324</v>
      </c>
      <c r="C25" s="164"/>
      <c r="D25" s="188">
        <v>1922.74</v>
      </c>
      <c r="E25" s="188">
        <v>1959.32</v>
      </c>
      <c r="F25" s="188">
        <v>1922.74</v>
      </c>
      <c r="G25" s="188">
        <v>1409.12</v>
      </c>
      <c r="H25" s="101"/>
      <c r="I25" s="101"/>
      <c r="J25" s="101"/>
    </row>
    <row r="26" spans="1:10" ht="14.25" x14ac:dyDescent="0.2">
      <c r="A26" s="182" t="s">
        <v>11</v>
      </c>
      <c r="B26" s="223" t="s">
        <v>325</v>
      </c>
      <c r="C26" s="164">
        <v>0.3</v>
      </c>
      <c r="D26" s="188">
        <f>C26*D25</f>
        <v>576.822</v>
      </c>
      <c r="E26" s="188"/>
      <c r="F26" s="188"/>
      <c r="G26" s="188"/>
      <c r="H26" s="101"/>
      <c r="I26" s="101"/>
      <c r="J26" s="101"/>
    </row>
    <row r="27" spans="1:10" ht="14.25" x14ac:dyDescent="0.2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4.25" x14ac:dyDescent="0.2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4.25" x14ac:dyDescent="0.2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4.25" x14ac:dyDescent="0.2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5" x14ac:dyDescent="0.2">
      <c r="A31" s="334" t="s">
        <v>330</v>
      </c>
      <c r="B31" s="334"/>
      <c r="C31" s="208">
        <f>SUM(C25:C30)</f>
        <v>0.3</v>
      </c>
      <c r="D31" s="209">
        <f>SUM(D25:D30)</f>
        <v>2499.5619999999999</v>
      </c>
      <c r="E31" s="209">
        <f>SUM(E25:E30)</f>
        <v>1959.32</v>
      </c>
      <c r="F31" s="209">
        <f>SUM(F25:F30)</f>
        <v>1922.74</v>
      </c>
      <c r="G31" s="209">
        <f>SUM(G25:G30)</f>
        <v>1409.12</v>
      </c>
      <c r="H31" s="101"/>
      <c r="I31" s="101"/>
      <c r="J31" s="101"/>
    </row>
    <row r="32" spans="1:10" ht="14.25" x14ac:dyDescent="0.2">
      <c r="A32" s="321"/>
      <c r="B32" s="321"/>
      <c r="C32" s="321"/>
      <c r="D32" s="321"/>
      <c r="E32" s="321"/>
      <c r="F32" s="321"/>
      <c r="G32" s="321"/>
      <c r="H32" s="101"/>
      <c r="I32" s="101"/>
      <c r="J32" s="101"/>
    </row>
    <row r="33" spans="1:10" ht="15" x14ac:dyDescent="0.2">
      <c r="A33" s="326" t="s">
        <v>331</v>
      </c>
      <c r="B33" s="326"/>
      <c r="C33" s="326"/>
      <c r="D33" s="326"/>
      <c r="E33" s="326"/>
      <c r="F33" s="326"/>
      <c r="G33" s="326"/>
      <c r="H33" s="101"/>
      <c r="I33" s="101"/>
      <c r="J33" s="101"/>
    </row>
    <row r="34" spans="1:10" ht="15" x14ac:dyDescent="0.2">
      <c r="A34" s="333" t="s">
        <v>332</v>
      </c>
      <c r="B34" s="333"/>
      <c r="C34" s="333"/>
      <c r="D34" s="333"/>
      <c r="E34" s="333"/>
      <c r="F34" s="333"/>
      <c r="G34" s="333"/>
      <c r="H34" s="101"/>
      <c r="I34" s="101"/>
      <c r="J34" s="101"/>
    </row>
    <row r="35" spans="1:10" ht="15" x14ac:dyDescent="0.2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4.25" x14ac:dyDescent="0.2">
      <c r="A36" s="182" t="s">
        <v>8</v>
      </c>
      <c r="B36" s="117" t="s">
        <v>334</v>
      </c>
      <c r="C36" s="164">
        <v>8.3299999999999999E-2</v>
      </c>
      <c r="D36" s="189">
        <f>C36*$D$31</f>
        <v>208.2135146</v>
      </c>
      <c r="E36" s="189">
        <f>C36*$E$31</f>
        <v>163.21135599999999</v>
      </c>
      <c r="F36" s="189">
        <f>C36*$F$31</f>
        <v>160.164242</v>
      </c>
      <c r="G36" s="189">
        <f>C36*$G$31</f>
        <v>117.379696</v>
      </c>
      <c r="H36" s="101"/>
      <c r="I36" s="101"/>
      <c r="J36" s="101"/>
    </row>
    <row r="37" spans="1:10" ht="14.25" x14ac:dyDescent="0.2">
      <c r="A37" s="182" t="s">
        <v>11</v>
      </c>
      <c r="B37" s="117" t="s">
        <v>335</v>
      </c>
      <c r="C37" s="164">
        <v>0.121</v>
      </c>
      <c r="D37" s="189">
        <f>C37*$D$31</f>
        <v>302.447002</v>
      </c>
      <c r="E37" s="189">
        <f>C37*$E$31</f>
        <v>237.07772</v>
      </c>
      <c r="F37" s="189">
        <f>C37*$F$31</f>
        <v>232.65153999999998</v>
      </c>
      <c r="G37" s="189">
        <f>C37*$G$31</f>
        <v>170.50351999999998</v>
      </c>
      <c r="H37" s="101"/>
      <c r="I37" s="101"/>
      <c r="J37" s="101"/>
    </row>
    <row r="38" spans="1:10" ht="15" x14ac:dyDescent="0.2">
      <c r="A38" s="282" t="s">
        <v>330</v>
      </c>
      <c r="B38" s="282"/>
      <c r="C38" s="208">
        <f>SUM(C36:C37)</f>
        <v>0.20429999999999998</v>
      </c>
      <c r="D38" s="190">
        <f>SUM(D36:D37)</f>
        <v>510.66051659999999</v>
      </c>
      <c r="E38" s="190">
        <f>SUM(E36:E37)</f>
        <v>400.28907600000002</v>
      </c>
      <c r="F38" s="190">
        <f>SUM(F36:F37)</f>
        <v>392.81578200000001</v>
      </c>
      <c r="G38" s="190">
        <f>SUM(G36:G37)</f>
        <v>287.88321599999995</v>
      </c>
      <c r="H38" s="101"/>
      <c r="I38" s="101"/>
      <c r="J38" s="101"/>
    </row>
    <row r="39" spans="1:10" ht="14.25" x14ac:dyDescent="0.2">
      <c r="A39" s="321"/>
      <c r="B39" s="321"/>
      <c r="C39" s="321"/>
      <c r="D39" s="321"/>
      <c r="E39" s="321"/>
      <c r="F39" s="321"/>
      <c r="G39" s="321"/>
      <c r="H39" s="101"/>
      <c r="I39" s="101"/>
      <c r="J39" s="101"/>
    </row>
    <row r="40" spans="1:10" ht="15" customHeight="1" x14ac:dyDescent="0.2">
      <c r="A40" s="335" t="s">
        <v>336</v>
      </c>
      <c r="B40" s="335"/>
      <c r="C40" s="335"/>
      <c r="D40" s="335"/>
      <c r="E40" s="335"/>
      <c r="F40" s="335"/>
      <c r="G40" s="335"/>
      <c r="H40" s="101"/>
      <c r="I40" s="101"/>
      <c r="J40" s="101"/>
    </row>
    <row r="41" spans="1:10" ht="15" x14ac:dyDescent="0.2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4.25" x14ac:dyDescent="0.2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4.25" x14ac:dyDescent="0.2">
      <c r="A43" s="182" t="s">
        <v>11</v>
      </c>
      <c r="B43" s="117" t="s">
        <v>339</v>
      </c>
      <c r="C43" s="164">
        <v>2.5000000000000001E-2</v>
      </c>
      <c r="D43" s="188">
        <f t="shared" si="0"/>
        <v>75.255562914999999</v>
      </c>
      <c r="E43" s="188">
        <f t="shared" si="1"/>
        <v>58.990226899999996</v>
      </c>
      <c r="F43" s="188">
        <f t="shared" si="2"/>
        <v>57.888894550000003</v>
      </c>
      <c r="G43" s="188">
        <f t="shared" si="3"/>
        <v>42.425080399999999</v>
      </c>
      <c r="H43" s="101"/>
      <c r="I43" s="101"/>
      <c r="J43" s="101"/>
    </row>
    <row r="44" spans="1:10" ht="14.25" x14ac:dyDescent="0.2">
      <c r="A44" s="182" t="s">
        <v>13</v>
      </c>
      <c r="B44" s="117" t="s">
        <v>1020</v>
      </c>
      <c r="C44" s="210">
        <v>1.4999999999999999E-2</v>
      </c>
      <c r="D44" s="188">
        <f t="shared" si="0"/>
        <v>45.153337748999995</v>
      </c>
      <c r="E44" s="188">
        <f t="shared" si="1"/>
        <v>35.394136139999993</v>
      </c>
      <c r="F44" s="188">
        <f t="shared" si="2"/>
        <v>34.733336729999998</v>
      </c>
      <c r="G44" s="188">
        <f t="shared" si="3"/>
        <v>25.455048239999996</v>
      </c>
      <c r="H44" s="101"/>
      <c r="I44" s="101"/>
      <c r="J44" s="101"/>
    </row>
    <row r="45" spans="1:10" ht="14.25" x14ac:dyDescent="0.2">
      <c r="A45" s="182" t="s">
        <v>15</v>
      </c>
      <c r="B45" s="117" t="s">
        <v>340</v>
      </c>
      <c r="C45" s="164">
        <v>1.4999999999999999E-2</v>
      </c>
      <c r="D45" s="188">
        <f t="shared" si="0"/>
        <v>45.153337748999995</v>
      </c>
      <c r="E45" s="188">
        <f t="shared" si="1"/>
        <v>35.394136139999993</v>
      </c>
      <c r="F45" s="188">
        <f t="shared" si="2"/>
        <v>34.733336729999998</v>
      </c>
      <c r="G45" s="188">
        <f t="shared" si="3"/>
        <v>25.455048239999996</v>
      </c>
      <c r="H45" s="101"/>
      <c r="I45" s="101"/>
      <c r="J45" s="101"/>
    </row>
    <row r="46" spans="1:10" ht="14.25" x14ac:dyDescent="0.2">
      <c r="A46" s="182" t="s">
        <v>20</v>
      </c>
      <c r="B46" s="117" t="s">
        <v>341</v>
      </c>
      <c r="C46" s="164">
        <v>0.01</v>
      </c>
      <c r="D46" s="188">
        <f t="shared" si="0"/>
        <v>30.102225166</v>
      </c>
      <c r="E46" s="188">
        <f t="shared" si="1"/>
        <v>23.596090759999999</v>
      </c>
      <c r="F46" s="188">
        <f t="shared" si="2"/>
        <v>23.155557819999999</v>
      </c>
      <c r="G46" s="188">
        <f t="shared" si="3"/>
        <v>16.970032159999999</v>
      </c>
      <c r="H46" s="101"/>
      <c r="I46" s="101"/>
      <c r="J46" s="101"/>
    </row>
    <row r="47" spans="1:10" ht="14.25" x14ac:dyDescent="0.2">
      <c r="A47" s="182" t="s">
        <v>22</v>
      </c>
      <c r="B47" s="117" t="s">
        <v>342</v>
      </c>
      <c r="C47" s="164">
        <v>6.0000000000000001E-3</v>
      </c>
      <c r="D47" s="188">
        <f t="shared" si="0"/>
        <v>18.061335099600001</v>
      </c>
      <c r="E47" s="188">
        <f t="shared" si="1"/>
        <v>14.157654455999999</v>
      </c>
      <c r="F47" s="188">
        <f t="shared" si="2"/>
        <v>13.893334692</v>
      </c>
      <c r="G47" s="188">
        <f t="shared" si="3"/>
        <v>10.182019296</v>
      </c>
    </row>
    <row r="48" spans="1:10" ht="14.25" x14ac:dyDescent="0.2">
      <c r="A48" s="182" t="s">
        <v>279</v>
      </c>
      <c r="B48" s="117" t="s">
        <v>343</v>
      </c>
      <c r="C48" s="164">
        <v>2E-3</v>
      </c>
      <c r="D48" s="188">
        <f t="shared" si="0"/>
        <v>6.0204450331999997</v>
      </c>
      <c r="E48" s="188">
        <f t="shared" si="1"/>
        <v>4.7192181519999998</v>
      </c>
      <c r="F48" s="188">
        <f t="shared" si="2"/>
        <v>4.6311115640000002</v>
      </c>
      <c r="G48" s="188">
        <f t="shared" si="3"/>
        <v>3.3940064319999999</v>
      </c>
    </row>
    <row r="49" spans="1:7" ht="14.25" x14ac:dyDescent="0.2">
      <c r="A49" s="182" t="s">
        <v>190</v>
      </c>
      <c r="B49" s="117" t="s">
        <v>344</v>
      </c>
      <c r="C49" s="164">
        <v>0.08</v>
      </c>
      <c r="D49" s="188">
        <f t="shared" si="0"/>
        <v>240.817801328</v>
      </c>
      <c r="E49" s="188">
        <f t="shared" si="1"/>
        <v>188.76872607999999</v>
      </c>
      <c r="F49" s="188">
        <f t="shared" si="2"/>
        <v>185.24446255999999</v>
      </c>
      <c r="G49" s="188">
        <f t="shared" si="3"/>
        <v>135.76025727999999</v>
      </c>
    </row>
    <row r="50" spans="1:7" ht="15" x14ac:dyDescent="0.2">
      <c r="A50" s="282" t="s">
        <v>330</v>
      </c>
      <c r="B50" s="282"/>
      <c r="C50" s="208">
        <f>SUM(C42:C49)</f>
        <v>0.15300000000000002</v>
      </c>
      <c r="D50" s="209">
        <f>SUM(D42:D49)</f>
        <v>460.56404503980002</v>
      </c>
      <c r="E50" s="209">
        <f>SUM(E42:E49)</f>
        <v>361.02018862799997</v>
      </c>
      <c r="F50" s="209">
        <f>SUM(F42:F49)</f>
        <v>354.28003464599999</v>
      </c>
      <c r="G50" s="209">
        <f>SUM(G42:G49)</f>
        <v>259.64149204799998</v>
      </c>
    </row>
    <row r="51" spans="1:7" ht="14.25" x14ac:dyDescent="0.2">
      <c r="A51" s="276"/>
      <c r="B51" s="276"/>
      <c r="C51" s="276"/>
      <c r="D51" s="276"/>
      <c r="E51" s="212"/>
      <c r="F51" s="212"/>
      <c r="G51" s="212"/>
    </row>
    <row r="52" spans="1:7" ht="15" x14ac:dyDescent="0.2">
      <c r="A52" s="326" t="s">
        <v>345</v>
      </c>
      <c r="B52" s="326"/>
      <c r="C52" s="326"/>
      <c r="D52" s="326"/>
      <c r="E52" s="326"/>
      <c r="F52" s="326"/>
      <c r="G52" s="326"/>
    </row>
    <row r="53" spans="1:7" ht="15" x14ac:dyDescent="0.2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4.25" x14ac:dyDescent="0.2">
      <c r="A54" s="182" t="s">
        <v>8</v>
      </c>
      <c r="B54" s="117" t="s">
        <v>348</v>
      </c>
      <c r="C54" s="104">
        <v>2.75</v>
      </c>
      <c r="D54" s="189">
        <f>IF(((2*C54*G3)-(G4*D25))&gt;0,(2*C54*G3)-(G4*D25),0)</f>
        <v>2.5600000000011391E-2</v>
      </c>
      <c r="E54" s="189">
        <f>IF(((2*C54*G3)-(G4*E25))&gt;0,(2*C54*G3)-(G4*E25),0)</f>
        <v>0</v>
      </c>
      <c r="F54" s="189">
        <f>IF(((2*C54*G3)-(G4*F25))&gt;0,(2*C54*G3)-(G4*F25),0)</f>
        <v>2.5600000000011391E-2</v>
      </c>
      <c r="G54" s="189">
        <f>IF(((2*C54*G3)-(G4*G25))&gt;0,(2*C54*G3)-(G4*G25),0)</f>
        <v>30.842800000000011</v>
      </c>
    </row>
    <row r="55" spans="1:7" ht="14.25" x14ac:dyDescent="0.2">
      <c r="A55" s="182" t="s">
        <v>11</v>
      </c>
      <c r="B55" s="117" t="s">
        <v>1028</v>
      </c>
      <c r="C55" s="104">
        <f>300 + (3.43*20.98)</f>
        <v>371.96140000000003</v>
      </c>
      <c r="D55" s="104">
        <f>300 + (3.43*20.98)</f>
        <v>371.96140000000003</v>
      </c>
      <c r="E55" s="104">
        <f>300 + (3.43*20.98)</f>
        <v>371.96140000000003</v>
      </c>
      <c r="F55" s="104">
        <f>300 + (3.43*20.98)</f>
        <v>371.96140000000003</v>
      </c>
      <c r="G55" s="104">
        <f>300 + (3.43*20.98)</f>
        <v>371.96140000000003</v>
      </c>
    </row>
    <row r="56" spans="1:7" ht="14.25" x14ac:dyDescent="0.2">
      <c r="A56" s="182" t="s">
        <v>13</v>
      </c>
      <c r="B56" s="117" t="s">
        <v>350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</row>
    <row r="57" spans="1:7" ht="14.25" x14ac:dyDescent="0.2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5" x14ac:dyDescent="0.2">
      <c r="A58" s="282" t="s">
        <v>330</v>
      </c>
      <c r="B58" s="282"/>
      <c r="C58" s="282"/>
      <c r="D58" s="190">
        <f>SUM(D54:D57)</f>
        <v>376.92700000000002</v>
      </c>
      <c r="E58" s="190">
        <f>SUM(E54:E57)</f>
        <v>376.90140000000002</v>
      </c>
      <c r="F58" s="190">
        <f>SUM(F54:F57)</f>
        <v>376.92700000000002</v>
      </c>
      <c r="G58" s="190">
        <f>SUM(G54:G57)</f>
        <v>407.74420000000003</v>
      </c>
    </row>
    <row r="59" spans="1:7" ht="14.25" x14ac:dyDescent="0.2">
      <c r="A59" s="321"/>
      <c r="B59" s="321"/>
      <c r="C59" s="321"/>
      <c r="D59" s="321"/>
      <c r="E59" s="321"/>
      <c r="F59" s="321"/>
      <c r="G59" s="321"/>
    </row>
    <row r="60" spans="1:7" ht="15" x14ac:dyDescent="0.2">
      <c r="A60" s="326" t="s">
        <v>351</v>
      </c>
      <c r="B60" s="326"/>
      <c r="C60" s="326"/>
      <c r="D60" s="326"/>
      <c r="E60" s="326"/>
      <c r="F60" s="326"/>
      <c r="G60" s="326"/>
    </row>
    <row r="61" spans="1:7" ht="15" x14ac:dyDescent="0.2">
      <c r="A61" s="186">
        <v>2</v>
      </c>
      <c r="B61" s="328" t="s">
        <v>352</v>
      </c>
      <c r="C61" s="328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4.25" x14ac:dyDescent="0.2">
      <c r="A62" s="182" t="s">
        <v>206</v>
      </c>
      <c r="B62" s="275" t="s">
        <v>333</v>
      </c>
      <c r="C62" s="275"/>
      <c r="D62" s="189">
        <f>D38</f>
        <v>510.66051659999999</v>
      </c>
      <c r="E62" s="189">
        <f>E38</f>
        <v>400.28907600000002</v>
      </c>
      <c r="F62" s="189">
        <f>F38</f>
        <v>392.81578200000001</v>
      </c>
      <c r="G62" s="189">
        <f>G38</f>
        <v>287.88321599999995</v>
      </c>
    </row>
    <row r="63" spans="1:7" ht="14.25" x14ac:dyDescent="0.2">
      <c r="A63" s="182" t="s">
        <v>208</v>
      </c>
      <c r="B63" s="275" t="s">
        <v>337</v>
      </c>
      <c r="C63" s="275"/>
      <c r="D63" s="189">
        <f>D50</f>
        <v>460.56404503980002</v>
      </c>
      <c r="E63" s="189">
        <f>E50</f>
        <v>361.02018862799997</v>
      </c>
      <c r="F63" s="189">
        <f>F50</f>
        <v>354.28003464599999</v>
      </c>
      <c r="G63" s="189">
        <f>G50</f>
        <v>259.64149204799998</v>
      </c>
    </row>
    <row r="64" spans="1:7" ht="14.25" x14ac:dyDescent="0.2">
      <c r="A64" s="182" t="s">
        <v>346</v>
      </c>
      <c r="B64" s="275" t="s">
        <v>347</v>
      </c>
      <c r="C64" s="275"/>
      <c r="D64" s="189">
        <f>D58</f>
        <v>376.92700000000002</v>
      </c>
      <c r="E64" s="189">
        <f>E58</f>
        <v>376.90140000000002</v>
      </c>
      <c r="F64" s="189">
        <f>F58</f>
        <v>376.92700000000002</v>
      </c>
      <c r="G64" s="189">
        <f>G58</f>
        <v>407.74420000000003</v>
      </c>
    </row>
    <row r="65" spans="1:7" ht="15" x14ac:dyDescent="0.2">
      <c r="A65" s="282" t="s">
        <v>330</v>
      </c>
      <c r="B65" s="282"/>
      <c r="C65" s="282"/>
      <c r="D65" s="190">
        <f>SUM(D62:D64)</f>
        <v>1348.1515616398001</v>
      </c>
      <c r="E65" s="190">
        <f>SUM(E62:E64)</f>
        <v>1138.2106646279999</v>
      </c>
      <c r="F65" s="190">
        <f>SUM(F62:F64)</f>
        <v>1124.0228166460001</v>
      </c>
      <c r="G65" s="190">
        <f>SUM(G62:G64)</f>
        <v>955.26890804799996</v>
      </c>
    </row>
    <row r="66" spans="1:7" ht="14.25" x14ac:dyDescent="0.2">
      <c r="A66" s="276"/>
      <c r="B66" s="276"/>
      <c r="C66" s="276"/>
      <c r="D66" s="276"/>
      <c r="E66" s="212"/>
      <c r="F66" s="212"/>
      <c r="G66" s="212"/>
    </row>
    <row r="67" spans="1:7" ht="15" customHeight="1" x14ac:dyDescent="0.2">
      <c r="A67" s="335" t="s">
        <v>353</v>
      </c>
      <c r="B67" s="335"/>
      <c r="C67" s="335"/>
      <c r="D67" s="335"/>
      <c r="E67" s="335"/>
      <c r="F67" s="335"/>
      <c r="G67" s="335"/>
    </row>
    <row r="68" spans="1:7" ht="15" x14ac:dyDescent="0.2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4.25" x14ac:dyDescent="0.2">
      <c r="A69" s="182" t="s">
        <v>8</v>
      </c>
      <c r="B69" s="117" t="s">
        <v>355</v>
      </c>
      <c r="C69" s="246">
        <v>4.2000000000000002E-4</v>
      </c>
      <c r="D69" s="189">
        <f t="shared" ref="D69:D74" si="4">C69*$D$31</f>
        <v>1.0498160400000001</v>
      </c>
      <c r="E69" s="189">
        <f t="shared" ref="E69:E74" si="5">C69*$E$31</f>
        <v>0.82291440000000005</v>
      </c>
      <c r="F69" s="189">
        <f t="shared" ref="F69:F74" si="6">C69*$F$31</f>
        <v>0.80755080000000001</v>
      </c>
      <c r="G69" s="189">
        <f t="shared" ref="G69:G74" si="7">C69*$G$31</f>
        <v>0.59183039999999998</v>
      </c>
    </row>
    <row r="70" spans="1:7" ht="14.25" x14ac:dyDescent="0.2">
      <c r="A70" s="182" t="s">
        <v>11</v>
      </c>
      <c r="B70" s="117" t="s">
        <v>356</v>
      </c>
      <c r="C70" s="246">
        <f>C49*C69</f>
        <v>3.3600000000000004E-5</v>
      </c>
      <c r="D70" s="189">
        <f t="shared" si="4"/>
        <v>8.398528320000001E-2</v>
      </c>
      <c r="E70" s="189">
        <f t="shared" si="5"/>
        <v>6.5833152000000006E-2</v>
      </c>
      <c r="F70" s="189">
        <f t="shared" si="6"/>
        <v>6.4604064000000003E-2</v>
      </c>
      <c r="G70" s="189">
        <f t="shared" si="7"/>
        <v>4.7346432000000001E-2</v>
      </c>
    </row>
    <row r="71" spans="1:7" ht="28.5" x14ac:dyDescent="0.2">
      <c r="A71" s="182" t="s">
        <v>13</v>
      </c>
      <c r="B71" s="120" t="s">
        <v>357</v>
      </c>
      <c r="C71" s="164">
        <v>0.02</v>
      </c>
      <c r="D71" s="189">
        <f t="shared" si="4"/>
        <v>49.991239999999998</v>
      </c>
      <c r="E71" s="189">
        <f t="shared" si="5"/>
        <v>39.186399999999999</v>
      </c>
      <c r="F71" s="189">
        <f t="shared" si="6"/>
        <v>38.454799999999999</v>
      </c>
      <c r="G71" s="189">
        <f t="shared" si="7"/>
        <v>28.182399999999998</v>
      </c>
    </row>
    <row r="72" spans="1:7" ht="14.25" x14ac:dyDescent="0.2">
      <c r="A72" s="182" t="s">
        <v>15</v>
      </c>
      <c r="B72" s="117" t="s">
        <v>358</v>
      </c>
      <c r="C72" s="246">
        <v>1.9400000000000001E-3</v>
      </c>
      <c r="D72" s="189">
        <f t="shared" si="4"/>
        <v>4.8491502799999999</v>
      </c>
      <c r="E72" s="189">
        <f t="shared" si="5"/>
        <v>3.8010808000000003</v>
      </c>
      <c r="F72" s="189">
        <f t="shared" si="6"/>
        <v>3.7301156000000004</v>
      </c>
      <c r="G72" s="189">
        <f t="shared" si="7"/>
        <v>2.7336928</v>
      </c>
    </row>
    <row r="73" spans="1:7" ht="28.5" x14ac:dyDescent="0.2">
      <c r="A73" s="182" t="s">
        <v>20</v>
      </c>
      <c r="B73" s="120" t="s">
        <v>359</v>
      </c>
      <c r="C73" s="164">
        <f>C50*C72</f>
        <v>2.9682000000000005E-4</v>
      </c>
      <c r="D73" s="189">
        <f t="shared" si="4"/>
        <v>0.7419199928400001</v>
      </c>
      <c r="E73" s="189">
        <f t="shared" si="5"/>
        <v>0.58156536240000012</v>
      </c>
      <c r="F73" s="189">
        <f t="shared" si="6"/>
        <v>0.57070768680000006</v>
      </c>
      <c r="G73" s="189">
        <f t="shared" si="7"/>
        <v>0.41825499840000002</v>
      </c>
    </row>
    <row r="74" spans="1:7" ht="28.5" x14ac:dyDescent="0.2">
      <c r="A74" s="182" t="s">
        <v>22</v>
      </c>
      <c r="B74" s="120" t="s">
        <v>360</v>
      </c>
      <c r="C74" s="164">
        <v>0.02</v>
      </c>
      <c r="D74" s="189">
        <f t="shared" si="4"/>
        <v>49.991239999999998</v>
      </c>
      <c r="E74" s="189">
        <f t="shared" si="5"/>
        <v>39.186399999999999</v>
      </c>
      <c r="F74" s="189">
        <f t="shared" si="6"/>
        <v>38.454799999999999</v>
      </c>
      <c r="G74" s="189">
        <f t="shared" si="7"/>
        <v>28.182399999999998</v>
      </c>
    </row>
    <row r="75" spans="1:7" ht="15" x14ac:dyDescent="0.2">
      <c r="A75" s="282" t="s">
        <v>330</v>
      </c>
      <c r="B75" s="282"/>
      <c r="C75" s="208">
        <f>SUM(C69:C74)</f>
        <v>4.269042E-2</v>
      </c>
      <c r="D75" s="190">
        <f>SUM(D69:D74)</f>
        <v>106.70735159604</v>
      </c>
      <c r="E75" s="190">
        <f>SUM(E69:E74)</f>
        <v>83.644193714399989</v>
      </c>
      <c r="F75" s="190">
        <f>SUM(F69:F74)</f>
        <v>82.082578150800003</v>
      </c>
      <c r="G75" s="190">
        <f>SUM(G69:G74)</f>
        <v>60.155924630399994</v>
      </c>
    </row>
    <row r="76" spans="1:7" ht="14.25" x14ac:dyDescent="0.2">
      <c r="A76" s="321"/>
      <c r="B76" s="321"/>
      <c r="C76" s="321"/>
      <c r="D76" s="321"/>
      <c r="E76" s="321"/>
      <c r="F76" s="321"/>
      <c r="G76" s="321"/>
    </row>
    <row r="77" spans="1:7" ht="15" x14ac:dyDescent="0.2">
      <c r="A77" s="326" t="s">
        <v>361</v>
      </c>
      <c r="B77" s="326"/>
      <c r="C77" s="326"/>
      <c r="D77" s="326"/>
      <c r="E77" s="326"/>
      <c r="F77" s="326"/>
      <c r="G77" s="326"/>
    </row>
    <row r="78" spans="1:7" ht="15" x14ac:dyDescent="0.2">
      <c r="A78" s="326" t="s">
        <v>362</v>
      </c>
      <c r="B78" s="326"/>
      <c r="C78" s="326"/>
      <c r="D78" s="326"/>
      <c r="E78" s="326"/>
      <c r="F78" s="326"/>
      <c r="G78" s="326"/>
    </row>
    <row r="79" spans="1:7" ht="15" x14ac:dyDescent="0.2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4.25" x14ac:dyDescent="0.2">
      <c r="A80" s="182" t="s">
        <v>8</v>
      </c>
      <c r="B80" s="117" t="s">
        <v>365</v>
      </c>
      <c r="C80" s="164">
        <v>9.2999999999999992E-3</v>
      </c>
      <c r="D80" s="189">
        <f>C80*$D$31</f>
        <v>23.245926599999997</v>
      </c>
      <c r="E80" s="189">
        <f>C80*$E$31</f>
        <v>18.221675999999999</v>
      </c>
      <c r="F80" s="189">
        <f>C80*$F$31</f>
        <v>17.881481999999998</v>
      </c>
      <c r="G80" s="189">
        <f>C80*$G$31</f>
        <v>13.104815999999998</v>
      </c>
    </row>
    <row r="81" spans="1:7" ht="14.25" x14ac:dyDescent="0.2">
      <c r="A81" s="182" t="s">
        <v>11</v>
      </c>
      <c r="B81" s="117" t="s">
        <v>366</v>
      </c>
      <c r="C81" s="164">
        <v>2.8E-3</v>
      </c>
      <c r="D81" s="189">
        <f>C81*$D$31</f>
        <v>6.9987735999999998</v>
      </c>
      <c r="E81" s="189">
        <f>C81*$E$31</f>
        <v>5.4860959999999999</v>
      </c>
      <c r="F81" s="189">
        <f>C81*$F$31</f>
        <v>5.3836719999999998</v>
      </c>
      <c r="G81" s="189">
        <f>C81*$G$31</f>
        <v>3.9455359999999997</v>
      </c>
    </row>
    <row r="82" spans="1:7" ht="14.25" x14ac:dyDescent="0.2">
      <c r="A82" s="182" t="s">
        <v>13</v>
      </c>
      <c r="B82" s="117" t="s">
        <v>367</v>
      </c>
      <c r="C82" s="164">
        <v>8.0000000000000004E-4</v>
      </c>
      <c r="D82" s="189">
        <f>C82*$D$31</f>
        <v>1.9996495999999999</v>
      </c>
      <c r="E82" s="189">
        <f>C82*$E$31</f>
        <v>1.567456</v>
      </c>
      <c r="F82" s="189">
        <f>C82*$F$31</f>
        <v>1.538192</v>
      </c>
      <c r="G82" s="189">
        <f>C82*$G$31</f>
        <v>1.1272960000000001</v>
      </c>
    </row>
    <row r="83" spans="1:7" ht="14.25" x14ac:dyDescent="0.2">
      <c r="A83" s="182" t="s">
        <v>15</v>
      </c>
      <c r="B83" s="117" t="s">
        <v>368</v>
      </c>
      <c r="C83" s="164">
        <v>2.7000000000000001E-3</v>
      </c>
      <c r="D83" s="189">
        <f>C83*$D$31</f>
        <v>6.7488174000000001</v>
      </c>
      <c r="E83" s="189">
        <f>C83*$E$31</f>
        <v>5.2901639999999999</v>
      </c>
      <c r="F83" s="189">
        <f>C83*$F$31</f>
        <v>5.1913980000000004</v>
      </c>
      <c r="G83" s="189">
        <f>C83*$G$31</f>
        <v>3.804624</v>
      </c>
    </row>
    <row r="84" spans="1:7" ht="14.25" x14ac:dyDescent="0.2">
      <c r="A84" s="182" t="s">
        <v>20</v>
      </c>
      <c r="B84" s="117" t="s">
        <v>369</v>
      </c>
      <c r="C84" s="164">
        <v>2.9999999999999997E-4</v>
      </c>
      <c r="D84" s="189">
        <f>C84*$D$31</f>
        <v>0.74986859999999989</v>
      </c>
      <c r="E84" s="189">
        <f>C84*$E$31</f>
        <v>0.58779599999999987</v>
      </c>
      <c r="F84" s="189">
        <f>C84*$F$31</f>
        <v>0.57682199999999995</v>
      </c>
      <c r="G84" s="189">
        <f>C84*$G$31</f>
        <v>0.42273599999999995</v>
      </c>
    </row>
    <row r="85" spans="1:7" ht="14.25" x14ac:dyDescent="0.2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5" x14ac:dyDescent="0.2">
      <c r="A86" s="282" t="s">
        <v>330</v>
      </c>
      <c r="B86" s="282"/>
      <c r="C86" s="208">
        <f>SUM(C80:C85)</f>
        <v>1.5900000000000001E-2</v>
      </c>
      <c r="D86" s="190">
        <f>SUM(D80:D85)</f>
        <v>39.743035799999994</v>
      </c>
      <c r="E86" s="190">
        <f>SUM(E80:E85)</f>
        <v>31.153188</v>
      </c>
      <c r="F86" s="190">
        <f>SUM(F80:F85)</f>
        <v>30.571565999999997</v>
      </c>
      <c r="G86" s="190">
        <f>SUM(G80:G85)</f>
        <v>22.405007999999999</v>
      </c>
    </row>
    <row r="87" spans="1:7" ht="14.25" x14ac:dyDescent="0.2">
      <c r="A87" s="321"/>
      <c r="B87" s="321"/>
      <c r="C87" s="321"/>
      <c r="D87" s="321"/>
      <c r="E87" s="321"/>
      <c r="F87" s="321"/>
      <c r="G87" s="321"/>
    </row>
    <row r="88" spans="1:7" ht="15" x14ac:dyDescent="0.2">
      <c r="A88" s="326" t="s">
        <v>371</v>
      </c>
      <c r="B88" s="326"/>
      <c r="C88" s="326"/>
      <c r="D88" s="326"/>
      <c r="E88" s="326"/>
      <c r="F88" s="326"/>
      <c r="G88" s="326"/>
    </row>
    <row r="89" spans="1:7" ht="15" x14ac:dyDescent="0.2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4.25" x14ac:dyDescent="0.2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5" x14ac:dyDescent="0.2">
      <c r="A91" s="282" t="s">
        <v>330</v>
      </c>
      <c r="B91" s="282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4.25" x14ac:dyDescent="0.2">
      <c r="A92" s="321"/>
      <c r="B92" s="321"/>
      <c r="C92" s="321"/>
      <c r="D92" s="321"/>
      <c r="E92" s="321"/>
      <c r="F92" s="321"/>
      <c r="G92" s="321"/>
    </row>
    <row r="93" spans="1:7" ht="15" x14ac:dyDescent="0.2">
      <c r="A93" s="326" t="s">
        <v>375</v>
      </c>
      <c r="B93" s="326"/>
      <c r="C93" s="326"/>
      <c r="D93" s="326"/>
      <c r="E93" s="326"/>
      <c r="F93" s="326"/>
      <c r="G93" s="326"/>
    </row>
    <row r="94" spans="1:7" ht="15" x14ac:dyDescent="0.2">
      <c r="A94" s="186">
        <v>4</v>
      </c>
      <c r="B94" s="328" t="s">
        <v>376</v>
      </c>
      <c r="C94" s="328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4.25" x14ac:dyDescent="0.2">
      <c r="A95" s="182" t="s">
        <v>363</v>
      </c>
      <c r="B95" s="275" t="s">
        <v>364</v>
      </c>
      <c r="C95" s="275"/>
      <c r="D95" s="189">
        <f>D86</f>
        <v>39.743035799999994</v>
      </c>
      <c r="E95" s="189">
        <f>E86</f>
        <v>31.153188</v>
      </c>
      <c r="F95" s="189">
        <f>F86</f>
        <v>30.571565999999997</v>
      </c>
      <c r="G95" s="189">
        <f>G86</f>
        <v>22.405007999999999</v>
      </c>
    </row>
    <row r="96" spans="1:7" ht="14.25" x14ac:dyDescent="0.2">
      <c r="A96" s="182" t="s">
        <v>372</v>
      </c>
      <c r="B96" s="275" t="s">
        <v>373</v>
      </c>
      <c r="C96" s="275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5" x14ac:dyDescent="0.2">
      <c r="A97" s="282" t="s">
        <v>330</v>
      </c>
      <c r="B97" s="282"/>
      <c r="C97" s="282"/>
      <c r="D97" s="190">
        <f>SUM(D95:D96)</f>
        <v>39.743035799999994</v>
      </c>
      <c r="E97" s="190">
        <f>SUM(E95:E96)</f>
        <v>31.153188</v>
      </c>
      <c r="F97" s="190">
        <f>SUM(F95:F96)</f>
        <v>30.571565999999997</v>
      </c>
      <c r="G97" s="190">
        <f>SUM(G95:G96)</f>
        <v>22.405007999999999</v>
      </c>
    </row>
    <row r="98" spans="1:7" ht="14.25" x14ac:dyDescent="0.2">
      <c r="A98" s="321"/>
      <c r="B98" s="321"/>
      <c r="C98" s="321"/>
      <c r="D98" s="321"/>
      <c r="E98" s="321"/>
      <c r="F98" s="321"/>
      <c r="G98" s="321"/>
    </row>
    <row r="99" spans="1:7" ht="15" customHeight="1" x14ac:dyDescent="0.2">
      <c r="A99" s="335" t="s">
        <v>377</v>
      </c>
      <c r="B99" s="335"/>
      <c r="C99" s="335"/>
      <c r="D99" s="335"/>
      <c r="E99" s="335"/>
      <c r="F99" s="335"/>
      <c r="G99" s="335"/>
    </row>
    <row r="100" spans="1:7" ht="15" x14ac:dyDescent="0.2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4.25" x14ac:dyDescent="0.2">
      <c r="A101" s="182" t="s">
        <v>8</v>
      </c>
      <c r="B101" s="117" t="s">
        <v>378</v>
      </c>
      <c r="C101" s="164"/>
      <c r="D101" s="189">
        <f>'VIII Uniformes e EPI''s'!I11</f>
        <v>37.502656869608209</v>
      </c>
      <c r="E101" s="189">
        <f>'VIII Uniformes e EPI''s'!I11</f>
        <v>37.502656869608209</v>
      </c>
      <c r="F101" s="189">
        <f>'VIII Uniformes e EPI''s'!I11</f>
        <v>37.502656869608209</v>
      </c>
      <c r="G101" s="189">
        <f>'VIII Uniformes e EPI''s'!I11</f>
        <v>37.502656869608209</v>
      </c>
    </row>
    <row r="102" spans="1:7" ht="14.25" x14ac:dyDescent="0.2">
      <c r="A102" s="182" t="s">
        <v>11</v>
      </c>
      <c r="B102" s="117" t="s">
        <v>379</v>
      </c>
      <c r="C102" s="164"/>
      <c r="D102" s="189">
        <v>0</v>
      </c>
      <c r="E102" s="189">
        <v>0</v>
      </c>
      <c r="F102" s="189">
        <v>0</v>
      </c>
      <c r="G102" s="189">
        <v>0</v>
      </c>
    </row>
    <row r="103" spans="1:7" ht="14.25" x14ac:dyDescent="0.2">
      <c r="A103" s="182" t="s">
        <v>13</v>
      </c>
      <c r="B103" s="117" t="s">
        <v>380</v>
      </c>
      <c r="C103" s="164"/>
      <c r="D103" s="189">
        <v>0</v>
      </c>
      <c r="E103" s="189">
        <v>0</v>
      </c>
      <c r="F103" s="189">
        <v>0</v>
      </c>
      <c r="G103" s="189">
        <v>0</v>
      </c>
    </row>
    <row r="104" spans="1:7" ht="14.25" x14ac:dyDescent="0.2">
      <c r="A104" s="182" t="s">
        <v>15</v>
      </c>
      <c r="B104" s="117" t="s">
        <v>329</v>
      </c>
      <c r="C104" s="164"/>
      <c r="D104" s="189">
        <v>0</v>
      </c>
      <c r="E104" s="189">
        <v>0</v>
      </c>
      <c r="F104" s="189">
        <v>0</v>
      </c>
      <c r="G104" s="189">
        <v>0</v>
      </c>
    </row>
    <row r="105" spans="1:7" ht="15" x14ac:dyDescent="0.2">
      <c r="A105" s="282" t="s">
        <v>330</v>
      </c>
      <c r="B105" s="282"/>
      <c r="C105" s="282"/>
      <c r="D105" s="190">
        <f>SUM(D101:D104)</f>
        <v>37.502656869608209</v>
      </c>
      <c r="E105" s="190">
        <f>SUM(E101:E104)</f>
        <v>37.502656869608209</v>
      </c>
      <c r="F105" s="190">
        <f>SUM(F101:F104)</f>
        <v>37.502656869608209</v>
      </c>
      <c r="G105" s="190">
        <f>SUM(G101:G104)</f>
        <v>37.502656869608209</v>
      </c>
    </row>
    <row r="106" spans="1:7" ht="14.25" x14ac:dyDescent="0.2">
      <c r="A106" s="276"/>
      <c r="B106" s="276"/>
      <c r="C106" s="276"/>
      <c r="D106" s="276"/>
      <c r="E106" s="212"/>
      <c r="F106" s="212"/>
      <c r="G106" s="212"/>
    </row>
    <row r="107" spans="1:7" ht="15" x14ac:dyDescent="0.2">
      <c r="A107" s="283"/>
      <c r="B107" s="283"/>
      <c r="C107" s="283"/>
      <c r="D107" s="283"/>
      <c r="E107" s="212"/>
      <c r="F107" s="212"/>
      <c r="G107" s="212"/>
    </row>
    <row r="108" spans="1:7" ht="14.25" x14ac:dyDescent="0.2">
      <c r="A108" s="276"/>
      <c r="B108" s="276"/>
      <c r="C108" s="276"/>
      <c r="D108" s="276"/>
      <c r="E108" s="212"/>
      <c r="F108" s="212"/>
      <c r="G108" s="212"/>
    </row>
    <row r="109" spans="1:7" ht="15" x14ac:dyDescent="0.2">
      <c r="A109" s="186"/>
      <c r="B109" s="322" t="s">
        <v>381</v>
      </c>
      <c r="C109" s="322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5" x14ac:dyDescent="0.2">
      <c r="A110" s="213" t="s">
        <v>8</v>
      </c>
      <c r="B110" s="275" t="s">
        <v>320</v>
      </c>
      <c r="C110" s="275"/>
      <c r="D110" s="189">
        <f>D31</f>
        <v>2499.5619999999999</v>
      </c>
      <c r="E110" s="189">
        <f>E31</f>
        <v>1959.32</v>
      </c>
      <c r="F110" s="189">
        <f>F31</f>
        <v>1922.74</v>
      </c>
      <c r="G110" s="189">
        <f>G31</f>
        <v>1409.12</v>
      </c>
    </row>
    <row r="111" spans="1:7" ht="15" x14ac:dyDescent="0.2">
      <c r="A111" s="213" t="s">
        <v>11</v>
      </c>
      <c r="B111" s="275" t="s">
        <v>331</v>
      </c>
      <c r="C111" s="275"/>
      <c r="D111" s="189">
        <f>D65</f>
        <v>1348.1515616398001</v>
      </c>
      <c r="E111" s="189">
        <f>E65</f>
        <v>1138.2106646279999</v>
      </c>
      <c r="F111" s="189">
        <f>F65</f>
        <v>1124.0228166460001</v>
      </c>
      <c r="G111" s="189">
        <f>G65</f>
        <v>955.26890804799996</v>
      </c>
    </row>
    <row r="112" spans="1:7" ht="15" x14ac:dyDescent="0.2">
      <c r="A112" s="213" t="s">
        <v>13</v>
      </c>
      <c r="B112" s="275" t="s">
        <v>353</v>
      </c>
      <c r="C112" s="275"/>
      <c r="D112" s="189">
        <f>D75</f>
        <v>106.70735159604</v>
      </c>
      <c r="E112" s="189">
        <f>E75</f>
        <v>83.644193714399989</v>
      </c>
      <c r="F112" s="189">
        <f>F75</f>
        <v>82.082578150800003</v>
      </c>
      <c r="G112" s="189">
        <f>G75</f>
        <v>60.155924630399994</v>
      </c>
    </row>
    <row r="113" spans="1:7" ht="15" x14ac:dyDescent="0.2">
      <c r="A113" s="213" t="s">
        <v>15</v>
      </c>
      <c r="B113" s="275" t="s">
        <v>361</v>
      </c>
      <c r="C113" s="275"/>
      <c r="D113" s="189">
        <f>D97</f>
        <v>39.743035799999994</v>
      </c>
      <c r="E113" s="189">
        <f>E97</f>
        <v>31.153188</v>
      </c>
      <c r="F113" s="189">
        <f>F97</f>
        <v>30.571565999999997</v>
      </c>
      <c r="G113" s="189">
        <f>G97</f>
        <v>22.405007999999999</v>
      </c>
    </row>
    <row r="114" spans="1:7" ht="15" x14ac:dyDescent="0.2">
      <c r="A114" s="213" t="s">
        <v>20</v>
      </c>
      <c r="B114" s="275" t="s">
        <v>377</v>
      </c>
      <c r="C114" s="275"/>
      <c r="D114" s="189">
        <f>D105</f>
        <v>37.502656869608209</v>
      </c>
      <c r="E114" s="189">
        <f>E105</f>
        <v>37.502656869608209</v>
      </c>
      <c r="F114" s="189">
        <f>F105</f>
        <v>37.502656869608209</v>
      </c>
      <c r="G114" s="189">
        <f>G105</f>
        <v>37.502656869608209</v>
      </c>
    </row>
    <row r="115" spans="1:7" ht="15" x14ac:dyDescent="0.2">
      <c r="A115" s="282" t="s">
        <v>382</v>
      </c>
      <c r="B115" s="282"/>
      <c r="C115" s="282"/>
      <c r="D115" s="190">
        <f>SUM(D110:D114)</f>
        <v>4031.6666059054483</v>
      </c>
      <c r="E115" s="190">
        <f>SUM(E110:E114)</f>
        <v>3249.8307032120078</v>
      </c>
      <c r="F115" s="190">
        <f>SUM(F110:F114)</f>
        <v>3196.9196176664082</v>
      </c>
      <c r="G115" s="190">
        <f>SUM(G110:G114)</f>
        <v>2484.4524975480081</v>
      </c>
    </row>
    <row r="116" spans="1:7" x14ac:dyDescent="0.2">
      <c r="A116" s="212"/>
      <c r="B116" s="212"/>
      <c r="C116" s="212"/>
      <c r="D116" s="212"/>
      <c r="E116" s="212"/>
      <c r="F116" s="212"/>
      <c r="G116" s="212"/>
    </row>
  </sheetData>
  <mergeCells count="74"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  <mergeCell ref="A97:C97"/>
    <mergeCell ref="A98:G98"/>
    <mergeCell ref="A99:G99"/>
    <mergeCell ref="A105:C105"/>
    <mergeCell ref="A106:D106"/>
    <mergeCell ref="A92:G92"/>
    <mergeCell ref="A93:G93"/>
    <mergeCell ref="B94:C94"/>
    <mergeCell ref="B95:C95"/>
    <mergeCell ref="B96:C96"/>
    <mergeCell ref="A78:G78"/>
    <mergeCell ref="A86:B86"/>
    <mergeCell ref="A87:G87"/>
    <mergeCell ref="A88:G88"/>
    <mergeCell ref="A91:B91"/>
    <mergeCell ref="A66:D66"/>
    <mergeCell ref="A67:G67"/>
    <mergeCell ref="A75:B75"/>
    <mergeCell ref="A76:G76"/>
    <mergeCell ref="A77:G77"/>
    <mergeCell ref="B61:C61"/>
    <mergeCell ref="B62:C62"/>
    <mergeCell ref="B63:C63"/>
    <mergeCell ref="B64:C64"/>
    <mergeCell ref="A65:C65"/>
    <mergeCell ref="A51:D51"/>
    <mergeCell ref="A52:G52"/>
    <mergeCell ref="A58:C58"/>
    <mergeCell ref="A59:G59"/>
    <mergeCell ref="A60:G60"/>
    <mergeCell ref="A34:G34"/>
    <mergeCell ref="A38:B38"/>
    <mergeCell ref="A39:G39"/>
    <mergeCell ref="A40:G40"/>
    <mergeCell ref="A50:B50"/>
    <mergeCell ref="A22:G22"/>
    <mergeCell ref="A23:G23"/>
    <mergeCell ref="A31:B31"/>
    <mergeCell ref="A32:G32"/>
    <mergeCell ref="A33:G33"/>
    <mergeCell ref="B17:C17"/>
    <mergeCell ref="B18:C18"/>
    <mergeCell ref="B19:C19"/>
    <mergeCell ref="B20:C20"/>
    <mergeCell ref="A21:G21"/>
    <mergeCell ref="F12:G12"/>
    <mergeCell ref="F13:G13"/>
    <mergeCell ref="A14:G14"/>
    <mergeCell ref="A15:G15"/>
    <mergeCell ref="A16:G16"/>
    <mergeCell ref="A7:G7"/>
    <mergeCell ref="A8:G8"/>
    <mergeCell ref="A9:G9"/>
    <mergeCell ref="F10:G10"/>
    <mergeCell ref="F11:G11"/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</mergeCells>
  <printOptions horizontalCentered="1"/>
  <pageMargins left="0.78740157480314965" right="0.78740157480314965" top="0.9055118110236221" bottom="0.9055118110236221" header="0.51181102362204722" footer="0.51181102362204722"/>
  <pageSetup paperSize="9" scale="40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14</vt:i4>
      </vt:variant>
    </vt:vector>
  </HeadingPairs>
  <TitlesOfParts>
    <vt:vector size="29" baseType="lpstr">
      <vt:lpstr>II Plan Consolid</vt:lpstr>
      <vt:lpstr>III Deslocamentos</vt:lpstr>
      <vt:lpstr>IV Caract. Imóveis e Equipes</vt:lpstr>
      <vt:lpstr>V Quadro-Resumo Mão de Obra</vt:lpstr>
      <vt:lpstr>V Eng. Civil ou Arq. e Eng. Ele</vt:lpstr>
      <vt:lpstr>V Encarregado CGT</vt:lpstr>
      <vt:lpstr>V GEXNIT</vt:lpstr>
      <vt:lpstr>V GEXDUQ</vt:lpstr>
      <vt:lpstr>V GEXCGT</vt:lpstr>
      <vt:lpstr>VI Equipamentos</vt:lpstr>
      <vt:lpstr>VII-B Materiais</vt:lpstr>
      <vt:lpstr>VIII Uniformes e EPI's</vt:lpstr>
      <vt:lpstr>IX ISS</vt:lpstr>
      <vt:lpstr>X BDI</vt:lpstr>
      <vt:lpstr>XI Cronograma de Desembolso</vt:lpstr>
      <vt:lpstr>'II Plan Consolid'!Area_de_impressao</vt:lpstr>
      <vt:lpstr>'III Deslocamentos'!Area_de_impressao</vt:lpstr>
      <vt:lpstr>'IV Caract. Imóveis e Equipes'!Area_de_impressao</vt:lpstr>
      <vt:lpstr>'V Encarregado CGT'!Area_de_impressao</vt:lpstr>
      <vt:lpstr>'V Eng. Civil ou Arq. e Eng. Ele'!Area_de_impressao</vt:lpstr>
      <vt:lpstr>'V GEXCGT'!Area_de_impressao</vt:lpstr>
      <vt:lpstr>'V GEXDUQ'!Area_de_impressao</vt:lpstr>
      <vt:lpstr>'V GEXNIT'!Area_de_impressao</vt:lpstr>
      <vt:lpstr>'V Quadro-Resumo Mão de Obra'!Area_de_impressao</vt:lpstr>
      <vt:lpstr>'VI Equipamentos'!Area_de_impressao</vt:lpstr>
      <vt:lpstr>'VII-B Materiais'!Area_de_impressao</vt:lpstr>
      <vt:lpstr>'VIII Uniformes e EPI''s'!Area_de_impressao</vt:lpstr>
      <vt:lpstr>'X BDI'!Area_de_impressao</vt:lpstr>
      <vt:lpstr>'XI Cronograma de Desembolso'!Area_de_impressao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RDV</dc:creator>
  <cp:lastModifiedBy>Lucas</cp:lastModifiedBy>
  <cp:revision>10</cp:revision>
  <cp:lastPrinted>2022-03-22T13:44:19Z</cp:lastPrinted>
  <dcterms:created xsi:type="dcterms:W3CDTF">2020-04-21T14:56:25Z</dcterms:created>
  <dcterms:modified xsi:type="dcterms:W3CDTF">2022-05-04T17:54:22Z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0x0101005CF172AD962591459008F8317279ED7D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