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09"/>
  <workbookPr/>
  <xr:revisionPtr revIDLastSave="0" documentId="8_{8FF8565E-3C0B-470D-B381-966AEC3DA574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B171" i="1"/>
  <c r="N98" i="1"/>
  <c r="N99" i="1"/>
  <c r="P114" i="1"/>
  <c r="P113" i="1"/>
  <c r="J114" i="1"/>
  <c r="J113" i="1"/>
  <c r="H98" i="1"/>
  <c r="D114" i="1"/>
  <c r="D113" i="1"/>
  <c r="B98" i="1"/>
  <c r="N91" i="1"/>
  <c r="N87" i="1"/>
  <c r="N89" i="1"/>
  <c r="N86" i="1"/>
  <c r="B91" i="1"/>
  <c r="H90" i="1"/>
  <c r="H92" i="1"/>
  <c r="H91" i="1"/>
  <c r="H89" i="1"/>
  <c r="H87" i="1"/>
  <c r="H86" i="1"/>
  <c r="B94" i="1"/>
  <c r="B93" i="1"/>
  <c r="B92" i="1"/>
  <c r="B90" i="1"/>
  <c r="B88" i="1"/>
  <c r="B89" i="1"/>
  <c r="B87" i="1"/>
  <c r="B86" i="1"/>
  <c r="H124" i="1"/>
  <c r="H120" i="1"/>
  <c r="H123" i="1"/>
  <c r="H122" i="1"/>
  <c r="H121" i="1"/>
  <c r="H119" i="1"/>
  <c r="J123" i="1"/>
  <c r="J121" i="1"/>
  <c r="N80" i="1"/>
  <c r="N79" i="1"/>
  <c r="N77" i="1"/>
  <c r="N81" i="1"/>
  <c r="N78" i="1"/>
  <c r="H81" i="1"/>
  <c r="H80" i="1"/>
  <c r="H79" i="1"/>
  <c r="P81" i="1"/>
  <c r="P79" i="1"/>
  <c r="J81" i="1"/>
  <c r="H78" i="1"/>
  <c r="B78" i="1"/>
  <c r="H77" i="1"/>
  <c r="J79" i="1" s="1"/>
  <c r="B81" i="1"/>
  <c r="B80" i="1"/>
  <c r="D81" i="1" s="1"/>
  <c r="B79" i="1"/>
  <c r="B77" i="1"/>
  <c r="D79" i="1" s="1"/>
  <c r="B165" i="1"/>
  <c r="D162" i="1"/>
  <c r="D161" i="1"/>
  <c r="P141" i="1"/>
  <c r="J141" i="1"/>
  <c r="D141" i="1"/>
  <c r="J139" i="1"/>
  <c r="J136" i="1"/>
  <c r="D137" i="1"/>
  <c r="D136" i="1"/>
  <c r="B121" i="1"/>
  <c r="B124" i="1"/>
  <c r="B125" i="1"/>
  <c r="B123" i="1"/>
  <c r="B122" i="1"/>
  <c r="B129" i="1" s="1"/>
  <c r="N7" i="1"/>
  <c r="H7" i="1"/>
  <c r="B7" i="1"/>
  <c r="H74" i="1"/>
  <c r="N73" i="1"/>
  <c r="H73" i="1"/>
  <c r="N72" i="1"/>
  <c r="B73" i="1"/>
  <c r="B54" i="1"/>
  <c r="B163" i="1"/>
  <c r="D163" i="1" s="1"/>
  <c r="B157" i="1"/>
  <c r="B160" i="1"/>
  <c r="B159" i="1"/>
  <c r="B156" i="1"/>
  <c r="B158" i="1"/>
  <c r="B127" i="1"/>
  <c r="N149" i="1"/>
  <c r="N136" i="1"/>
  <c r="P136" i="1" s="1"/>
  <c r="H149" i="1"/>
  <c r="B149" i="1"/>
  <c r="N146" i="1"/>
  <c r="N145" i="1"/>
  <c r="B126" i="1"/>
  <c r="B45" i="1"/>
  <c r="N139" i="1"/>
  <c r="B139" i="1"/>
  <c r="D139" i="1" s="1"/>
  <c r="B138" i="1"/>
  <c r="B119" i="1"/>
  <c r="B120" i="1" s="1"/>
  <c r="N60" i="1"/>
  <c r="N61" i="1"/>
  <c r="N76" i="1"/>
  <c r="N25" i="1"/>
  <c r="N75" i="1"/>
  <c r="N71" i="1"/>
  <c r="B72" i="1"/>
  <c r="H72" i="1"/>
  <c r="B71" i="1"/>
  <c r="B69" i="1"/>
  <c r="H68" i="1"/>
  <c r="N68" i="1"/>
  <c r="H61" i="1"/>
  <c r="N56" i="1"/>
  <c r="N54" i="1"/>
  <c r="N52" i="1"/>
  <c r="N62" i="1"/>
  <c r="N59" i="1"/>
  <c r="N58" i="1"/>
  <c r="N57" i="1"/>
  <c r="H59" i="1"/>
  <c r="H62" i="1"/>
  <c r="H60" i="1"/>
  <c r="H58" i="1" s="1"/>
  <c r="H57" i="1" s="1"/>
  <c r="N27" i="1"/>
  <c r="H27" i="1"/>
  <c r="B27" i="1"/>
  <c r="B9" i="1"/>
  <c r="B57" i="1"/>
  <c r="H56" i="1"/>
  <c r="B56" i="1"/>
  <c r="H54" i="1"/>
  <c r="H53" i="1"/>
  <c r="H52" i="1"/>
  <c r="B52" i="1"/>
  <c r="B53" i="1"/>
  <c r="B74" i="1"/>
  <c r="B68" i="1"/>
  <c r="B66" i="1"/>
  <c r="B67" i="1"/>
  <c r="B58" i="1"/>
  <c r="B59" i="1"/>
  <c r="B62" i="1" s="1"/>
  <c r="B60" i="1"/>
  <c r="B61" i="1"/>
  <c r="B26" i="1"/>
  <c r="B55" i="1"/>
  <c r="B42" i="1"/>
  <c r="B39" i="1"/>
  <c r="B38" i="1"/>
  <c r="B36" i="1"/>
  <c r="B8" i="1"/>
  <c r="B10" i="1"/>
  <c r="N19" i="1"/>
  <c r="N20" i="1"/>
  <c r="H20" i="1"/>
  <c r="H19" i="1"/>
  <c r="N17" i="1"/>
  <c r="N11" i="1"/>
  <c r="N9" i="1"/>
  <c r="H26" i="1"/>
  <c r="B19" i="1"/>
  <c r="H9" i="1"/>
  <c r="B21" i="1"/>
  <c r="B20" i="1"/>
  <c r="B17" i="1"/>
  <c r="G34" i="1" l="1"/>
</calcChain>
</file>

<file path=xl/sharedStrings.xml><?xml version="1.0" encoding="utf-8"?>
<sst xmlns="http://schemas.openxmlformats.org/spreadsheetml/2006/main" count="685" uniqueCount="153">
  <si>
    <t>QUANTITATIVOS - CIVIL</t>
  </si>
  <si>
    <t>DEMOLIÇÃO E RETIRADAS</t>
  </si>
  <si>
    <t>TÉRREO:</t>
  </si>
  <si>
    <t>1º PAVIMENTO:</t>
  </si>
  <si>
    <t>2º PAVIMENTO:</t>
  </si>
  <si>
    <t>COBERTURA:</t>
  </si>
  <si>
    <t>alvenaria:</t>
  </si>
  <si>
    <t>m³</t>
  </si>
  <si>
    <t>m²</t>
  </si>
  <si>
    <t>alvenaria de vidro:</t>
  </si>
  <si>
    <t>divisória naval:</t>
  </si>
  <si>
    <t>forro fibra mineral:</t>
  </si>
  <si>
    <t>forro gesso:</t>
  </si>
  <si>
    <t>lavatório:</t>
  </si>
  <si>
    <t>un</t>
  </si>
  <si>
    <t>torneira:</t>
  </si>
  <si>
    <t>cuba:</t>
  </si>
  <si>
    <t>mictório:</t>
  </si>
  <si>
    <t>bacia sanitária:</t>
  </si>
  <si>
    <t>bancada:</t>
  </si>
  <si>
    <t>lavatório coletivo:</t>
  </si>
  <si>
    <t>divisória banheiro:</t>
  </si>
  <si>
    <t>corrimão:</t>
  </si>
  <si>
    <t>m</t>
  </si>
  <si>
    <t>divisória de vidro:</t>
  </si>
  <si>
    <t>porta madeira:</t>
  </si>
  <si>
    <t>porta:</t>
  </si>
  <si>
    <t>tubulação de AF:</t>
  </si>
  <si>
    <t>tubulação de esgoto:</t>
  </si>
  <si>
    <t>tubulação de esgoto</t>
  </si>
  <si>
    <t>piso vinílico:</t>
  </si>
  <si>
    <t>piso cerâmico:</t>
  </si>
  <si>
    <t>revestimento cerâmico:</t>
  </si>
  <si>
    <t>porta 80:</t>
  </si>
  <si>
    <t>EXTERNO:</t>
  </si>
  <si>
    <t>caixa elétrica:</t>
  </si>
  <si>
    <t>entulho:</t>
  </si>
  <si>
    <t>placa regulamentadora:</t>
  </si>
  <si>
    <t>portão:</t>
  </si>
  <si>
    <t>poste:</t>
  </si>
  <si>
    <t>mureta (canaleta):</t>
  </si>
  <si>
    <t>base mastro:</t>
  </si>
  <si>
    <t>mastro:</t>
  </si>
  <si>
    <t>guarda-corpo:</t>
  </si>
  <si>
    <t>telefone público:</t>
  </si>
  <si>
    <t>degrau entrada:</t>
  </si>
  <si>
    <t xml:space="preserve"> piso entradas:</t>
  </si>
  <si>
    <t>calçada:</t>
  </si>
  <si>
    <t>CONSTRUÇÃO</t>
  </si>
  <si>
    <t>alvenaria 15:</t>
  </si>
  <si>
    <t>alvenaria 17:</t>
  </si>
  <si>
    <t>alvenaria 20:</t>
  </si>
  <si>
    <t>drywall (gesso):</t>
  </si>
  <si>
    <t>drywall (corta-fogo):</t>
  </si>
  <si>
    <t>chapisco:</t>
  </si>
  <si>
    <t>emboço para revest. cer.</t>
  </si>
  <si>
    <t>emboço p/ pintura:</t>
  </si>
  <si>
    <t>pintura:</t>
  </si>
  <si>
    <t>porta madeira acess. 92:</t>
  </si>
  <si>
    <t>porta madeira 82:</t>
  </si>
  <si>
    <t>porta corta fogo:</t>
  </si>
  <si>
    <t>divisoria de vidro:</t>
  </si>
  <si>
    <t>jateado em vidro:</t>
  </si>
  <si>
    <t>divisoria painel até forro</t>
  </si>
  <si>
    <t>divisoria painel 2.10</t>
  </si>
  <si>
    <t>porta divisória:</t>
  </si>
  <si>
    <t>divisoria p.v.p.:</t>
  </si>
  <si>
    <t>divisória mictório:</t>
  </si>
  <si>
    <t>pintura teto:</t>
  </si>
  <si>
    <t>tubo AF 25mm</t>
  </si>
  <si>
    <t>tubo AF 32mm</t>
  </si>
  <si>
    <t>tubo AF 40mm</t>
  </si>
  <si>
    <t>tubo AF 50mm</t>
  </si>
  <si>
    <t>tubo AF 60mm</t>
  </si>
  <si>
    <t>terminais:</t>
  </si>
  <si>
    <t>pt</t>
  </si>
  <si>
    <t>registro 1':</t>
  </si>
  <si>
    <t>registro 1 1/2':</t>
  </si>
  <si>
    <t>registro 2':</t>
  </si>
  <si>
    <t>tubo ESG 40mm:</t>
  </si>
  <si>
    <t>tubo ESG 50mm:</t>
  </si>
  <si>
    <t>tubo ESG 75mm:</t>
  </si>
  <si>
    <t>Tubo ESG 100mm:</t>
  </si>
  <si>
    <t>prumada e vent. 50mm:</t>
  </si>
  <si>
    <t>prumada e vent. 75mm:</t>
  </si>
  <si>
    <t>prumada e vent. 100mm:</t>
  </si>
  <si>
    <t>abertura piso  granito</t>
  </si>
  <si>
    <t>abertura concreto:</t>
  </si>
  <si>
    <t>ponto esgoto 40mm:</t>
  </si>
  <si>
    <t>ponto esgoto 50mm:</t>
  </si>
  <si>
    <t>ponto esgoto 100mm:</t>
  </si>
  <si>
    <t>bancada granito:</t>
  </si>
  <si>
    <t>cuba louça:</t>
  </si>
  <si>
    <t>cuba inox:</t>
  </si>
  <si>
    <t>torneira acessível pia:</t>
  </si>
  <si>
    <t>torneira acessível banh:</t>
  </si>
  <si>
    <t>mictorio:</t>
  </si>
  <si>
    <t>lavatorio acessivel:</t>
  </si>
  <si>
    <t>lavatorio:</t>
  </si>
  <si>
    <t>bacia sanitaria:</t>
  </si>
  <si>
    <t>bacia acessível:</t>
  </si>
  <si>
    <t>chuveiro:</t>
  </si>
  <si>
    <t>chuveiro acess:</t>
  </si>
  <si>
    <t>tanque:</t>
  </si>
  <si>
    <t>fraldario:</t>
  </si>
  <si>
    <t>espelho:</t>
  </si>
  <si>
    <t>porta-objetos:</t>
  </si>
  <si>
    <t>grama</t>
  </si>
  <si>
    <t>corte no gradil para mureta:</t>
  </si>
  <si>
    <t>mureta h=0.15m</t>
  </si>
  <si>
    <t>mureta h=1.10m</t>
  </si>
  <si>
    <t>portão externo (2.00x2.10)</t>
  </si>
  <si>
    <t>tubo AF 75mm</t>
  </si>
  <si>
    <t>portão metál. (0.80x1.10):</t>
  </si>
  <si>
    <t>remoção e recolocação telhas:</t>
  </si>
  <si>
    <t>piso entrada e rampas:</t>
  </si>
  <si>
    <t>registro 3':</t>
  </si>
  <si>
    <t xml:space="preserve">pintura muretas: </t>
  </si>
  <si>
    <t>ACESSIBILIDADE</t>
  </si>
  <si>
    <t>piso tátil vinílica de alerta:</t>
  </si>
  <si>
    <t>piso tátil vinílica direcional:</t>
  </si>
  <si>
    <t xml:space="preserve">   </t>
  </si>
  <si>
    <t>fita direcional fila:</t>
  </si>
  <si>
    <t>sinalização degrau:</t>
  </si>
  <si>
    <t>cj</t>
  </si>
  <si>
    <t>sinalização corrimão:</t>
  </si>
  <si>
    <t>chapa metálica porta:</t>
  </si>
  <si>
    <t>barra 400mm</t>
  </si>
  <si>
    <t>barra 500mm</t>
  </si>
  <si>
    <t>barra 600mm</t>
  </si>
  <si>
    <t>barra 700mm</t>
  </si>
  <si>
    <t>barra 800mm</t>
  </si>
  <si>
    <t>barra de apoio:</t>
  </si>
  <si>
    <t>banco articulado:</t>
  </si>
  <si>
    <t>corrimão escada (parede):</t>
  </si>
  <si>
    <t xml:space="preserve">m </t>
  </si>
  <si>
    <t>alarme de emergencia:</t>
  </si>
  <si>
    <t>corr. esc. lateral (com gp):</t>
  </si>
  <si>
    <t>corr. esc. central:</t>
  </si>
  <si>
    <t>corrim.rampa:</t>
  </si>
  <si>
    <t>piso tátil hidraulico alerta:</t>
  </si>
  <si>
    <t>piso tátil hidraulico direcional:</t>
  </si>
  <si>
    <t>pintura vagas:</t>
  </si>
  <si>
    <t>SINALIZAÇÃO:</t>
  </si>
  <si>
    <t>MHE:</t>
  </si>
  <si>
    <t>MVE5:</t>
  </si>
  <si>
    <t>NUMLOG:</t>
  </si>
  <si>
    <t>AEHA:</t>
  </si>
  <si>
    <t>SIA ACM:</t>
  </si>
  <si>
    <t>PSID:</t>
  </si>
  <si>
    <t>FEITO EM ACESS</t>
  </si>
  <si>
    <t>FPC01</t>
  </si>
  <si>
    <t>"acesso pela rua lopes..."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</si>
</sst>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2" fontId="1" fillId="0" borderId="0" xfId="0" applyNumberFormat="1" applyFont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8"/>
  <sheetViews>
    <sheetView tabSelected="1" topLeftCell="A180" workbookViewId="0">
      <selection activeCell="G169" sqref="G169:I200"/>
    </sheetView>
  </sheetViews>
  <sheetFormatPr defaultRowHeight="15"/>
  <cols>
    <col min="1" max="1" width="23.5703125" customWidth="1"/>
    <col min="2" max="2" width="9.28515625" bestFit="1" customWidth="1"/>
    <col min="7" max="7" width="23.7109375" customWidth="1"/>
    <col min="13" max="13" width="25.28515625" customWidth="1"/>
    <col min="19" max="19" width="27.140625" customWidth="1"/>
  </cols>
  <sheetData>
    <row r="1" spans="1:19">
      <c r="A1" t="s">
        <v>0</v>
      </c>
    </row>
    <row r="3" spans="1:19">
      <c r="A3" s="3" t="s">
        <v>1</v>
      </c>
    </row>
    <row r="5" spans="1:19">
      <c r="A5" s="4" t="s">
        <v>2</v>
      </c>
      <c r="G5" s="4" t="s">
        <v>3</v>
      </c>
      <c r="M5" s="4" t="s">
        <v>4</v>
      </c>
      <c r="S5" t="s">
        <v>5</v>
      </c>
    </row>
    <row r="7" spans="1:19">
      <c r="A7" s="2" t="s">
        <v>6</v>
      </c>
      <c r="B7" s="1">
        <f>3.2*((0.25*(7.44+3.05))+0.5*2.88+0.15*(6+6.1)+5.66*2)</f>
        <v>55.031999999999996</v>
      </c>
      <c r="C7" t="s">
        <v>7</v>
      </c>
      <c r="G7" s="2" t="s">
        <v>6</v>
      </c>
      <c r="H7" s="1">
        <f>3.2*(0.25*(1.06+2.91+2.95)+0.15*(3.27+2.12+2.11+1.08+6.32+5.66))</f>
        <v>15.404800000000002</v>
      </c>
      <c r="I7" t="s">
        <v>8</v>
      </c>
      <c r="M7" s="2" t="s">
        <v>6</v>
      </c>
      <c r="N7" s="1">
        <f>3.2*(0.15*(4.11+2*1.02)+0.25*(2*0.92+2.64+0.7*2+1.18*2))</f>
        <v>9.5440000000000005</v>
      </c>
      <c r="O7" t="s">
        <v>8</v>
      </c>
      <c r="S7" t="s">
        <v>6</v>
      </c>
    </row>
    <row r="8" spans="1:19">
      <c r="A8" s="2" t="s">
        <v>9</v>
      </c>
      <c r="B8" s="1">
        <f>0.25*12*2.1</f>
        <v>6.3000000000000007</v>
      </c>
      <c r="C8" t="s">
        <v>8</v>
      </c>
      <c r="G8" s="2" t="s">
        <v>9</v>
      </c>
      <c r="H8">
        <v>0</v>
      </c>
      <c r="M8" s="2" t="s">
        <v>9</v>
      </c>
      <c r="N8">
        <v>0</v>
      </c>
      <c r="S8" t="s">
        <v>9</v>
      </c>
    </row>
    <row r="9" spans="1:19">
      <c r="A9" s="2" t="s">
        <v>10</v>
      </c>
      <c r="B9" s="1">
        <f>(7.83+5.83+6.02+2.56+5.31+4.39+3.02+5.44+5.57+2+4.23*2+6.1+2.45*2+8.11*2+7.21+6.02+6.08+6.05)*3.2</f>
        <v>348.83199999999999</v>
      </c>
      <c r="C9" t="s">
        <v>8</v>
      </c>
      <c r="G9" s="2" t="s">
        <v>10</v>
      </c>
      <c r="H9" s="1">
        <f>2.1*(6.18*2+6.13+6.93+7.11+3.37+3.49+3.19+2.72+6.94+7.31+7.58+7.81+3.2+3.3+3.67+12.56)</f>
        <v>205.107</v>
      </c>
      <c r="I9" t="s">
        <v>8</v>
      </c>
      <c r="M9" s="2" t="s">
        <v>10</v>
      </c>
      <c r="N9" s="1">
        <f>2.1*(2.3+2.4+8.31+8.53+0.82+1.33+3.36+6.07+6.22+5.66+11.02+4.3*2+8.78+8.11*2)</f>
        <v>188.202</v>
      </c>
      <c r="O9" t="s">
        <v>8</v>
      </c>
      <c r="S9" t="s">
        <v>10</v>
      </c>
    </row>
    <row r="10" spans="1:19">
      <c r="A10" s="2" t="s">
        <v>11</v>
      </c>
      <c r="B10" s="1">
        <f>621.167+733.7</f>
        <v>1354.8670000000002</v>
      </c>
      <c r="C10" t="s">
        <v>8</v>
      </c>
      <c r="G10" s="2" t="s">
        <v>11</v>
      </c>
      <c r="H10">
        <v>621.16999999999996</v>
      </c>
      <c r="I10" t="s">
        <v>8</v>
      </c>
      <c r="M10" s="2" t="s">
        <v>11</v>
      </c>
      <c r="N10">
        <v>0</v>
      </c>
      <c r="S10" t="s">
        <v>11</v>
      </c>
    </row>
    <row r="11" spans="1:19">
      <c r="A11" s="2" t="s">
        <v>12</v>
      </c>
      <c r="B11">
        <v>10</v>
      </c>
      <c r="C11" t="s">
        <v>8</v>
      </c>
      <c r="G11" s="2" t="s">
        <v>12</v>
      </c>
      <c r="H11">
        <v>10</v>
      </c>
      <c r="I11" t="s">
        <v>8</v>
      </c>
      <c r="M11" s="2" t="s">
        <v>12</v>
      </c>
      <c r="N11" s="1">
        <f>621.167+733.7</f>
        <v>1354.8670000000002</v>
      </c>
      <c r="O11" t="s">
        <v>8</v>
      </c>
      <c r="S11" t="s">
        <v>12</v>
      </c>
    </row>
    <row r="12" spans="1:19">
      <c r="A12" s="2" t="s">
        <v>13</v>
      </c>
      <c r="B12">
        <v>5</v>
      </c>
      <c r="C12" t="s">
        <v>14</v>
      </c>
      <c r="G12" s="2" t="s">
        <v>13</v>
      </c>
      <c r="H12">
        <v>1</v>
      </c>
      <c r="I12" t="s">
        <v>14</v>
      </c>
      <c r="M12" s="2" t="s">
        <v>13</v>
      </c>
      <c r="N12">
        <v>4</v>
      </c>
      <c r="S12" t="s">
        <v>13</v>
      </c>
    </row>
    <row r="13" spans="1:19">
      <c r="A13" s="2" t="s">
        <v>15</v>
      </c>
      <c r="B13">
        <v>0</v>
      </c>
      <c r="G13" s="2" t="s">
        <v>15</v>
      </c>
      <c r="H13">
        <v>14</v>
      </c>
      <c r="I13" t="s">
        <v>14</v>
      </c>
      <c r="M13" s="2" t="s">
        <v>15</v>
      </c>
      <c r="N13">
        <v>14</v>
      </c>
    </row>
    <row r="14" spans="1:19">
      <c r="A14" s="2" t="s">
        <v>16</v>
      </c>
      <c r="B14">
        <v>13</v>
      </c>
      <c r="C14" t="s">
        <v>14</v>
      </c>
      <c r="G14" s="2" t="s">
        <v>16</v>
      </c>
      <c r="H14">
        <v>0</v>
      </c>
      <c r="M14" s="2" t="s">
        <v>16</v>
      </c>
      <c r="N14">
        <v>3</v>
      </c>
      <c r="S14" t="s">
        <v>16</v>
      </c>
    </row>
    <row r="15" spans="1:19">
      <c r="A15" s="2" t="s">
        <v>17</v>
      </c>
      <c r="B15">
        <v>2</v>
      </c>
      <c r="C15" t="s">
        <v>14</v>
      </c>
      <c r="G15" s="2" t="s">
        <v>17</v>
      </c>
      <c r="H15">
        <v>0</v>
      </c>
      <c r="M15" s="2" t="s">
        <v>17</v>
      </c>
      <c r="N15">
        <v>0</v>
      </c>
      <c r="S15" t="s">
        <v>17</v>
      </c>
    </row>
    <row r="16" spans="1:19">
      <c r="A16" s="2" t="s">
        <v>18</v>
      </c>
      <c r="B16">
        <v>15</v>
      </c>
      <c r="C16" t="s">
        <v>14</v>
      </c>
      <c r="G16" s="2" t="s">
        <v>18</v>
      </c>
      <c r="H16">
        <v>15</v>
      </c>
      <c r="I16" t="s">
        <v>14</v>
      </c>
      <c r="M16" s="2" t="s">
        <v>18</v>
      </c>
      <c r="N16">
        <v>18</v>
      </c>
      <c r="S16" t="s">
        <v>18</v>
      </c>
    </row>
    <row r="17" spans="1:19">
      <c r="A17" s="2" t="s">
        <v>19</v>
      </c>
      <c r="B17">
        <f>1.45+3*1.12</f>
        <v>4.8100000000000005</v>
      </c>
      <c r="C17" t="s">
        <v>8</v>
      </c>
      <c r="G17" s="2" t="s">
        <v>19</v>
      </c>
      <c r="H17">
        <v>0</v>
      </c>
      <c r="M17" s="2" t="s">
        <v>19</v>
      </c>
      <c r="N17">
        <f>1.26+2.99+1.26</f>
        <v>5.51</v>
      </c>
      <c r="O17" t="s">
        <v>8</v>
      </c>
      <c r="S17" t="s">
        <v>19</v>
      </c>
    </row>
    <row r="18" spans="1:19">
      <c r="A18" s="2" t="s">
        <v>20</v>
      </c>
      <c r="B18">
        <v>0</v>
      </c>
      <c r="G18" s="2" t="s">
        <v>20</v>
      </c>
      <c r="H18">
        <v>4</v>
      </c>
      <c r="I18" t="s">
        <v>14</v>
      </c>
      <c r="M18" s="2" t="s">
        <v>20</v>
      </c>
      <c r="N18">
        <v>6</v>
      </c>
    </row>
    <row r="19" spans="1:19">
      <c r="A19" s="2" t="s">
        <v>21</v>
      </c>
      <c r="B19">
        <f>((1.34+1.06)*2.1)*14</f>
        <v>70.560000000000016</v>
      </c>
      <c r="C19" t="s">
        <v>8</v>
      </c>
      <c r="G19" s="2" t="s">
        <v>21</v>
      </c>
      <c r="H19">
        <f>((1.34+1.06)*2.1)*14</f>
        <v>70.560000000000016</v>
      </c>
      <c r="I19" t="s">
        <v>8</v>
      </c>
      <c r="M19" s="2" t="s">
        <v>21</v>
      </c>
      <c r="N19">
        <f>((1.34+1.06)*2.1)*14+10*2.1*(1.11+1)</f>
        <v>114.87000000000003</v>
      </c>
      <c r="O19" t="s">
        <v>8</v>
      </c>
      <c r="S19" t="s">
        <v>21</v>
      </c>
    </row>
    <row r="20" spans="1:19">
      <c r="A20" s="2" t="s">
        <v>22</v>
      </c>
      <c r="B20">
        <f>1.9+2.84+2.03</f>
        <v>6.77</v>
      </c>
      <c r="C20" t="s">
        <v>23</v>
      </c>
      <c r="G20" s="2" t="s">
        <v>22</v>
      </c>
      <c r="H20">
        <f>2.3+2.84*2+2.03</f>
        <v>10.01</v>
      </c>
      <c r="I20" t="s">
        <v>23</v>
      </c>
      <c r="M20" s="2" t="s">
        <v>22</v>
      </c>
      <c r="N20">
        <f>2.3+2.84*2+2.03</f>
        <v>10.01</v>
      </c>
      <c r="O20" t="s">
        <v>23</v>
      </c>
      <c r="S20" t="s">
        <v>22</v>
      </c>
    </row>
    <row r="21" spans="1:19">
      <c r="A21" s="2" t="s">
        <v>24</v>
      </c>
      <c r="B21" s="1">
        <f>7.07*2.1</f>
        <v>14.847000000000001</v>
      </c>
      <c r="C21" t="s">
        <v>8</v>
      </c>
      <c r="G21" s="2" t="s">
        <v>24</v>
      </c>
      <c r="H21">
        <v>0</v>
      </c>
      <c r="M21" s="2" t="s">
        <v>24</v>
      </c>
      <c r="N21">
        <v>0</v>
      </c>
      <c r="S21" t="s">
        <v>24</v>
      </c>
    </row>
    <row r="22" spans="1:19">
      <c r="A22" s="2" t="s">
        <v>25</v>
      </c>
      <c r="B22">
        <v>5</v>
      </c>
      <c r="C22" t="s">
        <v>14</v>
      </c>
      <c r="G22" s="2" t="s">
        <v>26</v>
      </c>
      <c r="H22">
        <v>6</v>
      </c>
      <c r="M22" s="2" t="s">
        <v>26</v>
      </c>
      <c r="N22">
        <v>19</v>
      </c>
      <c r="S22" t="s">
        <v>26</v>
      </c>
    </row>
    <row r="23" spans="1:19">
      <c r="A23" t="s">
        <v>27</v>
      </c>
      <c r="G23" t="s">
        <v>27</v>
      </c>
      <c r="M23" t="s">
        <v>27</v>
      </c>
      <c r="S23" t="s">
        <v>27</v>
      </c>
    </row>
    <row r="24" spans="1:19">
      <c r="A24" t="s">
        <v>28</v>
      </c>
      <c r="G24" t="s">
        <v>29</v>
      </c>
      <c r="M24" t="s">
        <v>29</v>
      </c>
      <c r="N24" s="1"/>
      <c r="S24" t="s">
        <v>29</v>
      </c>
    </row>
    <row r="25" spans="1:19">
      <c r="A25" s="2" t="s">
        <v>30</v>
      </c>
      <c r="B25">
        <v>0</v>
      </c>
      <c r="G25" s="2" t="s">
        <v>30</v>
      </c>
      <c r="H25">
        <v>743.25</v>
      </c>
      <c r="I25" t="s">
        <v>8</v>
      </c>
      <c r="M25" s="2" t="s">
        <v>30</v>
      </c>
      <c r="N25" s="1">
        <f>621.167+733.7-103.86</f>
        <v>1251.0070000000003</v>
      </c>
      <c r="O25" t="s">
        <v>8</v>
      </c>
      <c r="S25" t="s">
        <v>30</v>
      </c>
    </row>
    <row r="26" spans="1:19">
      <c r="A26" s="2" t="s">
        <v>31</v>
      </c>
      <c r="B26">
        <f>15.26+15.92+12.41+14.29+5.51</f>
        <v>63.39</v>
      </c>
      <c r="C26" t="s">
        <v>8</v>
      </c>
      <c r="G26" s="2" t="s">
        <v>31</v>
      </c>
      <c r="H26">
        <f>15.26+15.92+12.41+14.29</f>
        <v>57.88</v>
      </c>
      <c r="I26" t="s">
        <v>8</v>
      </c>
      <c r="M26" s="2" t="s">
        <v>31</v>
      </c>
      <c r="N26">
        <v>103.86</v>
      </c>
      <c r="O26" t="s">
        <v>8</v>
      </c>
      <c r="S26" t="s">
        <v>31</v>
      </c>
    </row>
    <row r="27" spans="1:19">
      <c r="A27" s="2" t="s">
        <v>32</v>
      </c>
      <c r="B27" s="1">
        <f>(5.03+5.05*5+2.99*2+2.83*2+4.05*2+3.02*2+3.15*2)*3.2</f>
        <v>199.55200000000002</v>
      </c>
      <c r="C27" t="s">
        <v>8</v>
      </c>
      <c r="G27" s="2" t="s">
        <v>32</v>
      </c>
      <c r="H27" s="1">
        <f>(5.03+5.05*5+2.99*2+2.83*2+4.05*2+3.02*2+3.15*2)*3.2</f>
        <v>199.55200000000002</v>
      </c>
      <c r="I27" t="s">
        <v>8</v>
      </c>
      <c r="M27" s="2" t="s">
        <v>32</v>
      </c>
      <c r="N27" s="1">
        <f>(5.03+5.05*5+2.99*2+2.83*2+4.05*2+3.02*2+3.15*2)*3.2+2.5*(2.1+2.19+2.11*2+1.25*2+1.8*2+2*2.11+2.37+2.75+1.86*2+2.1*2+1.75*2+2.09*2)</f>
        <v>298.42700000000002</v>
      </c>
      <c r="O27" t="s">
        <v>8</v>
      </c>
      <c r="S27" t="s">
        <v>32</v>
      </c>
    </row>
    <row r="28" spans="1:19">
      <c r="A28" s="2"/>
      <c r="B28" s="1"/>
      <c r="G28" s="2"/>
      <c r="H28" s="1"/>
      <c r="M28" s="2" t="s">
        <v>33</v>
      </c>
      <c r="N28" s="1">
        <f>3*0.8*2.1</f>
        <v>5.0400000000000009</v>
      </c>
      <c r="O28" t="s">
        <v>8</v>
      </c>
    </row>
    <row r="32" spans="1:19">
      <c r="A32" s="4" t="s">
        <v>34</v>
      </c>
    </row>
    <row r="34" spans="1:7">
      <c r="A34" s="2" t="s">
        <v>35</v>
      </c>
      <c r="B34">
        <v>13</v>
      </c>
      <c r="C34" t="s">
        <v>14</v>
      </c>
      <c r="F34" t="s">
        <v>36</v>
      </c>
      <c r="G34" s="1">
        <f>1.5*(B7+B8*0.15+B9*0.035+B10*0.015+B11*0.015+B19*0.015+B21*0.015+H7+H9*0.035+H10*0.015+H11*0.015+B26*0.015+B27*0.015+H19*0.015+H25*0.015+H26*0.015+H27*0.015+N7+N9*0.035+N11*0.015+N17*0.015+N19*0.015+N22*0.01+N25*0.01+N26*0.01+N27*0.01+N27*0.01)+50</f>
        <v>349.9566050000002</v>
      </c>
    </row>
    <row r="35" spans="1:7">
      <c r="A35" s="2" t="s">
        <v>37</v>
      </c>
      <c r="B35">
        <v>3</v>
      </c>
      <c r="C35" t="s">
        <v>14</v>
      </c>
    </row>
    <row r="36" spans="1:7">
      <c r="A36" s="2" t="s">
        <v>38</v>
      </c>
      <c r="B36" s="1">
        <f>(8.37+2.02+3.24)*2.1</f>
        <v>28.622999999999998</v>
      </c>
      <c r="C36" t="s">
        <v>8</v>
      </c>
    </row>
    <row r="37" spans="1:7">
      <c r="A37" s="2" t="s">
        <v>39</v>
      </c>
      <c r="B37">
        <v>13</v>
      </c>
      <c r="C37" t="s">
        <v>14</v>
      </c>
    </row>
    <row r="38" spans="1:7">
      <c r="A38" s="2" t="s">
        <v>40</v>
      </c>
      <c r="B38" s="1">
        <f>0.15*0.15*(3.23+3.35+10.57)</f>
        <v>0.38587499999999997</v>
      </c>
      <c r="C38" t="s">
        <v>7</v>
      </c>
    </row>
    <row r="39" spans="1:7">
      <c r="A39" s="2" t="s">
        <v>41</v>
      </c>
      <c r="B39" s="1">
        <f>0.5*3*0.5</f>
        <v>0.75</v>
      </c>
      <c r="C39" t="s">
        <v>7</v>
      </c>
    </row>
    <row r="40" spans="1:7">
      <c r="A40" s="2" t="s">
        <v>42</v>
      </c>
      <c r="B40">
        <v>3</v>
      </c>
      <c r="C40" t="s">
        <v>14</v>
      </c>
    </row>
    <row r="41" spans="1:7">
      <c r="A41" s="2" t="s">
        <v>15</v>
      </c>
      <c r="B41">
        <v>5</v>
      </c>
      <c r="C41" t="s">
        <v>14</v>
      </c>
    </row>
    <row r="42" spans="1:7">
      <c r="A42" s="2" t="s">
        <v>43</v>
      </c>
      <c r="B42">
        <f>19.5+3.5</f>
        <v>23</v>
      </c>
      <c r="C42" t="s">
        <v>23</v>
      </c>
    </row>
    <row r="43" spans="1:7">
      <c r="A43" s="2" t="s">
        <v>44</v>
      </c>
      <c r="B43">
        <v>1</v>
      </c>
      <c r="C43" t="s">
        <v>14</v>
      </c>
    </row>
    <row r="44" spans="1:7">
      <c r="A44" s="2" t="s">
        <v>45</v>
      </c>
      <c r="B44">
        <v>7.14</v>
      </c>
      <c r="C44" t="s">
        <v>23</v>
      </c>
    </row>
    <row r="45" spans="1:7">
      <c r="A45" s="2" t="s">
        <v>46</v>
      </c>
      <c r="B45">
        <f>53.89+40.35</f>
        <v>94.240000000000009</v>
      </c>
      <c r="C45" t="s">
        <v>8</v>
      </c>
    </row>
    <row r="46" spans="1:7">
      <c r="A46" s="2" t="s">
        <v>47</v>
      </c>
      <c r="B46">
        <v>523.32000000000005</v>
      </c>
      <c r="C46" t="s">
        <v>8</v>
      </c>
    </row>
    <row r="48" spans="1:7">
      <c r="A48" s="3" t="s">
        <v>48</v>
      </c>
    </row>
    <row r="50" spans="1:15">
      <c r="A50" s="4" t="s">
        <v>2</v>
      </c>
      <c r="G50" s="4" t="s">
        <v>3</v>
      </c>
      <c r="M50" s="4" t="s">
        <v>4</v>
      </c>
    </row>
    <row r="52" spans="1:15">
      <c r="A52" s="2" t="s">
        <v>49</v>
      </c>
      <c r="B52" s="1">
        <f>3.5*(2.6+2.4+4.51+2.9+5.92+5.95)</f>
        <v>84.97999999999999</v>
      </c>
      <c r="C52" t="s">
        <v>8</v>
      </c>
      <c r="G52" s="2" t="s">
        <v>49</v>
      </c>
      <c r="H52" s="1">
        <f>3.5*(2.9+2.05+5.12+5.93)</f>
        <v>56</v>
      </c>
      <c r="I52" t="s">
        <v>8</v>
      </c>
      <c r="M52" s="2" t="s">
        <v>49</v>
      </c>
      <c r="N52" s="1">
        <f>3.5*(15.12+1.79+4.27+4.09+1.05+0.88)</f>
        <v>95.2</v>
      </c>
      <c r="O52" t="s">
        <v>8</v>
      </c>
    </row>
    <row r="53" spans="1:15">
      <c r="A53" s="2" t="s">
        <v>50</v>
      </c>
      <c r="B53" s="1">
        <f>3.5*(2.9+3.29)</f>
        <v>21.664999999999999</v>
      </c>
      <c r="C53" t="s">
        <v>8</v>
      </c>
      <c r="G53" s="2" t="s">
        <v>50</v>
      </c>
      <c r="H53" s="1">
        <f>3.5*3.27</f>
        <v>11.445</v>
      </c>
      <c r="I53" t="s">
        <v>8</v>
      </c>
      <c r="M53" s="2" t="s">
        <v>50</v>
      </c>
      <c r="N53" s="1"/>
    </row>
    <row r="54" spans="1:15">
      <c r="A54" s="2" t="s">
        <v>51</v>
      </c>
      <c r="B54" s="1">
        <f>3.5*(2.71+3.15)+3.5*1.5</f>
        <v>25.759999999999998</v>
      </c>
      <c r="C54" t="s">
        <v>8</v>
      </c>
      <c r="G54" s="2" t="s">
        <v>51</v>
      </c>
      <c r="H54" s="1">
        <f>3.5*6.02</f>
        <v>21.07</v>
      </c>
      <c r="I54" t="s">
        <v>8</v>
      </c>
      <c r="M54" s="2" t="s">
        <v>51</v>
      </c>
      <c r="N54" s="1">
        <f>3.5*0.8</f>
        <v>2.8000000000000003</v>
      </c>
      <c r="O54" t="s">
        <v>8</v>
      </c>
    </row>
    <row r="55" spans="1:15">
      <c r="A55" s="2" t="s">
        <v>52</v>
      </c>
      <c r="B55" s="1">
        <f>8.11+2.88+8.1*2</f>
        <v>27.189999999999998</v>
      </c>
      <c r="C55" t="s">
        <v>8</v>
      </c>
      <c r="G55" s="2" t="s">
        <v>52</v>
      </c>
      <c r="H55" s="1"/>
      <c r="M55" s="2" t="s">
        <v>52</v>
      </c>
      <c r="N55" s="1"/>
    </row>
    <row r="56" spans="1:15">
      <c r="A56" s="2" t="s">
        <v>53</v>
      </c>
      <c r="B56" s="1">
        <f>3.5*(2+2.28+1.05+1*2+1.81+1.52+1.98*2)</f>
        <v>51.169999999999987</v>
      </c>
      <c r="C56" t="s">
        <v>8</v>
      </c>
      <c r="G56" s="2" t="s">
        <v>53</v>
      </c>
      <c r="H56" s="1">
        <f>3.5*(4.25+8*1+2*2+8.09)</f>
        <v>85.19</v>
      </c>
      <c r="I56" t="s">
        <v>8</v>
      </c>
      <c r="M56" s="2" t="s">
        <v>53</v>
      </c>
      <c r="N56" s="1">
        <f>3.5*(2*4.25+8*1+2*2)</f>
        <v>71.75</v>
      </c>
      <c r="O56" t="s">
        <v>8</v>
      </c>
    </row>
    <row r="57" spans="1:15">
      <c r="A57" s="2" t="s">
        <v>54</v>
      </c>
      <c r="B57" s="1">
        <f>3.5*((2+2.28+1.05+1*2+1.81+1.52+1.98*2)*2+(5.03+5.05*5+2.99*2+2.83*2+4.05*2+3.02*2+3.15*2)*2.1+2.1*(5.95*2+3.15+2.05*2+2.93*2)+(0.15*(2.6+2.4+4.51+2.9+5.92+5.95)+0.34*(1.5)+0.2*(2.71+3.15)+0.17*(2.9+3.29))*2)</f>
        <v>789.14360000000011</v>
      </c>
      <c r="C57" t="s">
        <v>8</v>
      </c>
      <c r="G57" s="2" t="s">
        <v>54</v>
      </c>
      <c r="H57" s="1">
        <f>H58+H59</f>
        <v>369.26319999999993</v>
      </c>
      <c r="I57" t="s">
        <v>8</v>
      </c>
      <c r="M57" s="2" t="s">
        <v>54</v>
      </c>
      <c r="N57" s="1">
        <f>N58+N59</f>
        <v>611.24220000000003</v>
      </c>
      <c r="O57" t="s">
        <v>8</v>
      </c>
    </row>
    <row r="58" spans="1:15">
      <c r="A58" s="2" t="s">
        <v>55</v>
      </c>
      <c r="B58" s="5">
        <f>(5.03+5.05*5+2.99*2+2.83*2+4.05*2+3.02*2+3.15*2)*2.1+2.1*(5.95*2+3.15+2.05*2+2.93*2)</f>
        <v>183.47700000000003</v>
      </c>
      <c r="C58" t="s">
        <v>8</v>
      </c>
      <c r="G58" s="2" t="s">
        <v>55</v>
      </c>
      <c r="H58" s="5">
        <f>H60</f>
        <v>282.04799999999994</v>
      </c>
      <c r="I58" t="s">
        <v>8</v>
      </c>
      <c r="M58" s="2" t="s">
        <v>55</v>
      </c>
      <c r="N58" s="5">
        <f>N60</f>
        <v>524.02700000000004</v>
      </c>
      <c r="O58" t="s">
        <v>8</v>
      </c>
    </row>
    <row r="59" spans="1:15">
      <c r="A59" s="2" t="s">
        <v>56</v>
      </c>
      <c r="B59" s="1">
        <f>B57-B58</f>
        <v>605.66660000000002</v>
      </c>
      <c r="C59" t="s">
        <v>8</v>
      </c>
      <c r="G59" s="2" t="s">
        <v>56</v>
      </c>
      <c r="H59" s="1">
        <f>3.28*(2*(5.12+2.71)+6.45+2.2+2.28)</f>
        <v>87.215199999999996</v>
      </c>
      <c r="I59" t="s">
        <v>8</v>
      </c>
      <c r="M59" s="2" t="s">
        <v>56</v>
      </c>
      <c r="N59" s="1">
        <f>3.28*(2*(5.12+2.71)+6.45+2.2+2.28)</f>
        <v>87.215199999999996</v>
      </c>
      <c r="O59" t="s">
        <v>8</v>
      </c>
    </row>
    <row r="60" spans="1:15">
      <c r="A60" s="2" t="s">
        <v>32</v>
      </c>
      <c r="B60" s="5">
        <f>(5.03+5.05*5+2.99*2+2.83*2+4.05*2+3.02*2+3.15*2)*2.1+2.1*(5.95*2+3.15+2.05*2+2.93*2)</f>
        <v>183.47700000000003</v>
      </c>
      <c r="C60" t="s">
        <v>8</v>
      </c>
      <c r="G60" s="2" t="s">
        <v>32</v>
      </c>
      <c r="H60" s="5">
        <f>3.2*(4*(5.05+2.83)+4*(3.13+4.05)+2*(2.85+2.05)+2*(3.12+5.93))</f>
        <v>282.04799999999994</v>
      </c>
      <c r="I60" t="s">
        <v>8</v>
      </c>
      <c r="M60" s="2" t="s">
        <v>32</v>
      </c>
      <c r="N60" s="5">
        <f>3.2*(4*(5.05+2.83)+4*(3.13+4.05)+2*(2.85+2.05)+2*(3.12+5.93)+2*(3.6+4.13)+2*(3.11+4.09)+2*(3.34+4.09))+2.5*(2.1+2.19+2.11*2+1.25*2+1.8*2+2*2.11+2.37+2.75+1.86*2+2.1*2+1.75*2+2.09*2)</f>
        <v>524.02700000000004</v>
      </c>
      <c r="O60" t="s">
        <v>8</v>
      </c>
    </row>
    <row r="61" spans="1:15">
      <c r="A61" s="2" t="s">
        <v>31</v>
      </c>
      <c r="B61" s="1">
        <f>15.26+15.92+12.41+14.29+5.51</f>
        <v>63.39</v>
      </c>
      <c r="C61" t="s">
        <v>8</v>
      </c>
      <c r="G61" s="2" t="s">
        <v>31</v>
      </c>
      <c r="H61" s="1">
        <f>2*(14.69+12.44)+5.89+19.27</f>
        <v>79.42</v>
      </c>
      <c r="I61" t="s">
        <v>8</v>
      </c>
      <c r="M61" s="2" t="s">
        <v>31</v>
      </c>
      <c r="N61" s="1">
        <f>2*(14.69+12.44)+5.89+17.17+103.83</f>
        <v>181.14999999999998</v>
      </c>
      <c r="O61" t="s">
        <v>8</v>
      </c>
    </row>
    <row r="62" spans="1:15">
      <c r="A62" s="2" t="s">
        <v>57</v>
      </c>
      <c r="B62" s="1">
        <f>(13.95*4+6.88*29+B59+16*0.54*0.49+10)*3.2</f>
        <v>2800.7046399999999</v>
      </c>
      <c r="C62" t="s">
        <v>8</v>
      </c>
      <c r="G62" s="2" t="s">
        <v>57</v>
      </c>
      <c r="H62" s="1">
        <f>3.2*(5.81*30+13.92*2+16.7*4+2*(5.12+2.71)+6.45+2.2+2.28)</f>
        <v>945.69599999999991</v>
      </c>
      <c r="I62" t="s">
        <v>8</v>
      </c>
      <c r="M62" s="2" t="s">
        <v>57</v>
      </c>
      <c r="N62" s="1">
        <f>3.2*(5.81*30+13.92*2+16.7*4+2*(5.12+2.71)+6.45+2.2+2.28)</f>
        <v>945.69599999999991</v>
      </c>
      <c r="O62" t="s">
        <v>8</v>
      </c>
    </row>
    <row r="63" spans="1:15">
      <c r="A63" s="2" t="s">
        <v>58</v>
      </c>
      <c r="B63">
        <v>2</v>
      </c>
      <c r="C63" t="s">
        <v>14</v>
      </c>
      <c r="G63" s="2" t="s">
        <v>58</v>
      </c>
      <c r="H63">
        <v>1</v>
      </c>
      <c r="I63" t="s">
        <v>14</v>
      </c>
      <c r="M63" s="2" t="s">
        <v>58</v>
      </c>
      <c r="N63">
        <v>1</v>
      </c>
      <c r="O63" t="s">
        <v>14</v>
      </c>
    </row>
    <row r="64" spans="1:15">
      <c r="A64" s="2" t="s">
        <v>59</v>
      </c>
      <c r="B64">
        <v>8</v>
      </c>
      <c r="C64" t="s">
        <v>14</v>
      </c>
      <c r="G64" s="2" t="s">
        <v>59</v>
      </c>
      <c r="H64">
        <v>6</v>
      </c>
      <c r="I64" t="s">
        <v>14</v>
      </c>
      <c r="M64" s="2" t="s">
        <v>59</v>
      </c>
      <c r="N64">
        <v>6</v>
      </c>
      <c r="O64" t="s">
        <v>14</v>
      </c>
    </row>
    <row r="65" spans="1:17">
      <c r="A65" s="2" t="s">
        <v>60</v>
      </c>
      <c r="B65">
        <v>5</v>
      </c>
      <c r="C65" t="s">
        <v>14</v>
      </c>
      <c r="G65" s="2" t="s">
        <v>60</v>
      </c>
      <c r="H65">
        <v>5</v>
      </c>
      <c r="I65" t="s">
        <v>14</v>
      </c>
      <c r="M65" s="2" t="s">
        <v>60</v>
      </c>
      <c r="N65">
        <v>5</v>
      </c>
      <c r="O65" t="s">
        <v>14</v>
      </c>
    </row>
    <row r="66" spans="1:17">
      <c r="A66" s="2" t="s">
        <v>61</v>
      </c>
      <c r="B66" s="1">
        <f>10.85*2.1+5.98*3.15+6.12*3.15</f>
        <v>60.9</v>
      </c>
      <c r="C66" t="s">
        <v>8</v>
      </c>
      <c r="G66" s="2" t="s">
        <v>61</v>
      </c>
      <c r="H66" s="1"/>
      <c r="M66" s="2" t="s">
        <v>61</v>
      </c>
      <c r="N66" s="1"/>
    </row>
    <row r="67" spans="1:17">
      <c r="A67" s="2" t="s">
        <v>62</v>
      </c>
      <c r="B67" s="1">
        <f>10.85*2.1</f>
        <v>22.785</v>
      </c>
      <c r="C67" t="s">
        <v>8</v>
      </c>
      <c r="G67" s="2" t="s">
        <v>62</v>
      </c>
      <c r="H67" s="1"/>
      <c r="M67" s="2" t="s">
        <v>62</v>
      </c>
      <c r="N67" s="1"/>
    </row>
    <row r="68" spans="1:17">
      <c r="A68" s="2" t="s">
        <v>63</v>
      </c>
      <c r="B68">
        <f>(7.11+4.23+2.67+6.65+4.23+1.45+3.04+6.05+4.74+4.79+5.11+4.37+2.08+0.64+7+6.42+0.93+6.6+6.47+6.27+3.33+3.4+3.48+2.3+0.72+6.55+6.61+6.23+7.05+3.61+3.76+3.53+3.56+4.85+3.47+3.27+5.39+6.96+2.46+0.82+3.64+3.82+1.5+9.21+2.05+3.85+3.5+3.5+3.5+3.39+3.39+3.39+3.5+3.51+2.67+3.84+10.42+10.43+3.61+2.65+2.64+2.99+2.22+2.61+2.53+2.49+4.09+2.34+2.37+4.3+2.18+1.51+2.26)*3.2</f>
        <v>934.7199999999998</v>
      </c>
      <c r="C68" t="s">
        <v>8</v>
      </c>
      <c r="G68" s="2" t="s">
        <v>63</v>
      </c>
      <c r="H68" s="1">
        <f>3.2*(16.88+17.05+3.49+2.05)</f>
        <v>126.304</v>
      </c>
      <c r="I68" t="s">
        <v>8</v>
      </c>
      <c r="M68" s="2" t="s">
        <v>63</v>
      </c>
      <c r="N68" s="1">
        <f>3.2*(6.28+6.5+6.44+6.71+6.57+2*8.11)</f>
        <v>155.904</v>
      </c>
      <c r="O68" t="s">
        <v>8</v>
      </c>
    </row>
    <row r="69" spans="1:17">
      <c r="A69" s="2" t="s">
        <v>64</v>
      </c>
      <c r="B69" s="1">
        <f>2.1*(6.8+2.87)</f>
        <v>20.307000000000002</v>
      </c>
      <c r="C69" t="s">
        <v>8</v>
      </c>
      <c r="G69" s="2" t="s">
        <v>64</v>
      </c>
      <c r="M69" s="2" t="s">
        <v>64</v>
      </c>
    </row>
    <row r="70" spans="1:17">
      <c r="A70" s="2" t="s">
        <v>65</v>
      </c>
      <c r="B70" s="1">
        <v>48</v>
      </c>
      <c r="C70" t="s">
        <v>14</v>
      </c>
      <c r="G70" s="2" t="s">
        <v>65</v>
      </c>
      <c r="H70">
        <v>8</v>
      </c>
      <c r="I70" t="s">
        <v>14</v>
      </c>
      <c r="M70" s="2" t="s">
        <v>65</v>
      </c>
      <c r="N70">
        <v>10</v>
      </c>
      <c r="O70" t="s">
        <v>14</v>
      </c>
    </row>
    <row r="71" spans="1:17">
      <c r="A71" s="2" t="s">
        <v>66</v>
      </c>
      <c r="B71" s="1">
        <f>3.2*(4.2+4.21+4.14+4.01)</f>
        <v>52.992000000000012</v>
      </c>
      <c r="C71" t="s">
        <v>8</v>
      </c>
      <c r="G71" s="2" t="s">
        <v>66</v>
      </c>
      <c r="M71" s="2" t="s">
        <v>66</v>
      </c>
      <c r="N71">
        <f>3.2*(0.82+0.27+1.31+3.1+3*6.07+3.32+6.7+6.67)</f>
        <v>129.28000000000003</v>
      </c>
      <c r="O71" t="s">
        <v>8</v>
      </c>
    </row>
    <row r="72" spans="1:17">
      <c r="A72" s="2" t="s">
        <v>21</v>
      </c>
      <c r="B72" s="1">
        <f>2.1*(1.18*14+0.23*14)</f>
        <v>41.454000000000001</v>
      </c>
      <c r="C72" t="s">
        <v>8</v>
      </c>
      <c r="G72" s="2" t="s">
        <v>21</v>
      </c>
      <c r="H72" s="1">
        <f>2.1*(1.18*14+0.23*14)</f>
        <v>41.454000000000001</v>
      </c>
      <c r="I72" t="s">
        <v>8</v>
      </c>
      <c r="M72" s="2" t="s">
        <v>21</v>
      </c>
      <c r="N72" s="1">
        <f>2.1*(1.18*14+0.23*14+1*4+4*0.8)</f>
        <v>56.573999999999998</v>
      </c>
      <c r="O72" t="s">
        <v>8</v>
      </c>
    </row>
    <row r="73" spans="1:17">
      <c r="A73" s="2" t="s">
        <v>67</v>
      </c>
      <c r="B73">
        <f>2*(0.55*1)</f>
        <v>1.1000000000000001</v>
      </c>
      <c r="C73" t="s">
        <v>8</v>
      </c>
      <c r="G73" s="2" t="s">
        <v>67</v>
      </c>
      <c r="H73">
        <f>2*(0.55*1)</f>
        <v>1.1000000000000001</v>
      </c>
      <c r="I73" t="s">
        <v>8</v>
      </c>
      <c r="M73" s="2" t="s">
        <v>67</v>
      </c>
      <c r="N73">
        <f>2*(0.55*1)</f>
        <v>1.1000000000000001</v>
      </c>
      <c r="O73" t="s">
        <v>8</v>
      </c>
    </row>
    <row r="74" spans="1:17">
      <c r="A74" s="2" t="s">
        <v>11</v>
      </c>
      <c r="B74" s="1">
        <f>621.167+733.7</f>
        <v>1354.8670000000002</v>
      </c>
      <c r="C74" t="s">
        <v>8</v>
      </c>
      <c r="G74" s="2" t="s">
        <v>68</v>
      </c>
      <c r="H74" s="1">
        <f>621.167</f>
        <v>621.16700000000003</v>
      </c>
      <c r="I74" t="s">
        <v>8</v>
      </c>
      <c r="M74" s="2" t="s">
        <v>11</v>
      </c>
      <c r="N74" s="1"/>
    </row>
    <row r="75" spans="1:17">
      <c r="A75" s="2" t="s">
        <v>12</v>
      </c>
      <c r="B75">
        <v>155</v>
      </c>
      <c r="C75" t="s">
        <v>8</v>
      </c>
      <c r="G75" s="2" t="s">
        <v>12</v>
      </c>
      <c r="H75">
        <v>155</v>
      </c>
      <c r="I75" t="s">
        <v>8</v>
      </c>
      <c r="M75" s="2" t="s">
        <v>12</v>
      </c>
      <c r="N75" s="1">
        <f>621.167+733.7+155</f>
        <v>1509.8670000000002</v>
      </c>
      <c r="O75" t="s">
        <v>8</v>
      </c>
    </row>
    <row r="76" spans="1:17">
      <c r="A76" s="2" t="s">
        <v>30</v>
      </c>
      <c r="G76" s="2" t="s">
        <v>30</v>
      </c>
      <c r="H76">
        <v>743.25</v>
      </c>
      <c r="I76" t="s">
        <v>8</v>
      </c>
      <c r="M76" s="2" t="s">
        <v>30</v>
      </c>
      <c r="N76">
        <f>621.167+733.7-103.86</f>
        <v>1251.0070000000003</v>
      </c>
      <c r="O76" t="s">
        <v>8</v>
      </c>
    </row>
    <row r="77" spans="1:17">
      <c r="A77" s="2" t="s">
        <v>69</v>
      </c>
      <c r="B77" s="1">
        <f>0.71+0.51+0.5+0.23+2.32+2.8+2.29+4.03+1.96+2.65</f>
        <v>18</v>
      </c>
      <c r="C77" t="s">
        <v>23</v>
      </c>
      <c r="G77" s="2" t="s">
        <v>69</v>
      </c>
      <c r="H77">
        <f>2.32+0.59+3.08+2.29+4.03+1.96+2.62</f>
        <v>16.890000000000004</v>
      </c>
      <c r="I77" t="s">
        <v>23</v>
      </c>
      <c r="M77" s="2" t="s">
        <v>69</v>
      </c>
      <c r="N77">
        <f>0.59+2.32+2.8+1.9+1+1.89+3.04+1.68+2.43+0.76+4.03+2*4.23+9.85+4*4.23</f>
        <v>57.67</v>
      </c>
      <c r="O77" t="s">
        <v>23</v>
      </c>
    </row>
    <row r="78" spans="1:17">
      <c r="A78" s="2" t="s">
        <v>70</v>
      </c>
      <c r="B78">
        <f>2*4.23</f>
        <v>8.4600000000000009</v>
      </c>
      <c r="C78" t="s">
        <v>23</v>
      </c>
      <c r="G78" s="2" t="s">
        <v>70</v>
      </c>
      <c r="H78">
        <f>2*4.23</f>
        <v>8.4600000000000009</v>
      </c>
      <c r="I78" t="s">
        <v>23</v>
      </c>
      <c r="M78" s="2" t="s">
        <v>70</v>
      </c>
      <c r="N78">
        <f>4.23</f>
        <v>4.2300000000000004</v>
      </c>
      <c r="O78" t="s">
        <v>23</v>
      </c>
    </row>
    <row r="79" spans="1:17">
      <c r="A79" s="2" t="s">
        <v>71</v>
      </c>
      <c r="B79">
        <f>2.08+0.59+2*0.94+2*1.03+0.87+2*4.23</f>
        <v>15.940000000000001</v>
      </c>
      <c r="C79" t="s">
        <v>23</v>
      </c>
      <c r="D79" s="1">
        <f>SUM(B77:B79)</f>
        <v>42.400000000000006</v>
      </c>
      <c r="E79" t="s">
        <v>23</v>
      </c>
      <c r="G79" s="2" t="s">
        <v>71</v>
      </c>
      <c r="H79">
        <f>2*4.23+2*0.94+0.88+2*1.03</f>
        <v>13.280000000000001</v>
      </c>
      <c r="I79" t="s">
        <v>23</v>
      </c>
      <c r="J79" s="1">
        <f>SUM(H77:H79)</f>
        <v>38.63000000000001</v>
      </c>
      <c r="K79" t="s">
        <v>23</v>
      </c>
      <c r="M79" s="2" t="s">
        <v>71</v>
      </c>
      <c r="N79">
        <f>4*4.23+2*0.94+0.77+0.52+2*1.03+0.23+1.09+1.69+5.32+1.73</f>
        <v>32.21</v>
      </c>
      <c r="O79" t="s">
        <v>23</v>
      </c>
      <c r="P79" s="1">
        <f>SUM(N77:N79)</f>
        <v>94.110000000000014</v>
      </c>
      <c r="Q79" t="s">
        <v>23</v>
      </c>
    </row>
    <row r="80" spans="1:17">
      <c r="A80" s="2" t="s">
        <v>72</v>
      </c>
      <c r="B80">
        <f>2*1.54+2*1.49+1.73+2*4.23</f>
        <v>16.25</v>
      </c>
      <c r="C80" t="s">
        <v>23</v>
      </c>
      <c r="G80" s="2" t="s">
        <v>72</v>
      </c>
      <c r="H80">
        <f>2*1.54+1.74+2*1.49</f>
        <v>7.8000000000000007</v>
      </c>
      <c r="I80" t="s">
        <v>23</v>
      </c>
      <c r="M80" s="2" t="s">
        <v>72</v>
      </c>
      <c r="N80">
        <f>2*1.54+2*0.49+1.73</f>
        <v>5.7900000000000009</v>
      </c>
      <c r="O80" t="s">
        <v>23</v>
      </c>
    </row>
    <row r="81" spans="1:17">
      <c r="A81" s="2" t="s">
        <v>73</v>
      </c>
      <c r="B81">
        <f>4*4.23</f>
        <v>16.920000000000002</v>
      </c>
      <c r="C81" t="s">
        <v>23</v>
      </c>
      <c r="D81">
        <f>SUM(B80:B81)</f>
        <v>33.17</v>
      </c>
      <c r="E81" t="s">
        <v>23</v>
      </c>
      <c r="G81" s="2" t="s">
        <v>73</v>
      </c>
      <c r="H81">
        <f>5*4.23</f>
        <v>21.150000000000002</v>
      </c>
      <c r="I81" t="s">
        <v>23</v>
      </c>
      <c r="J81">
        <f>SUM(H80:H81)</f>
        <v>28.950000000000003</v>
      </c>
      <c r="K81" t="s">
        <v>23</v>
      </c>
      <c r="M81" s="2" t="s">
        <v>73</v>
      </c>
      <c r="N81">
        <f>5*4.23</f>
        <v>21.150000000000002</v>
      </c>
      <c r="O81" t="s">
        <v>23</v>
      </c>
      <c r="P81">
        <f>SUM(N80:N81)</f>
        <v>26.940000000000005</v>
      </c>
      <c r="Q81" t="s">
        <v>23</v>
      </c>
    </row>
    <row r="82" spans="1:17">
      <c r="A82" s="2" t="s">
        <v>74</v>
      </c>
      <c r="B82">
        <v>39</v>
      </c>
      <c r="C82" t="s">
        <v>75</v>
      </c>
      <c r="G82" s="2" t="s">
        <v>74</v>
      </c>
      <c r="H82">
        <v>37</v>
      </c>
      <c r="I82" t="s">
        <v>75</v>
      </c>
      <c r="M82" s="2" t="s">
        <v>74</v>
      </c>
      <c r="N82">
        <v>47</v>
      </c>
      <c r="O82" t="s">
        <v>75</v>
      </c>
    </row>
    <row r="83" spans="1:17">
      <c r="A83" s="2" t="s">
        <v>76</v>
      </c>
      <c r="B83">
        <v>6</v>
      </c>
      <c r="C83" t="s">
        <v>14</v>
      </c>
      <c r="G83" s="2" t="s">
        <v>76</v>
      </c>
      <c r="H83">
        <v>6</v>
      </c>
      <c r="I83" t="s">
        <v>14</v>
      </c>
      <c r="M83" s="2" t="s">
        <v>76</v>
      </c>
      <c r="N83">
        <v>9</v>
      </c>
      <c r="O83" t="s">
        <v>14</v>
      </c>
    </row>
    <row r="84" spans="1:17">
      <c r="A84" s="2" t="s">
        <v>77</v>
      </c>
      <c r="G84" s="2" t="s">
        <v>77</v>
      </c>
      <c r="M84" s="2" t="s">
        <v>77</v>
      </c>
      <c r="N84">
        <v>1</v>
      </c>
      <c r="O84" t="s">
        <v>14</v>
      </c>
    </row>
    <row r="85" spans="1:17">
      <c r="A85" s="2" t="s">
        <v>78</v>
      </c>
      <c r="B85">
        <v>5</v>
      </c>
      <c r="C85" t="s">
        <v>14</v>
      </c>
      <c r="G85" s="2" t="s">
        <v>78</v>
      </c>
      <c r="H85">
        <v>5</v>
      </c>
      <c r="I85" t="s">
        <v>14</v>
      </c>
      <c r="M85" s="2" t="s">
        <v>78</v>
      </c>
      <c r="N85">
        <v>5</v>
      </c>
      <c r="O85" t="s">
        <v>14</v>
      </c>
    </row>
    <row r="86" spans="1:17">
      <c r="A86" s="2" t="s">
        <v>79</v>
      </c>
      <c r="B86">
        <f>0.31+0.41+0.4+1.48+0.44+0.48+0.4+1.95+0.85+0.75+2.02+1.43+0.48+0.52+1.67+0.52</f>
        <v>14.11</v>
      </c>
      <c r="C86" t="s">
        <v>23</v>
      </c>
      <c r="G86" s="2" t="s">
        <v>79</v>
      </c>
      <c r="H86">
        <f>3.23+0.4+0.44+0.47+2.19+0.4+0.85+3.87+0.43+0.48+0.52+2.21+0.43+0.47+0.52+3.83</f>
        <v>20.740000000000002</v>
      </c>
      <c r="I86" t="s">
        <v>23</v>
      </c>
      <c r="M86" s="2" t="s">
        <v>79</v>
      </c>
      <c r="N86">
        <f>3.23+0.4+0.44+0.47+2.19+0.4+0.85+3.87+0.43+0.48+0.52+2.21+0.43+0.47+0.52+3.83</f>
        <v>20.740000000000002</v>
      </c>
      <c r="O86" t="s">
        <v>23</v>
      </c>
    </row>
    <row r="87" spans="1:17">
      <c r="A87" s="2" t="s">
        <v>80</v>
      </c>
      <c r="B87">
        <f>0.46+0.51+0.52+0.7+2.04+1.17+0.56+0.71+4.8+1.3+0.7+0.49+2.31+0.5+0.58+1.43+0.53+0.43+0.31+1.06+0.43+0.28+0.36+0.36+2.54+1.17</f>
        <v>26.249999999999993</v>
      </c>
      <c r="C87" t="s">
        <v>23</v>
      </c>
      <c r="G87" s="2" t="s">
        <v>80</v>
      </c>
      <c r="H87">
        <f>1.44+0.12+0.56+0.28+0.51+0.81+0.35</f>
        <v>4.07</v>
      </c>
      <c r="I87" t="s">
        <v>23</v>
      </c>
      <c r="M87" s="2" t="s">
        <v>80</v>
      </c>
      <c r="N87">
        <f>1.44+0.12+0.56+0.28+0.51+0.81+2*0.71+1.3+1.01+3.64+3.19+0.72+1.01</f>
        <v>16.010000000000002</v>
      </c>
      <c r="O87" t="s">
        <v>23</v>
      </c>
    </row>
    <row r="88" spans="1:17">
      <c r="A88" s="2" t="s">
        <v>81</v>
      </c>
      <c r="B88">
        <f>10.69+0.53+11.06</f>
        <v>22.28</v>
      </c>
      <c r="C88" t="s">
        <v>23</v>
      </c>
      <c r="G88" s="2" t="s">
        <v>81</v>
      </c>
      <c r="M88" s="2" t="s">
        <v>81</v>
      </c>
    </row>
    <row r="89" spans="1:17">
      <c r="A89" s="2" t="s">
        <v>82</v>
      </c>
      <c r="B89">
        <f>3.34+4.44+2.29+3.68+0.71+2.32+0.82+0.44+0.3+2*1.73+0.98+1.68+0.78+0.98+10.78+1.26+0.76+2.18+0.65+0.55+1.98+2.01+1.42+3.39+0.51+0.18+2.72+0.28+0.39+10.85+3.59+14.98+0.99+10.1+6.78+2.74</f>
        <v>105.30999999999999</v>
      </c>
      <c r="C89" t="s">
        <v>23</v>
      </c>
      <c r="G89" s="2" t="s">
        <v>82</v>
      </c>
      <c r="H89">
        <f>3.73+0.3+1.25+2.11+3.95+1+1.89+1.49+0.5+1+3.49+1.59+0.55+0.54+3.59+0.29+1.24+2.14</f>
        <v>30.65</v>
      </c>
      <c r="I89" t="s">
        <v>23</v>
      </c>
      <c r="M89" s="2" t="s">
        <v>82</v>
      </c>
      <c r="N89">
        <f>3.73+0.3+1.25+2.11+3.95+1+1.89+1.49+0.5+1+3.49+1.59+0.55+0.54+3.59+0.29+1.24+2.14</f>
        <v>30.65</v>
      </c>
      <c r="O89" t="s">
        <v>23</v>
      </c>
    </row>
    <row r="90" spans="1:17">
      <c r="A90" s="2" t="s">
        <v>83</v>
      </c>
      <c r="B90">
        <f>4.23</f>
        <v>4.2300000000000004</v>
      </c>
      <c r="C90" t="s">
        <v>23</v>
      </c>
      <c r="G90" s="2" t="s">
        <v>83</v>
      </c>
      <c r="H90">
        <f>4.23</f>
        <v>4.2300000000000004</v>
      </c>
      <c r="I90" t="s">
        <v>23</v>
      </c>
      <c r="M90" s="2" t="s">
        <v>83</v>
      </c>
    </row>
    <row r="91" spans="1:17">
      <c r="A91" s="2" t="s">
        <v>84</v>
      </c>
      <c r="B91">
        <f>6*4.23</f>
        <v>25.380000000000003</v>
      </c>
      <c r="C91" t="s">
        <v>23</v>
      </c>
      <c r="G91" s="2" t="s">
        <v>84</v>
      </c>
      <c r="H91">
        <f>6*4.23</f>
        <v>25.380000000000003</v>
      </c>
      <c r="I91" t="s">
        <v>23</v>
      </c>
      <c r="M91" s="2" t="s">
        <v>84</v>
      </c>
      <c r="N91">
        <f>4*4.23</f>
        <v>16.920000000000002</v>
      </c>
      <c r="O91" t="s">
        <v>23</v>
      </c>
    </row>
    <row r="92" spans="1:17">
      <c r="A92" s="2" t="s">
        <v>85</v>
      </c>
      <c r="B92">
        <f>6*4.23</f>
        <v>25.380000000000003</v>
      </c>
      <c r="C92" t="s">
        <v>23</v>
      </c>
      <c r="G92" s="2" t="s">
        <v>85</v>
      </c>
      <c r="H92">
        <f>6*4.23</f>
        <v>25.380000000000003</v>
      </c>
      <c r="I92" t="s">
        <v>23</v>
      </c>
      <c r="M92" s="2" t="s">
        <v>85</v>
      </c>
    </row>
    <row r="93" spans="1:17">
      <c r="A93" s="2" t="s">
        <v>86</v>
      </c>
      <c r="B93" s="1">
        <f>0.1*(0.62+4.44+0.36+2*4.34+2*8.6+0.54+8.32+1.35+7.74)</f>
        <v>4.9250000000000007</v>
      </c>
      <c r="C93" t="s">
        <v>8</v>
      </c>
      <c r="G93" s="2" t="s">
        <v>86</v>
      </c>
      <c r="H93" s="1"/>
      <c r="M93" s="2" t="s">
        <v>86</v>
      </c>
      <c r="N93" s="1"/>
    </row>
    <row r="94" spans="1:17">
      <c r="A94" s="2" t="s">
        <v>87</v>
      </c>
      <c r="B94">
        <f>0.1*(7)</f>
        <v>0.70000000000000007</v>
      </c>
      <c r="C94" t="s">
        <v>8</v>
      </c>
      <c r="G94" s="2" t="s">
        <v>87</v>
      </c>
      <c r="M94" s="2" t="s">
        <v>87</v>
      </c>
    </row>
    <row r="95" spans="1:17">
      <c r="A95" s="2" t="s">
        <v>88</v>
      </c>
      <c r="B95">
        <v>16</v>
      </c>
      <c r="C95" t="s">
        <v>14</v>
      </c>
      <c r="G95" s="2" t="s">
        <v>88</v>
      </c>
      <c r="H95">
        <v>13</v>
      </c>
      <c r="I95" t="s">
        <v>14</v>
      </c>
      <c r="M95" s="2" t="s">
        <v>88</v>
      </c>
      <c r="N95">
        <v>13</v>
      </c>
      <c r="O95" t="s">
        <v>14</v>
      </c>
    </row>
    <row r="96" spans="1:17">
      <c r="A96" s="2" t="s">
        <v>89</v>
      </c>
      <c r="B96">
        <v>5</v>
      </c>
      <c r="C96" t="s">
        <v>14</v>
      </c>
      <c r="G96" s="2" t="s">
        <v>89</v>
      </c>
      <c r="H96">
        <v>5</v>
      </c>
      <c r="I96" t="s">
        <v>14</v>
      </c>
      <c r="M96" s="2" t="s">
        <v>89</v>
      </c>
      <c r="N96">
        <v>8</v>
      </c>
      <c r="O96" t="s">
        <v>14</v>
      </c>
    </row>
    <row r="97" spans="1:15">
      <c r="A97" s="2" t="s">
        <v>90</v>
      </c>
      <c r="B97">
        <v>14</v>
      </c>
      <c r="C97" t="s">
        <v>14</v>
      </c>
      <c r="G97" s="2" t="s">
        <v>90</v>
      </c>
      <c r="H97">
        <v>13</v>
      </c>
      <c r="I97" t="s">
        <v>14</v>
      </c>
      <c r="M97" s="2" t="s">
        <v>90</v>
      </c>
      <c r="N97">
        <v>13</v>
      </c>
      <c r="O97" t="s">
        <v>14</v>
      </c>
    </row>
    <row r="98" spans="1:15">
      <c r="A98" s="2" t="s">
        <v>91</v>
      </c>
      <c r="B98">
        <f>4*1.08+1.21</f>
        <v>5.53</v>
      </c>
      <c r="C98" t="s">
        <v>8</v>
      </c>
      <c r="G98" s="2" t="s">
        <v>91</v>
      </c>
      <c r="H98">
        <f>4*1.08+1.21</f>
        <v>5.53</v>
      </c>
      <c r="I98" t="s">
        <v>8</v>
      </c>
      <c r="M98" s="2" t="s">
        <v>91</v>
      </c>
      <c r="N98">
        <f>4*1.08+2*1.21+1.26+2.98+1.27</f>
        <v>12.25</v>
      </c>
      <c r="O98" t="s">
        <v>8</v>
      </c>
    </row>
    <row r="99" spans="1:15">
      <c r="A99" s="2" t="s">
        <v>92</v>
      </c>
      <c r="B99">
        <v>12</v>
      </c>
      <c r="C99" t="s">
        <v>14</v>
      </c>
      <c r="G99" s="2" t="s">
        <v>92</v>
      </c>
      <c r="H99">
        <v>12</v>
      </c>
      <c r="I99" t="s">
        <v>14</v>
      </c>
      <c r="M99" s="2" t="s">
        <v>92</v>
      </c>
      <c r="N99">
        <f>12</f>
        <v>12</v>
      </c>
      <c r="O99" t="s">
        <v>14</v>
      </c>
    </row>
    <row r="100" spans="1:15">
      <c r="A100" s="2" t="s">
        <v>93</v>
      </c>
      <c r="B100">
        <v>1</v>
      </c>
      <c r="C100" t="s">
        <v>14</v>
      </c>
      <c r="G100" s="2" t="s">
        <v>93</v>
      </c>
      <c r="H100">
        <v>1</v>
      </c>
      <c r="I100" t="s">
        <v>14</v>
      </c>
      <c r="M100" s="2" t="s">
        <v>93</v>
      </c>
      <c r="N100">
        <v>4</v>
      </c>
      <c r="O100" t="s">
        <v>14</v>
      </c>
    </row>
    <row r="101" spans="1:15">
      <c r="A101" s="2" t="s">
        <v>15</v>
      </c>
      <c r="B101">
        <v>8</v>
      </c>
      <c r="C101" t="s">
        <v>14</v>
      </c>
      <c r="G101" s="2" t="s">
        <v>15</v>
      </c>
      <c r="H101">
        <v>8</v>
      </c>
      <c r="I101" t="s">
        <v>14</v>
      </c>
      <c r="M101" s="2" t="s">
        <v>15</v>
      </c>
      <c r="N101">
        <v>12</v>
      </c>
      <c r="O101" t="s">
        <v>14</v>
      </c>
    </row>
    <row r="102" spans="1:15">
      <c r="A102" s="2" t="s">
        <v>94</v>
      </c>
      <c r="B102">
        <v>1</v>
      </c>
      <c r="C102" t="s">
        <v>14</v>
      </c>
      <c r="G102" s="2" t="s">
        <v>94</v>
      </c>
      <c r="H102">
        <v>1</v>
      </c>
      <c r="I102" t="s">
        <v>14</v>
      </c>
      <c r="M102" s="2" t="s">
        <v>94</v>
      </c>
      <c r="N102">
        <v>4</v>
      </c>
      <c r="O102" t="s">
        <v>14</v>
      </c>
    </row>
    <row r="103" spans="1:15">
      <c r="A103" s="2" t="s">
        <v>95</v>
      </c>
      <c r="B103">
        <v>6</v>
      </c>
      <c r="C103" t="s">
        <v>14</v>
      </c>
      <c r="G103" s="2" t="s">
        <v>95</v>
      </c>
      <c r="H103">
        <v>5</v>
      </c>
      <c r="I103" t="s">
        <v>14</v>
      </c>
      <c r="M103" s="2" t="s">
        <v>95</v>
      </c>
      <c r="N103">
        <v>5</v>
      </c>
      <c r="O103" t="s">
        <v>14</v>
      </c>
    </row>
    <row r="104" spans="1:15">
      <c r="A104" s="2" t="s">
        <v>96</v>
      </c>
      <c r="B104">
        <v>4</v>
      </c>
      <c r="C104" t="s">
        <v>14</v>
      </c>
      <c r="G104" s="2" t="s">
        <v>96</v>
      </c>
      <c r="H104">
        <v>4</v>
      </c>
      <c r="I104" t="s">
        <v>14</v>
      </c>
      <c r="M104" s="2" t="s">
        <v>96</v>
      </c>
      <c r="N104">
        <v>4</v>
      </c>
      <c r="O104" t="s">
        <v>14</v>
      </c>
    </row>
    <row r="105" spans="1:15">
      <c r="A105" s="2" t="s">
        <v>97</v>
      </c>
      <c r="B105">
        <v>2</v>
      </c>
      <c r="C105" t="s">
        <v>14</v>
      </c>
      <c r="G105" s="2" t="s">
        <v>97</v>
      </c>
      <c r="H105">
        <v>1</v>
      </c>
      <c r="I105" t="s">
        <v>14</v>
      </c>
      <c r="M105" s="2" t="s">
        <v>97</v>
      </c>
      <c r="N105">
        <v>1</v>
      </c>
      <c r="O105" t="s">
        <v>14</v>
      </c>
    </row>
    <row r="106" spans="1:15">
      <c r="A106" s="2" t="s">
        <v>98</v>
      </c>
      <c r="G106" s="2" t="s">
        <v>98</v>
      </c>
      <c r="M106" s="2" t="s">
        <v>98</v>
      </c>
      <c r="N106">
        <v>4</v>
      </c>
      <c r="O106" t="s">
        <v>14</v>
      </c>
    </row>
    <row r="107" spans="1:15">
      <c r="A107" s="2" t="s">
        <v>99</v>
      </c>
      <c r="B107">
        <v>6</v>
      </c>
      <c r="C107" t="s">
        <v>14</v>
      </c>
      <c r="G107" s="2" t="s">
        <v>99</v>
      </c>
      <c r="H107">
        <v>6</v>
      </c>
      <c r="I107" t="s">
        <v>14</v>
      </c>
      <c r="M107" s="2" t="s">
        <v>99</v>
      </c>
      <c r="N107">
        <v>10</v>
      </c>
      <c r="O107" t="s">
        <v>14</v>
      </c>
    </row>
    <row r="108" spans="1:15">
      <c r="A108" s="2" t="s">
        <v>100</v>
      </c>
      <c r="B108">
        <v>2</v>
      </c>
      <c r="C108" t="s">
        <v>14</v>
      </c>
      <c r="G108" s="2" t="s">
        <v>100</v>
      </c>
      <c r="H108">
        <v>1</v>
      </c>
      <c r="I108" t="s">
        <v>14</v>
      </c>
      <c r="M108" s="2" t="s">
        <v>100</v>
      </c>
      <c r="N108">
        <v>1</v>
      </c>
      <c r="O108" t="s">
        <v>14</v>
      </c>
    </row>
    <row r="109" spans="1:15">
      <c r="A109" s="2"/>
      <c r="G109" s="2"/>
      <c r="M109" s="2" t="s">
        <v>101</v>
      </c>
      <c r="N109">
        <v>2</v>
      </c>
      <c r="O109" t="s">
        <v>14</v>
      </c>
    </row>
    <row r="110" spans="1:15">
      <c r="A110" s="2"/>
      <c r="G110" s="2"/>
      <c r="M110" s="2" t="s">
        <v>102</v>
      </c>
      <c r="N110">
        <v>2</v>
      </c>
      <c r="O110" t="s">
        <v>14</v>
      </c>
    </row>
    <row r="111" spans="1:15">
      <c r="A111" s="2"/>
      <c r="G111" s="2"/>
      <c r="M111" s="2" t="s">
        <v>103</v>
      </c>
      <c r="N111">
        <v>2</v>
      </c>
      <c r="O111" t="s">
        <v>14</v>
      </c>
    </row>
    <row r="112" spans="1:15">
      <c r="A112" s="2" t="s">
        <v>104</v>
      </c>
      <c r="B112">
        <v>1</v>
      </c>
      <c r="C112" t="s">
        <v>14</v>
      </c>
      <c r="G112" s="2" t="s">
        <v>104</v>
      </c>
      <c r="M112" s="2" t="s">
        <v>104</v>
      </c>
    </row>
    <row r="113" spans="1:17">
      <c r="A113" s="2" t="s">
        <v>105</v>
      </c>
      <c r="B113">
        <v>14</v>
      </c>
      <c r="C113" t="s">
        <v>14</v>
      </c>
      <c r="D113" s="1">
        <f>B113*0.9*0.55</f>
        <v>6.9300000000000006</v>
      </c>
      <c r="E113" t="s">
        <v>8</v>
      </c>
      <c r="G113" s="2" t="s">
        <v>105</v>
      </c>
      <c r="H113">
        <v>13</v>
      </c>
      <c r="I113" t="s">
        <v>14</v>
      </c>
      <c r="J113" s="1">
        <f>H113*0.9*0.55</f>
        <v>6.4350000000000014</v>
      </c>
      <c r="K113" t="s">
        <v>8</v>
      </c>
      <c r="M113" s="2" t="s">
        <v>105</v>
      </c>
      <c r="N113">
        <v>17</v>
      </c>
      <c r="O113" t="s">
        <v>14</v>
      </c>
      <c r="P113" s="1">
        <f>N113*0.9*0.55</f>
        <v>8.4150000000000009</v>
      </c>
      <c r="Q113" t="s">
        <v>8</v>
      </c>
    </row>
    <row r="114" spans="1:17">
      <c r="A114" s="2" t="s">
        <v>106</v>
      </c>
      <c r="B114">
        <v>2</v>
      </c>
      <c r="C114" t="s">
        <v>14</v>
      </c>
      <c r="D114">
        <f>B114*4*0.2</f>
        <v>1.6</v>
      </c>
      <c r="E114" t="s">
        <v>8</v>
      </c>
      <c r="G114" s="2" t="s">
        <v>106</v>
      </c>
      <c r="H114">
        <v>1</v>
      </c>
      <c r="I114" t="s">
        <v>14</v>
      </c>
      <c r="J114">
        <f>H114*4*0.2</f>
        <v>0.8</v>
      </c>
      <c r="K114" t="s">
        <v>8</v>
      </c>
      <c r="M114" s="2" t="s">
        <v>106</v>
      </c>
      <c r="N114">
        <v>1</v>
      </c>
      <c r="O114" t="s">
        <v>14</v>
      </c>
      <c r="P114">
        <f>N114*4*0.2</f>
        <v>0.8</v>
      </c>
      <c r="Q114" t="s">
        <v>8</v>
      </c>
    </row>
    <row r="117" spans="1:17">
      <c r="A117" s="4" t="s">
        <v>34</v>
      </c>
      <c r="G117" s="4" t="s">
        <v>5</v>
      </c>
    </row>
    <row r="119" spans="1:17">
      <c r="A119" s="2" t="s">
        <v>107</v>
      </c>
      <c r="B119">
        <f>43.87+109.71</f>
        <v>153.57999999999998</v>
      </c>
      <c r="C119" t="s">
        <v>8</v>
      </c>
      <c r="G119" s="2" t="s">
        <v>69</v>
      </c>
      <c r="H119">
        <f>2.51+6.87+1.91+5.17</f>
        <v>16.46</v>
      </c>
      <c r="I119" t="s">
        <v>23</v>
      </c>
    </row>
    <row r="120" spans="1:17">
      <c r="A120" s="2" t="s">
        <v>47</v>
      </c>
      <c r="B120">
        <f>B46-B119</f>
        <v>369.74000000000007</v>
      </c>
      <c r="C120" t="s">
        <v>8</v>
      </c>
      <c r="G120" s="2" t="s">
        <v>70</v>
      </c>
      <c r="H120">
        <f>3.14+0.62</f>
        <v>3.7600000000000002</v>
      </c>
      <c r="I120" t="s">
        <v>23</v>
      </c>
    </row>
    <row r="121" spans="1:17">
      <c r="A121" s="2" t="s">
        <v>108</v>
      </c>
      <c r="B121" s="1">
        <f>(2.36*44)*0.15</f>
        <v>15.575999999999997</v>
      </c>
      <c r="C121" t="s">
        <v>8</v>
      </c>
      <c r="G121" s="2" t="s">
        <v>71</v>
      </c>
      <c r="H121">
        <f>1.34</f>
        <v>1.34</v>
      </c>
      <c r="I121" t="s">
        <v>23</v>
      </c>
      <c r="J121" s="1">
        <f>SUM(H119:H121)</f>
        <v>21.560000000000002</v>
      </c>
      <c r="K121" t="s">
        <v>23</v>
      </c>
    </row>
    <row r="122" spans="1:17">
      <c r="A122" s="2" t="s">
        <v>109</v>
      </c>
      <c r="B122" s="1">
        <f>0.15*(2.36*44+1.2*2+0.15+2*3+5.08+2*0.94+2.11)</f>
        <v>18.218999999999998</v>
      </c>
      <c r="C122" t="s">
        <v>8</v>
      </c>
      <c r="G122" s="2" t="s">
        <v>72</v>
      </c>
      <c r="H122">
        <f>3.13</f>
        <v>3.13</v>
      </c>
      <c r="I122" t="s">
        <v>23</v>
      </c>
    </row>
    <row r="123" spans="1:17">
      <c r="A123" s="2" t="s">
        <v>110</v>
      </c>
      <c r="B123" s="1">
        <f>1.1*(2.68+2.49+1.07+1.8+3.16)</f>
        <v>12.320000000000002</v>
      </c>
      <c r="C123" t="s">
        <v>8</v>
      </c>
      <c r="G123" s="2" t="s">
        <v>73</v>
      </c>
      <c r="H123">
        <f>2*0.34</f>
        <v>0.68</v>
      </c>
      <c r="I123" t="s">
        <v>23</v>
      </c>
      <c r="J123">
        <f>SUM(H122:H123)</f>
        <v>3.81</v>
      </c>
      <c r="K123" t="s">
        <v>23</v>
      </c>
    </row>
    <row r="124" spans="1:17">
      <c r="A124" s="2" t="s">
        <v>111</v>
      </c>
      <c r="B124" s="1">
        <f>3*(2*2.1)</f>
        <v>12.600000000000001</v>
      </c>
      <c r="C124" t="s">
        <v>14</v>
      </c>
      <c r="G124" s="2" t="s">
        <v>112</v>
      </c>
      <c r="H124">
        <f>5.18+6.05</f>
        <v>11.23</v>
      </c>
      <c r="I124" t="s">
        <v>23</v>
      </c>
    </row>
    <row r="125" spans="1:17">
      <c r="A125" s="2" t="s">
        <v>113</v>
      </c>
      <c r="B125">
        <f>4*(0.8*1.1)</f>
        <v>3.5200000000000005</v>
      </c>
      <c r="C125" t="s">
        <v>8</v>
      </c>
      <c r="G125" s="2" t="s">
        <v>114</v>
      </c>
      <c r="H125">
        <v>192.58</v>
      </c>
      <c r="I125" t="s">
        <v>8</v>
      </c>
    </row>
    <row r="126" spans="1:17">
      <c r="A126" s="2" t="s">
        <v>115</v>
      </c>
      <c r="B126" s="1">
        <f>(53.89+40.35)*1.1</f>
        <v>103.66400000000002</v>
      </c>
      <c r="C126" t="s">
        <v>8</v>
      </c>
      <c r="G126" s="2" t="s">
        <v>116</v>
      </c>
      <c r="H126">
        <v>2</v>
      </c>
      <c r="I126" t="s">
        <v>14</v>
      </c>
    </row>
    <row r="127" spans="1:17">
      <c r="A127" s="2" t="s">
        <v>41</v>
      </c>
      <c r="B127" s="1">
        <f>0.5*3*0.5</f>
        <v>0.75</v>
      </c>
      <c r="C127" t="s">
        <v>7</v>
      </c>
      <c r="G127" s="2"/>
    </row>
    <row r="128" spans="1:17">
      <c r="A128" s="2" t="s">
        <v>42</v>
      </c>
      <c r="B128">
        <v>3</v>
      </c>
      <c r="C128" t="s">
        <v>14</v>
      </c>
      <c r="G128" s="2"/>
    </row>
    <row r="129" spans="1:17">
      <c r="A129" s="2" t="s">
        <v>117</v>
      </c>
      <c r="B129" s="1">
        <f>(B122+B123)*2+B122+B123</f>
        <v>91.617000000000004</v>
      </c>
      <c r="C129" t="s">
        <v>8</v>
      </c>
      <c r="G129" s="2"/>
      <c r="H129" s="1"/>
    </row>
    <row r="130" spans="1:17">
      <c r="A130" s="2"/>
      <c r="G130" s="2"/>
    </row>
    <row r="132" spans="1:17">
      <c r="A132" s="3" t="s">
        <v>118</v>
      </c>
    </row>
    <row r="134" spans="1:17">
      <c r="A134" s="4" t="s">
        <v>2</v>
      </c>
      <c r="G134" s="4" t="s">
        <v>3</v>
      </c>
      <c r="M134" s="4" t="s">
        <v>4</v>
      </c>
    </row>
    <row r="136" spans="1:17">
      <c r="A136" s="2" t="s">
        <v>119</v>
      </c>
      <c r="B136" s="1">
        <v>132</v>
      </c>
      <c r="C136" t="s">
        <v>14</v>
      </c>
      <c r="D136">
        <f>B136*0.25*0.25</f>
        <v>8.25</v>
      </c>
      <c r="G136" s="2" t="s">
        <v>119</v>
      </c>
      <c r="H136" s="1">
        <v>73</v>
      </c>
      <c r="I136" t="s">
        <v>14</v>
      </c>
      <c r="J136" s="1">
        <f>H136*0.25*0.25</f>
        <v>4.5625</v>
      </c>
      <c r="M136" s="2" t="s">
        <v>119</v>
      </c>
      <c r="N136" s="1">
        <f>47+5</f>
        <v>52</v>
      </c>
      <c r="O136" t="s">
        <v>14</v>
      </c>
      <c r="P136">
        <f>N136*0.25*0.25</f>
        <v>3.25</v>
      </c>
    </row>
    <row r="137" spans="1:17">
      <c r="A137" s="2" t="s">
        <v>120</v>
      </c>
      <c r="B137" s="1">
        <v>70</v>
      </c>
      <c r="C137" t="s">
        <v>14</v>
      </c>
      <c r="D137" s="1">
        <f>B137*0.25*0.25</f>
        <v>4.375</v>
      </c>
      <c r="G137" s="2" t="s">
        <v>120</v>
      </c>
      <c r="H137" s="1"/>
      <c r="I137" t="s">
        <v>121</v>
      </c>
      <c r="J137" s="1"/>
      <c r="M137" s="2" t="s">
        <v>120</v>
      </c>
      <c r="N137" s="1"/>
      <c r="P137" s="1"/>
    </row>
    <row r="138" spans="1:17">
      <c r="A138" s="2" t="s">
        <v>122</v>
      </c>
      <c r="B138" s="1">
        <f>3.52*3+2*2.17+2*3.51</f>
        <v>21.92</v>
      </c>
      <c r="C138" t="s">
        <v>23</v>
      </c>
      <c r="G138" s="2" t="s">
        <v>122</v>
      </c>
      <c r="H138" s="1"/>
      <c r="M138" s="2" t="s">
        <v>122</v>
      </c>
      <c r="N138" s="1"/>
    </row>
    <row r="139" spans="1:17">
      <c r="A139" s="2" t="s">
        <v>123</v>
      </c>
      <c r="B139" s="1">
        <f>2*(15+17)+4*(8+8+14)</f>
        <v>184</v>
      </c>
      <c r="C139" t="s">
        <v>14</v>
      </c>
      <c r="D139">
        <f>B139/2</f>
        <v>92</v>
      </c>
      <c r="E139" t="s">
        <v>124</v>
      </c>
      <c r="G139" s="2" t="s">
        <v>123</v>
      </c>
      <c r="H139" s="1">
        <v>240</v>
      </c>
      <c r="I139" t="s">
        <v>14</v>
      </c>
      <c r="J139">
        <f>H139/2</f>
        <v>120</v>
      </c>
      <c r="K139" t="s">
        <v>124</v>
      </c>
      <c r="M139" s="2" t="s">
        <v>123</v>
      </c>
      <c r="N139" s="1">
        <f>2*(15+3+24)+4*(13+13)</f>
        <v>188</v>
      </c>
      <c r="O139" t="s">
        <v>14</v>
      </c>
    </row>
    <row r="140" spans="1:17">
      <c r="A140" s="2" t="s">
        <v>125</v>
      </c>
      <c r="B140" s="1">
        <v>10</v>
      </c>
      <c r="C140" t="s">
        <v>14</v>
      </c>
      <c r="G140" s="2" t="s">
        <v>125</v>
      </c>
      <c r="H140" s="1">
        <v>6</v>
      </c>
      <c r="I140" t="s">
        <v>14</v>
      </c>
      <c r="M140" s="2" t="s">
        <v>125</v>
      </c>
      <c r="N140" s="1">
        <v>14</v>
      </c>
      <c r="O140" t="s">
        <v>14</v>
      </c>
    </row>
    <row r="141" spans="1:17">
      <c r="A141" s="2" t="s">
        <v>126</v>
      </c>
      <c r="B141" s="1">
        <v>4</v>
      </c>
      <c r="C141" t="s">
        <v>14</v>
      </c>
      <c r="D141">
        <f>B141*0.92</f>
        <v>3.68</v>
      </c>
      <c r="E141" t="s">
        <v>23</v>
      </c>
      <c r="G141" s="2" t="s">
        <v>126</v>
      </c>
      <c r="H141" s="1">
        <v>2</v>
      </c>
      <c r="I141" t="s">
        <v>14</v>
      </c>
      <c r="J141">
        <f>H141*0.92</f>
        <v>1.84</v>
      </c>
      <c r="K141" t="s">
        <v>23</v>
      </c>
      <c r="M141" s="2" t="s">
        <v>126</v>
      </c>
      <c r="N141" s="1">
        <v>2</v>
      </c>
      <c r="O141" t="s">
        <v>14</v>
      </c>
      <c r="P141">
        <f>N141*0.92</f>
        <v>1.84</v>
      </c>
      <c r="Q141" t="s">
        <v>23</v>
      </c>
    </row>
    <row r="142" spans="1:17">
      <c r="A142" s="2" t="s">
        <v>127</v>
      </c>
      <c r="B142" s="1">
        <v>2</v>
      </c>
      <c r="C142" t="s">
        <v>14</v>
      </c>
      <c r="G142" s="2" t="s">
        <v>127</v>
      </c>
      <c r="H142" s="1">
        <v>1</v>
      </c>
      <c r="I142" t="s">
        <v>14</v>
      </c>
      <c r="M142" s="2" t="s">
        <v>127</v>
      </c>
      <c r="N142" s="1">
        <v>1</v>
      </c>
      <c r="O142" t="s">
        <v>14</v>
      </c>
    </row>
    <row r="143" spans="1:17">
      <c r="A143" s="2" t="s">
        <v>128</v>
      </c>
      <c r="B143" s="5">
        <v>2</v>
      </c>
      <c r="C143" t="s">
        <v>14</v>
      </c>
      <c r="G143" s="2" t="s">
        <v>128</v>
      </c>
      <c r="H143" s="5">
        <v>1</v>
      </c>
      <c r="I143" t="s">
        <v>14</v>
      </c>
      <c r="M143" s="2" t="s">
        <v>128</v>
      </c>
      <c r="N143" s="5">
        <v>1</v>
      </c>
      <c r="O143" t="s">
        <v>14</v>
      </c>
    </row>
    <row r="144" spans="1:17">
      <c r="A144" s="2" t="s">
        <v>129</v>
      </c>
      <c r="B144" s="5"/>
      <c r="G144" s="2" t="s">
        <v>129</v>
      </c>
      <c r="H144" s="5"/>
      <c r="M144" s="2" t="s">
        <v>129</v>
      </c>
      <c r="N144" s="5">
        <v>2</v>
      </c>
      <c r="O144" t="s">
        <v>14</v>
      </c>
    </row>
    <row r="145" spans="1:15">
      <c r="A145" s="2" t="s">
        <v>130</v>
      </c>
      <c r="B145" s="1">
        <v>2</v>
      </c>
      <c r="C145" t="s">
        <v>14</v>
      </c>
      <c r="G145" s="2" t="s">
        <v>130</v>
      </c>
      <c r="H145" s="1">
        <v>1</v>
      </c>
      <c r="I145" t="s">
        <v>14</v>
      </c>
      <c r="M145" s="2" t="s">
        <v>130</v>
      </c>
      <c r="N145" s="1">
        <f>1+4</f>
        <v>5</v>
      </c>
      <c r="O145" t="s">
        <v>14</v>
      </c>
    </row>
    <row r="146" spans="1:15">
      <c r="A146" s="2" t="s">
        <v>131</v>
      </c>
      <c r="B146" s="5">
        <v>4</v>
      </c>
      <c r="C146" t="s">
        <v>14</v>
      </c>
      <c r="G146" s="2" t="s">
        <v>131</v>
      </c>
      <c r="H146" s="5">
        <v>2</v>
      </c>
      <c r="I146" t="s">
        <v>14</v>
      </c>
      <c r="M146" s="2" t="s">
        <v>131</v>
      </c>
      <c r="N146" s="5">
        <f>2</f>
        <v>2</v>
      </c>
      <c r="O146" t="s">
        <v>14</v>
      </c>
    </row>
    <row r="147" spans="1:15">
      <c r="A147" s="2" t="s">
        <v>132</v>
      </c>
      <c r="B147" s="5">
        <v>2</v>
      </c>
      <c r="C147" t="s">
        <v>14</v>
      </c>
      <c r="G147" s="2" t="s">
        <v>132</v>
      </c>
      <c r="H147" s="5">
        <v>1</v>
      </c>
      <c r="I147" t="s">
        <v>14</v>
      </c>
      <c r="M147" s="2" t="s">
        <v>132</v>
      </c>
      <c r="N147" s="5">
        <v>1</v>
      </c>
      <c r="O147" t="s">
        <v>14</v>
      </c>
    </row>
    <row r="148" spans="1:15">
      <c r="A148" s="2" t="s">
        <v>133</v>
      </c>
      <c r="B148" s="5"/>
      <c r="G148" s="2" t="s">
        <v>133</v>
      </c>
      <c r="H148" s="5"/>
      <c r="M148" s="2" t="s">
        <v>133</v>
      </c>
      <c r="N148" s="5">
        <v>1</v>
      </c>
      <c r="O148" t="s">
        <v>14</v>
      </c>
    </row>
    <row r="149" spans="1:15">
      <c r="A149" s="2" t="s">
        <v>134</v>
      </c>
      <c r="B149" s="5">
        <f>2.32+4.23+3.39+2.05+1.56+0.7+3*2.4+2.37+2.63+2.99+1.44+0.26+2.25+3*2.4</f>
        <v>40.590000000000003</v>
      </c>
      <c r="C149" t="s">
        <v>23</v>
      </c>
      <c r="G149" s="2" t="s">
        <v>134</v>
      </c>
      <c r="H149" s="5">
        <f>3.39+4.23+4.5+2.9+0.36+2*(1.56+1.83)+2*5.26+6.32+2*3.84+2*3.48+2*0.31+6.32+2*5.33+2*3.48+2*0.36</f>
        <v>78.919999999999987</v>
      </c>
      <c r="I149" t="s">
        <v>135</v>
      </c>
      <c r="M149" s="2" t="s">
        <v>134</v>
      </c>
      <c r="N149" s="5">
        <f>2.64+4.5+4.23+3.63+2.3+1.56+1.82+1.31+2*4.62+3.84+5.26+3.53+3.6+2*1.11+3.84+5.33+3.04</f>
        <v>61.889999999999993</v>
      </c>
      <c r="O149" t="s">
        <v>135</v>
      </c>
    </row>
    <row r="150" spans="1:15">
      <c r="A150" s="2" t="s">
        <v>136</v>
      </c>
      <c r="B150" s="1">
        <v>15</v>
      </c>
      <c r="C150" t="s">
        <v>14</v>
      </c>
      <c r="G150" s="2" t="s">
        <v>136</v>
      </c>
      <c r="H150" s="1"/>
      <c r="M150" s="2" t="s">
        <v>136</v>
      </c>
      <c r="N150" s="1"/>
    </row>
    <row r="154" spans="1:15">
      <c r="A154" s="4" t="s">
        <v>34</v>
      </c>
    </row>
    <row r="156" spans="1:15">
      <c r="A156" s="2" t="s">
        <v>134</v>
      </c>
      <c r="B156">
        <f>2*3.28</f>
        <v>6.56</v>
      </c>
      <c r="C156" t="s">
        <v>23</v>
      </c>
    </row>
    <row r="157" spans="1:15">
      <c r="A157" s="2" t="s">
        <v>43</v>
      </c>
      <c r="B157">
        <f>5.09+2*0.53+2.11+2.25+2*0.29+3.98</f>
        <v>15.07</v>
      </c>
      <c r="C157" t="s">
        <v>23</v>
      </c>
    </row>
    <row r="158" spans="1:15">
      <c r="A158" s="2" t="s">
        <v>137</v>
      </c>
      <c r="B158">
        <f>2*1.28+2*0.97</f>
        <v>4.5</v>
      </c>
      <c r="C158" t="s">
        <v>23</v>
      </c>
    </row>
    <row r="159" spans="1:15">
      <c r="A159" s="2" t="s">
        <v>138</v>
      </c>
      <c r="B159">
        <f>2*1.28+2*3.89+2*3.61+3.28</f>
        <v>20.84</v>
      </c>
      <c r="C159" t="s">
        <v>23</v>
      </c>
    </row>
    <row r="160" spans="1:15">
      <c r="A160" s="2" t="s">
        <v>139</v>
      </c>
      <c r="B160">
        <f>2*3.38+2.7+2*2.14+0.3+2*3.37+2.69+2*2.16+0.3</f>
        <v>28.090000000000003</v>
      </c>
      <c r="C160" t="s">
        <v>23</v>
      </c>
    </row>
    <row r="161" spans="1:9">
      <c r="A161" s="2" t="s">
        <v>140</v>
      </c>
      <c r="B161" s="1">
        <v>298</v>
      </c>
      <c r="C161" t="s">
        <v>14</v>
      </c>
      <c r="D161" s="1">
        <f>B161*0.25*0.25</f>
        <v>18.625</v>
      </c>
      <c r="E161" t="s">
        <v>8</v>
      </c>
    </row>
    <row r="162" spans="1:9">
      <c r="A162" s="2" t="s">
        <v>141</v>
      </c>
      <c r="B162">
        <v>108</v>
      </c>
      <c r="C162" t="s">
        <v>14</v>
      </c>
      <c r="D162" s="1">
        <f>B162*0.25*0.25</f>
        <v>6.75</v>
      </c>
      <c r="E162" t="s">
        <v>8</v>
      </c>
    </row>
    <row r="163" spans="1:9">
      <c r="A163" s="2" t="s">
        <v>123</v>
      </c>
      <c r="B163" s="1">
        <f>9*2+14*4</f>
        <v>74</v>
      </c>
      <c r="C163" t="s">
        <v>14</v>
      </c>
      <c r="D163">
        <f>B163/2</f>
        <v>37</v>
      </c>
      <c r="E163" t="s">
        <v>124</v>
      </c>
    </row>
    <row r="164" spans="1:9">
      <c r="A164" s="2" t="s">
        <v>125</v>
      </c>
      <c r="B164" s="1">
        <v>6</v>
      </c>
      <c r="C164" t="s">
        <v>14</v>
      </c>
    </row>
    <row r="165" spans="1:9">
      <c r="A165" s="2" t="s">
        <v>142</v>
      </c>
      <c r="B165">
        <f>5*24+3*24</f>
        <v>192</v>
      </c>
      <c r="C165" t="s">
        <v>23</v>
      </c>
    </row>
    <row r="167" spans="1:9">
      <c r="A167" s="3" t="s">
        <v>143</v>
      </c>
    </row>
    <row r="169" spans="1:9">
      <c r="A169" s="4" t="s">
        <v>34</v>
      </c>
    </row>
    <row r="171" spans="1:9">
      <c r="A171" s="2" t="s">
        <v>144</v>
      </c>
      <c r="B171" s="6">
        <f>(7.22+2*1.58+5.7+2*1.64+2*1.47)*1.5</f>
        <v>33.450000000000003</v>
      </c>
      <c r="C171" t="s">
        <v>8</v>
      </c>
      <c r="I171" t="s">
        <v>14</v>
      </c>
    </row>
    <row r="172" spans="1:9">
      <c r="A172" s="2" t="s">
        <v>145</v>
      </c>
      <c r="B172" s="6">
        <v>1</v>
      </c>
      <c r="C172" t="s">
        <v>14</v>
      </c>
    </row>
    <row r="173" spans="1:9">
      <c r="A173" s="2" t="s">
        <v>146</v>
      </c>
      <c r="B173" s="6">
        <v>2</v>
      </c>
      <c r="C173" t="s">
        <v>14</v>
      </c>
    </row>
    <row r="174" spans="1:9">
      <c r="A174" s="2" t="s">
        <v>147</v>
      </c>
      <c r="B174" s="6">
        <v>6</v>
      </c>
      <c r="C174" t="s">
        <v>14</v>
      </c>
    </row>
    <row r="175" spans="1:9">
      <c r="A175" s="2" t="s">
        <v>148</v>
      </c>
      <c r="B175" s="6">
        <v>3</v>
      </c>
      <c r="C175" t="s">
        <v>14</v>
      </c>
    </row>
    <row r="176" spans="1:9">
      <c r="A176" s="2" t="s">
        <v>149</v>
      </c>
      <c r="B176" s="6" t="s">
        <v>150</v>
      </c>
    </row>
    <row r="177" spans="1:2">
      <c r="A177" s="2" t="s">
        <v>151</v>
      </c>
      <c r="B177" s="6">
        <v>24</v>
      </c>
    </row>
    <row r="178" spans="1:2">
      <c r="A178" s="2" t="s">
        <v>152</v>
      </c>
      <c r="B178" s="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2024-08-14T01:34:07Z</dcterms:created>
  <dcterms:modified xsi:type="dcterms:W3CDTF">2024-10-17T13:58:58Z</dcterms:modified>
  <cp:category/>
  <cp:contentStatus/>
</cp:coreProperties>
</file>