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INSS\Concentra\Diversos\35014.334990.2025-79 - VIG OST 2025 (GO, RR e DF)\"/>
    </mc:Choice>
  </mc:AlternateContent>
  <xr:revisionPtr revIDLastSave="0" documentId="13_ncr:1_{87E35967-4AEC-481B-88ED-4C1DD404C159}" xr6:coauthVersionLast="47" xr6:coauthVersionMax="47" xr10:uidLastSave="{00000000-0000-0000-0000-000000000000}"/>
  <bookViews>
    <workbookView xWindow="19080" yWindow="-120" windowWidth="29040" windowHeight="15840" tabRatio="500" xr2:uid="{00000000-000D-0000-FFFF-FFFF00000000}"/>
  </bookViews>
  <sheets>
    <sheet name="Resumo" sheetId="1" r:id="rId1"/>
    <sheet name="Insumos" sheetId="2" r:id="rId2"/>
    <sheet name="Memória de Cálculo" sheetId="3" r:id="rId3"/>
    <sheet name="Horas Extras" sheetId="4" r:id="rId4"/>
    <sheet name="Brasília" sheetId="5" r:id="rId5"/>
  </sheets>
  <definedNames>
    <definedName name="_xlnm.Print_Area" localSheetId="3">'Horas Extras'!$A$1:$E$134</definedName>
    <definedName name="_xlnm.Print_Area" localSheetId="2">'Memória de Cálculo'!$A$1:$E$26</definedName>
    <definedName name="_xlnm.Print_Area" localSheetId="0">Resumo!$A$1:$H$34</definedName>
    <definedName name="Print_Area_0" localSheetId="0">Resumo!$A$1:$H$34</definedName>
    <definedName name="Print_Area_0_0" localSheetId="2">'Memória de Cálculo'!$A$1:$E$26</definedName>
    <definedName name="Print_Area_0_0" localSheetId="0">Resumo!$A$1:$H$34</definedName>
    <definedName name="Print_Area_0_0_0" localSheetId="2">'Memória de Cálculo'!$A$1:$E$26</definedName>
    <definedName name="Print_Area_0_0_0" localSheetId="0">Resumo!$A$1:$H$34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34" i="1" l="1"/>
  <c r="G34" i="1"/>
  <c r="E29" i="1"/>
  <c r="F28" i="1"/>
  <c r="E28" i="1"/>
  <c r="D16" i="4" s="1"/>
  <c r="G28" i="1" l="1"/>
  <c r="E33" i="1" l="1"/>
  <c r="E32" i="1"/>
  <c r="D60" i="5"/>
  <c r="E60" i="5"/>
  <c r="F60" i="5"/>
  <c r="E59" i="5"/>
  <c r="F59" i="5"/>
  <c r="F56" i="5"/>
  <c r="E56" i="5"/>
  <c r="D56" i="5"/>
  <c r="C76" i="4" l="1"/>
  <c r="C74" i="4"/>
  <c r="C75" i="4" s="1"/>
  <c r="C71" i="4"/>
  <c r="C72" i="4" s="1"/>
  <c r="F19" i="1"/>
  <c r="F20" i="1"/>
  <c r="F21" i="1"/>
  <c r="F22" i="1"/>
  <c r="F18" i="1"/>
  <c r="C130" i="5"/>
  <c r="C131" i="5"/>
  <c r="C133" i="5"/>
  <c r="C134" i="5"/>
  <c r="C129" i="5"/>
  <c r="C85" i="4" l="1"/>
  <c r="C84" i="4"/>
  <c r="C83" i="4"/>
  <c r="C82" i="4"/>
  <c r="C81" i="4"/>
  <c r="C85" i="5"/>
  <c r="C84" i="5"/>
  <c r="C83" i="5"/>
  <c r="C82" i="5"/>
  <c r="B25" i="3"/>
  <c r="B17" i="3"/>
  <c r="B21" i="3"/>
  <c r="C6" i="4" l="1"/>
  <c r="C5" i="4"/>
  <c r="C4" i="4"/>
  <c r="C25" i="4"/>
  <c r="C12" i="4"/>
  <c r="C9" i="4"/>
  <c r="C11" i="4"/>
  <c r="C26" i="4"/>
  <c r="C110" i="5" l="1"/>
  <c r="C109" i="5"/>
  <c r="F101" i="5"/>
  <c r="E101" i="5"/>
  <c r="D101" i="5"/>
  <c r="C94" i="5"/>
  <c r="D90" i="5"/>
  <c r="D94" i="5" s="1"/>
  <c r="C81" i="5"/>
  <c r="C76" i="5"/>
  <c r="C74" i="5"/>
  <c r="C71" i="5"/>
  <c r="C72" i="5" s="1"/>
  <c r="F61" i="5"/>
  <c r="E61" i="5"/>
  <c r="D61" i="5"/>
  <c r="D59" i="5"/>
  <c r="F58" i="5"/>
  <c r="E58" i="5"/>
  <c r="D58" i="5"/>
  <c r="C57" i="5"/>
  <c r="C54" i="5"/>
  <c r="C65" i="5" s="1"/>
  <c r="C42" i="5"/>
  <c r="C43" i="5" s="1"/>
  <c r="C31" i="5"/>
  <c r="F31" i="5" s="1"/>
  <c r="F16" i="5"/>
  <c r="E16" i="5"/>
  <c r="D16" i="5"/>
  <c r="C111" i="4"/>
  <c r="C109" i="4" s="1"/>
  <c r="C110" i="4"/>
  <c r="C103" i="4"/>
  <c r="E102" i="4"/>
  <c r="D102" i="4"/>
  <c r="E101" i="4"/>
  <c r="D101" i="4"/>
  <c r="E100" i="4"/>
  <c r="D100" i="4"/>
  <c r="E99" i="4"/>
  <c r="E103" i="4" s="1"/>
  <c r="E123" i="4" s="1"/>
  <c r="D99" i="4"/>
  <c r="D94" i="4"/>
  <c r="C94" i="4"/>
  <c r="E90" i="4"/>
  <c r="E94" i="4" s="1"/>
  <c r="D90" i="4"/>
  <c r="E61" i="4"/>
  <c r="D61" i="4"/>
  <c r="D59" i="4"/>
  <c r="E59" i="4" s="1"/>
  <c r="E58" i="4"/>
  <c r="D58" i="4"/>
  <c r="C54" i="4"/>
  <c r="C42" i="4"/>
  <c r="C43" i="4" s="1"/>
  <c r="C23" i="4"/>
  <c r="C31" i="4" s="1"/>
  <c r="C131" i="4"/>
  <c r="C130" i="4"/>
  <c r="D8" i="3"/>
  <c r="E8" i="3" s="1"/>
  <c r="F57" i="5" s="1"/>
  <c r="D7" i="3"/>
  <c r="E7" i="3" s="1"/>
  <c r="E57" i="5" s="1"/>
  <c r="D6" i="3"/>
  <c r="E6" i="3" s="1"/>
  <c r="D57" i="5" s="1"/>
  <c r="J20" i="2"/>
  <c r="J19" i="2"/>
  <c r="J18" i="2"/>
  <c r="J17" i="2"/>
  <c r="J21" i="2" s="1"/>
  <c r="C100" i="5" s="1"/>
  <c r="J12" i="2"/>
  <c r="J11" i="2"/>
  <c r="J10" i="2"/>
  <c r="J9" i="2"/>
  <c r="J8" i="2"/>
  <c r="J7" i="2"/>
  <c r="J6" i="2"/>
  <c r="J5" i="2"/>
  <c r="F23" i="1"/>
  <c r="J13" i="2" l="1"/>
  <c r="C99" i="5" s="1"/>
  <c r="F99" i="5" s="1"/>
  <c r="D103" i="4"/>
  <c r="D123" i="4" s="1"/>
  <c r="C108" i="5"/>
  <c r="C44" i="5"/>
  <c r="C64" i="5" s="1"/>
  <c r="C87" i="4"/>
  <c r="C93" i="4" s="1"/>
  <c r="E32" i="4"/>
  <c r="E38" i="4" s="1"/>
  <c r="E60" i="4"/>
  <c r="E62" i="4" s="1"/>
  <c r="E66" i="4" s="1"/>
  <c r="F62" i="5"/>
  <c r="F66" i="5" s="1"/>
  <c r="F32" i="5"/>
  <c r="F35" i="5" s="1"/>
  <c r="F100" i="5"/>
  <c r="E100" i="5"/>
  <c r="D100" i="5"/>
  <c r="C44" i="4"/>
  <c r="C64" i="4" s="1"/>
  <c r="C75" i="5"/>
  <c r="D31" i="4"/>
  <c r="C87" i="5"/>
  <c r="C93" i="5" s="1"/>
  <c r="C65" i="4"/>
  <c r="C77" i="4"/>
  <c r="D31" i="5"/>
  <c r="E31" i="5"/>
  <c r="D99" i="5" l="1"/>
  <c r="D102" i="5" s="1"/>
  <c r="D122" i="5" s="1"/>
  <c r="C102" i="5"/>
  <c r="E99" i="5"/>
  <c r="E102" i="5" s="1"/>
  <c r="E122" i="5" s="1"/>
  <c r="F34" i="5"/>
  <c r="F38" i="5" s="1"/>
  <c r="E119" i="4"/>
  <c r="E73" i="4"/>
  <c r="E42" i="4"/>
  <c r="E71" i="4"/>
  <c r="E43" i="4"/>
  <c r="E72" i="4"/>
  <c r="E74" i="4"/>
  <c r="E75" i="4"/>
  <c r="E76" i="4"/>
  <c r="D32" i="5"/>
  <c r="D38" i="5" s="1"/>
  <c r="F102" i="5"/>
  <c r="F122" i="5" s="1"/>
  <c r="D32" i="4"/>
  <c r="D38" i="4" s="1"/>
  <c r="D60" i="4"/>
  <c r="D62" i="4" s="1"/>
  <c r="D66" i="4" s="1"/>
  <c r="E62" i="5"/>
  <c r="E66" i="5" s="1"/>
  <c r="E32" i="5"/>
  <c r="E38" i="5" s="1"/>
  <c r="C77" i="5"/>
  <c r="F76" i="5" l="1"/>
  <c r="F43" i="5"/>
  <c r="F73" i="5"/>
  <c r="F72" i="5"/>
  <c r="F42" i="5"/>
  <c r="F118" i="5"/>
  <c r="F75" i="5"/>
  <c r="F89" i="5"/>
  <c r="F90" i="5" s="1"/>
  <c r="F94" i="5" s="1"/>
  <c r="F74" i="5"/>
  <c r="F71" i="5"/>
  <c r="D62" i="5"/>
  <c r="D66" i="5" s="1"/>
  <c r="E118" i="5"/>
  <c r="E89" i="5"/>
  <c r="E90" i="5" s="1"/>
  <c r="E94" i="5" s="1"/>
  <c r="E42" i="5"/>
  <c r="E73" i="5"/>
  <c r="E74" i="5"/>
  <c r="E72" i="5"/>
  <c r="E43" i="5"/>
  <c r="E76" i="5"/>
  <c r="E71" i="5"/>
  <c r="E75" i="5"/>
  <c r="D119" i="4"/>
  <c r="D73" i="4"/>
  <c r="D42" i="4"/>
  <c r="D76" i="4"/>
  <c r="D71" i="4"/>
  <c r="D72" i="4"/>
  <c r="D43" i="4"/>
  <c r="D74" i="4"/>
  <c r="D75" i="4"/>
  <c r="D118" i="5"/>
  <c r="D73" i="5"/>
  <c r="D42" i="5"/>
  <c r="D72" i="5"/>
  <c r="D71" i="5"/>
  <c r="D74" i="5"/>
  <c r="D76" i="5"/>
  <c r="D43" i="5"/>
  <c r="E77" i="4"/>
  <c r="E121" i="4" s="1"/>
  <c r="D75" i="5"/>
  <c r="E44" i="4"/>
  <c r="F44" i="5" l="1"/>
  <c r="F49" i="5" s="1"/>
  <c r="F77" i="5"/>
  <c r="F120" i="5" s="1"/>
  <c r="D44" i="5"/>
  <c r="E44" i="5"/>
  <c r="F50" i="5"/>
  <c r="D77" i="4"/>
  <c r="D121" i="4" s="1"/>
  <c r="D77" i="5"/>
  <c r="D120" i="5" s="1"/>
  <c r="E77" i="5"/>
  <c r="E120" i="5" s="1"/>
  <c r="D44" i="4"/>
  <c r="E64" i="4"/>
  <c r="E53" i="4"/>
  <c r="E50" i="4"/>
  <c r="E49" i="4"/>
  <c r="E46" i="4"/>
  <c r="E47" i="4"/>
  <c r="E51" i="4"/>
  <c r="E48" i="4"/>
  <c r="E52" i="4"/>
  <c r="F53" i="5" l="1"/>
  <c r="F52" i="5"/>
  <c r="F64" i="5"/>
  <c r="F47" i="5"/>
  <c r="F48" i="5"/>
  <c r="F51" i="5"/>
  <c r="F46" i="5"/>
  <c r="D64" i="4"/>
  <c r="D51" i="4"/>
  <c r="D46" i="4"/>
  <c r="D47" i="4"/>
  <c r="D53" i="4"/>
  <c r="D49" i="4"/>
  <c r="D50" i="4"/>
  <c r="D52" i="4"/>
  <c r="D48" i="4"/>
  <c r="E64" i="5"/>
  <c r="E49" i="5"/>
  <c r="E48" i="5"/>
  <c r="E47" i="5"/>
  <c r="E46" i="5"/>
  <c r="E50" i="5"/>
  <c r="E51" i="5"/>
  <c r="E53" i="5"/>
  <c r="E52" i="5"/>
  <c r="E54" i="4"/>
  <c r="E65" i="4" s="1"/>
  <c r="E67" i="4" s="1"/>
  <c r="D64" i="5"/>
  <c r="D51" i="5"/>
  <c r="D52" i="5"/>
  <c r="D50" i="5"/>
  <c r="D49" i="5"/>
  <c r="D53" i="5"/>
  <c r="D47" i="5"/>
  <c r="D46" i="5"/>
  <c r="D48" i="5"/>
  <c r="F54" i="5" l="1"/>
  <c r="F65" i="5" s="1"/>
  <c r="F67" i="5" s="1"/>
  <c r="F84" i="5" s="1"/>
  <c r="E120" i="4"/>
  <c r="E84" i="4"/>
  <c r="E82" i="4"/>
  <c r="E83" i="4"/>
  <c r="E86" i="4"/>
  <c r="E81" i="4"/>
  <c r="E85" i="4"/>
  <c r="D54" i="5"/>
  <c r="D54" i="4"/>
  <c r="D65" i="4" s="1"/>
  <c r="D67" i="4" s="1"/>
  <c r="E54" i="5"/>
  <c r="E65" i="5" s="1"/>
  <c r="E67" i="5" s="1"/>
  <c r="F86" i="5" l="1"/>
  <c r="F119" i="5"/>
  <c r="F83" i="5"/>
  <c r="F81" i="5"/>
  <c r="F82" i="5"/>
  <c r="F85" i="5"/>
  <c r="E119" i="5"/>
  <c r="E82" i="5"/>
  <c r="E86" i="5"/>
  <c r="E81" i="5"/>
  <c r="E83" i="5"/>
  <c r="E85" i="5"/>
  <c r="E84" i="5"/>
  <c r="D120" i="4"/>
  <c r="D81" i="4"/>
  <c r="D82" i="4"/>
  <c r="D85" i="4"/>
  <c r="D84" i="4"/>
  <c r="D83" i="4"/>
  <c r="D86" i="4"/>
  <c r="D65" i="5"/>
  <c r="D67" i="5" s="1"/>
  <c r="E87" i="4"/>
  <c r="E93" i="4" s="1"/>
  <c r="E95" i="4" s="1"/>
  <c r="F87" i="5" l="1"/>
  <c r="F93" i="5" s="1"/>
  <c r="F95" i="5" s="1"/>
  <c r="F121" i="5" s="1"/>
  <c r="E87" i="5"/>
  <c r="E93" i="5" s="1"/>
  <c r="E95" i="5" s="1"/>
  <c r="E121" i="5" s="1"/>
  <c r="E123" i="5" s="1"/>
  <c r="D87" i="4"/>
  <c r="D93" i="4" s="1"/>
  <c r="D95" i="4" s="1"/>
  <c r="E122" i="4"/>
  <c r="E107" i="4"/>
  <c r="E108" i="4" s="1"/>
  <c r="E110" i="4" s="1"/>
  <c r="D119" i="5"/>
  <c r="D85" i="5"/>
  <c r="D82" i="5"/>
  <c r="D86" i="5"/>
  <c r="D83" i="5"/>
  <c r="D84" i="5"/>
  <c r="D81" i="5"/>
  <c r="F106" i="5" l="1"/>
  <c r="F107" i="5" s="1"/>
  <c r="F108" i="5" s="1"/>
  <c r="E113" i="4"/>
  <c r="E109" i="4"/>
  <c r="E115" i="4" s="1"/>
  <c r="E125" i="4" s="1"/>
  <c r="E126" i="4" s="1"/>
  <c r="D131" i="4" s="1"/>
  <c r="E106" i="5"/>
  <c r="E107" i="5" s="1"/>
  <c r="E110" i="5" s="1"/>
  <c r="E111" i="4"/>
  <c r="D122" i="4"/>
  <c r="D107" i="4"/>
  <c r="D87" i="5"/>
  <c r="D93" i="5" s="1"/>
  <c r="D95" i="5" s="1"/>
  <c r="E124" i="4"/>
  <c r="F123" i="5"/>
  <c r="F109" i="5" l="1"/>
  <c r="F110" i="5"/>
  <c r="F114" i="5"/>
  <c r="F124" i="5" s="1"/>
  <c r="F125" i="5" s="1"/>
  <c r="F112" i="5"/>
  <c r="E131" i="4"/>
  <c r="E112" i="5"/>
  <c r="D124" i="4"/>
  <c r="D108" i="4"/>
  <c r="E109" i="5"/>
  <c r="E108" i="5"/>
  <c r="E114" i="5" s="1"/>
  <c r="E124" i="5" s="1"/>
  <c r="E125" i="5" s="1"/>
  <c r="D121" i="5"/>
  <c r="D106" i="5"/>
  <c r="D134" i="5" l="1"/>
  <c r="F33" i="1" s="1"/>
  <c r="G33" i="1" s="1"/>
  <c r="D131" i="5"/>
  <c r="D133" i="5"/>
  <c r="F32" i="1" s="1"/>
  <c r="G32" i="1" s="1"/>
  <c r="H32" i="1" s="1"/>
  <c r="D130" i="5"/>
  <c r="F31" i="1"/>
  <c r="G31" i="1" s="1"/>
  <c r="H31" i="1" s="1"/>
  <c r="H20" i="1" s="1"/>
  <c r="F30" i="1"/>
  <c r="G30" i="1" s="1"/>
  <c r="H30" i="1" s="1"/>
  <c r="D110" i="4"/>
  <c r="D107" i="5"/>
  <c r="D110" i="5" s="1"/>
  <c r="D109" i="4"/>
  <c r="D115" i="4" s="1"/>
  <c r="D125" i="4" s="1"/>
  <c r="D126" i="4" s="1"/>
  <c r="D130" i="4" s="1"/>
  <c r="D123" i="5"/>
  <c r="D113" i="4"/>
  <c r="D111" i="4"/>
  <c r="H33" i="1" l="1"/>
  <c r="H22" i="1" s="1"/>
  <c r="G22" i="1"/>
  <c r="E134" i="5"/>
  <c r="G20" i="1"/>
  <c r="E133" i="5"/>
  <c r="E130" i="5"/>
  <c r="H21" i="1"/>
  <c r="G21" i="1"/>
  <c r="G19" i="1"/>
  <c r="H19" i="1"/>
  <c r="E130" i="4"/>
  <c r="E132" i="4" s="1"/>
  <c r="D108" i="5"/>
  <c r="D114" i="5" s="1"/>
  <c r="D124" i="5" s="1"/>
  <c r="D125" i="5" s="1"/>
  <c r="D112" i="5"/>
  <c r="D109" i="5"/>
  <c r="D132" i="5" l="1"/>
  <c r="D129" i="5"/>
  <c r="E131" i="5"/>
  <c r="E132" i="5" l="1"/>
  <c r="F27" i="1"/>
  <c r="E129" i="5"/>
  <c r="G27" i="1" l="1"/>
  <c r="F29" i="1"/>
  <c r="E135" i="5"/>
  <c r="G29" i="1" l="1"/>
  <c r="H29" i="1" l="1"/>
  <c r="G18" i="1"/>
  <c r="G23" i="1" s="1"/>
  <c r="H18" i="1" l="1"/>
  <c r="H23" i="1" s="1"/>
</calcChain>
</file>

<file path=xl/sharedStrings.xml><?xml version="1.0" encoding="utf-8"?>
<sst xmlns="http://schemas.openxmlformats.org/spreadsheetml/2006/main" count="498" uniqueCount="274">
  <si>
    <t>PLANILHA ESTIMATIVA</t>
  </si>
  <si>
    <t xml:space="preserve">PREGÃO ELETRÔNICO Nº </t>
  </si>
  <si>
    <t xml:space="preserve">DATA DA ABERTURA: </t>
  </si>
  <si>
    <t xml:space="preserve">1 - OBJETO: </t>
  </si>
  <si>
    <t>Contratação de serviços de segurança e vigilância orgânica e patrimonial desarmada, visando atender as demandas da Superintendência Regional Norte/Centro-Oeste e Gerências Executivas vinculadas, conforme condições, quantidades e exigências estabelecidas neste instrumento convocatório.</t>
  </si>
  <si>
    <t>2 - CONDIÇÕES GERAIS</t>
  </si>
  <si>
    <t>Conforme Termo de Referência.</t>
  </si>
  <si>
    <t>RESUMO GERAL</t>
  </si>
  <si>
    <t>DESCRIÇÃO</t>
  </si>
  <si>
    <t>POSTOS / HE</t>
  </si>
  <si>
    <t>VALOR MENSAL</t>
  </si>
  <si>
    <t xml:space="preserve">VALOR GLOBAL     </t>
  </si>
  <si>
    <t>POSTO DE VIGILÂNCIA DESARMADA 12x36 DIURNO</t>
  </si>
  <si>
    <t>POSTO DE VIGILÂNCIA DESARMADA 12x36 NOTURNO</t>
  </si>
  <si>
    <t>POSTO DE VIGILÂNCIA DESARMADA 44 HORAS SEMANAIS</t>
  </si>
  <si>
    <t>HORA EXTRA (Sábado)</t>
  </si>
  <si>
    <t xml:space="preserve">VALOR TOTAL: </t>
  </si>
  <si>
    <t>Item</t>
  </si>
  <si>
    <t>Município</t>
  </si>
  <si>
    <t>Descrição</t>
  </si>
  <si>
    <t>Quant.</t>
  </si>
  <si>
    <t>Valor Mensal</t>
  </si>
  <si>
    <t>Valor 12 Meses</t>
  </si>
  <si>
    <t>DISTRITO FEDERAL</t>
  </si>
  <si>
    <t>VALOR TOTAL:</t>
  </si>
  <si>
    <t>Observações:</t>
  </si>
  <si>
    <t>CÁLCULO DOS INSUMOS</t>
  </si>
  <si>
    <t>ESTIMATIVA ANUAL DE UNIFORMES POR VIGILANTE</t>
  </si>
  <si>
    <t>ITEM</t>
  </si>
  <si>
    <t>DISCRIMINAÇÃO</t>
  </si>
  <si>
    <t>UNIDADE</t>
  </si>
  <si>
    <t>QTDE</t>
  </si>
  <si>
    <t>Preço 1 R$</t>
  </si>
  <si>
    <t>Preço 2</t>
  </si>
  <si>
    <t>Preço 3</t>
  </si>
  <si>
    <t>Média Painel de Preços</t>
  </si>
  <si>
    <t>VALOR MÉDIO</t>
  </si>
  <si>
    <t>Calça</t>
  </si>
  <si>
    <t>unid</t>
  </si>
  <si>
    <t>Camisa de mangas curtas</t>
  </si>
  <si>
    <t>Cinto de nylon</t>
  </si>
  <si>
    <t>Coturno</t>
  </si>
  <si>
    <t>par</t>
  </si>
  <si>
    <t>Meia</t>
  </si>
  <si>
    <t>Blusa de frio - japona</t>
  </si>
  <si>
    <t>Crachá</t>
  </si>
  <si>
    <t>Apito de metal com cordão</t>
  </si>
  <si>
    <t>CUSTO MENSAL DE UNIFORMES</t>
  </si>
  <si>
    <t xml:space="preserve"> MATERIAIS POR POSTO</t>
  </si>
  <si>
    <t>Preço 1</t>
  </si>
  <si>
    <t>Livro de ocorrência</t>
  </si>
  <si>
    <t>Tonfa (cassetete)</t>
  </si>
  <si>
    <t>Porta tonfa (Cassetete)</t>
  </si>
  <si>
    <t>Lanterna tática recarregável</t>
  </si>
  <si>
    <t>CUSTO MENSAL DE MATERIAIS E EQUIPAMENTOS</t>
  </si>
  <si>
    <t>Memória de Cálculo</t>
  </si>
  <si>
    <t>VALE REFEIÇÃO</t>
  </si>
  <si>
    <t>QTD DE TICKETS</t>
  </si>
  <si>
    <t>VALOR UNITÁRIO</t>
  </si>
  <si>
    <t>DESCONTO (2% valor do Auxílio)</t>
  </si>
  <si>
    <t>POSTOS 44h</t>
  </si>
  <si>
    <t>POSTOS 12x36h Diurno</t>
  </si>
  <si>
    <t>POSTOS 12x36h Noturno</t>
  </si>
  <si>
    <t>Total</t>
  </si>
  <si>
    <t>Licença Paternidade</t>
  </si>
  <si>
    <t>Ausências por acidente de trabalho</t>
  </si>
  <si>
    <t>Afastamento Maternidade</t>
  </si>
  <si>
    <t xml:space="preserve">Valor (R$) </t>
  </si>
  <si>
    <t>1. A ADMINISTRAÇÃO NÃO PODERÁ DESCLASSIFICAR PROPOSTAS QUE APRESENTEM COTAÇÕES PARA RESERVA TÉCNICA, IRPJ, CSLL, SUPERVISÃO/FISCALIZAÇÃO E RECICLAGEM/TREINAMENTO, NEM PODERÁ DESCLASSIFICAR EMPRESAS QUE APRESENTEM PLANILHAS COM COTAÇÕES INCORRETAS PARA OS ENCARGOS TRIBUTÁRIOS.</t>
  </si>
  <si>
    <r>
      <rPr>
        <b/>
        <sz val="9"/>
        <color rgb="FF000000"/>
        <rFont val="Spranq eco sans"/>
        <charset val="1"/>
      </rPr>
      <t xml:space="preserve">ADVERTE-SE, CONTUDO, QUE, DE ACORDO COM A JURISPRUDÊNCIA CONSOLIDADA DO TCU, </t>
    </r>
    <r>
      <rPr>
        <sz val="10"/>
        <color rgb="FF000000"/>
        <rFont val="Arial"/>
        <family val="2"/>
        <charset val="1"/>
      </rPr>
      <t>É INDEVIDA A COTAÇÃO, COMO ITEM ESPECÍFICO DA PLANILHA, DE CUSTOS RELATIVOS A:</t>
    </r>
  </si>
  <si>
    <r>
      <rPr>
        <b/>
        <sz val="9"/>
        <color rgb="FF000000"/>
        <rFont val="Spranq eco sans"/>
        <charset val="1"/>
      </rPr>
      <t xml:space="preserve">A) </t>
    </r>
    <r>
      <rPr>
        <sz val="10"/>
        <color rgb="FF000000"/>
        <rFont val="Arial"/>
        <family val="2"/>
        <charset val="1"/>
      </rPr>
      <t>RESERVA TÉCNICA, POIS JÁ ESTARIAM COMPREENDIDOS NAS FALTAS LEGAIS (ACÓRDÃOS TCU Nº 1.696/2010-2ª CÂMARA E Nº 1.319/2010-2ª CÂMARA);</t>
    </r>
  </si>
  <si>
    <r>
      <rPr>
        <b/>
        <sz val="9"/>
        <color rgb="FF000000"/>
        <rFont val="Spranq eco sans"/>
        <charset val="1"/>
      </rPr>
      <t xml:space="preserve">B) </t>
    </r>
    <r>
      <rPr>
        <sz val="10"/>
        <color rgb="FF000000"/>
        <rFont val="Arial"/>
        <family val="2"/>
        <charset val="1"/>
      </rPr>
      <t>TREINAMENTO/RECICLAGEM/CAPACITAÇÃO OU ITEM CONGÊNERE, UMA VEZ QUE ESSES CUSTOS JÁ ESTÃO ENGLOBADOS NAS DESPESAS ADMINISTRATIVAS DA CONTRATADA, SENDO DE SUA EXCLUSIVA RESPONSABILIDADE (ACÓRDÃOS TCU Nº 592/2010-PLENÁRIO, Nº 1.696/2010-2ª CÂMARA E Nº 592/2010-PLENÁRIO);</t>
    </r>
  </si>
  <si>
    <r>
      <rPr>
        <b/>
        <sz val="9"/>
        <color rgb="FF000000"/>
        <rFont val="Spranq eco sans"/>
        <charset val="1"/>
      </rPr>
      <t xml:space="preserve">C) </t>
    </r>
    <r>
      <rPr>
        <sz val="10"/>
        <color rgb="FF000000"/>
        <rFont val="Arial"/>
        <family val="2"/>
        <charset val="1"/>
      </rPr>
      <t>SUPERVISÃO E FISCALIZAÇÃO, UMA VEZ QUE ESSES CUSTOS JÁ ESTÃO ENGLOBADOS NAS DESPESAS ADMINISTRATIVAS DA CONTRATADA (ACÓRDÃO Nº 592/2010-PLENÁRIO);*</t>
    </r>
  </si>
  <si>
    <r>
      <rPr>
        <b/>
        <sz val="9"/>
        <color rgb="FF000000"/>
        <rFont val="Spranq eco sans"/>
        <charset val="1"/>
      </rPr>
      <t xml:space="preserve">D) </t>
    </r>
    <r>
      <rPr>
        <sz val="10"/>
        <color rgb="FF000000"/>
        <rFont val="Arial"/>
        <family val="2"/>
        <charset val="1"/>
      </rPr>
      <t>IRPJ E CSLL, POR SE CONSTITUÍREM EM TRIBUTOS DE NATUREZA DIRETA E PERSONALÍSTICA, QUE ONERAM PESSOALMENTE O CONTRATADO, NÃO DEVEM SER REPASSADOS À CONTRATANTE, NÃO PODENDO, AINDA, SEREM COTADOS NO ITEM REFERENTE AO LUCRO E DESPESAS ADMINISTRATIVAS/OPERACIONAIS (ACÓRDÃOS TCU N° 1.595/2006 - PLENÁRIO, N° 325/2009 - PLENÁRIO E N° 2.354/2010 - 2ª CÂMARA). *</t>
    </r>
  </si>
  <si>
    <r>
      <rPr>
        <b/>
        <sz val="9"/>
        <color rgb="FF000000"/>
        <rFont val="Spranq eco sans"/>
        <charset val="1"/>
      </rPr>
      <t xml:space="preserve">DESSE MODO, </t>
    </r>
    <r>
      <rPr>
        <sz val="10"/>
        <color rgb="FF000000"/>
        <rFont val="Arial"/>
        <family val="2"/>
        <charset val="1"/>
      </rPr>
      <t>SE A EMPRESA OS COTAR, HAVERÁ SUPRESSÃO UNILATERAL DO ITEM DA PLANILHA E DEDUÇÃO/GLOSA, NO VALOR TOTAL DO DÉBITO, QUANDO DO PAGAMENTO MENSAL OU DA REPACTUAÇÃO. A EMPRESA QUE OS TENHA COTADO INCORRETAMENTE PODERÁ CORRIGIR A PLANILHA DE CUSTOS E FORMAÇÃO DOS PREÇOS ATÉ O MOMENTO DA ACEITABILIDADE DA PROPOSTA PELO PREGOEIRO, OPORTUNIDADE NA QUAL PRECLUIRÁ SEU DIREITO A CORREÇÕES.</t>
    </r>
  </si>
  <si>
    <r>
      <rPr>
        <b/>
        <sz val="9"/>
        <color rgb="FF000000"/>
        <rFont val="Spranq eco sans"/>
        <charset val="1"/>
      </rPr>
      <t>2.</t>
    </r>
    <r>
      <rPr>
        <sz val="10"/>
        <color rgb="FF000000"/>
        <rFont val="Arial"/>
        <family val="2"/>
        <charset val="1"/>
      </rPr>
      <t xml:space="preserve"> COTAÇÃO DE ENCARGOS TRIBUTÁRIOS - CUIDADOS E CONSEQUÊNCIAS À LUZ DA JURISPRUDÊNCIA DO TCU: </t>
    </r>
  </si>
  <si>
    <t>A EMPRESA É A ÚNICA RESPONSÁVEL PELA COTAÇÃO CORRETA DOS ENCARGOS TRIBUTÁRIOS. EM CASO DE ERRO OU COTAÇÃO INCOMPATÍVEL COM O REGIME TRIBUTÁRIO A QUE SE SUBMETE, SERÃO ADOTADAS AS ORIENTAÇÕES A SEGUIR:*</t>
  </si>
  <si>
    <r>
      <rPr>
        <b/>
        <sz val="9"/>
        <color rgb="FF000000"/>
        <rFont val="Spranq eco sans"/>
        <charset val="1"/>
      </rPr>
      <t>A)</t>
    </r>
    <r>
      <rPr>
        <sz val="10"/>
        <color rgb="FF000000"/>
        <rFont val="Arial"/>
        <family val="2"/>
        <charset val="1"/>
      </rPr>
      <t xml:space="preserve"> </t>
    </r>
    <r>
      <rPr>
        <b/>
        <sz val="9"/>
        <color rgb="FF000000"/>
        <rFont val="Spranq eco sans"/>
        <charset val="1"/>
      </rPr>
      <t>COTAÇÃO DE PERCENTUAL MENOR QUE O ADEQUADO</t>
    </r>
    <r>
      <rPr>
        <sz val="10"/>
        <color rgb="FF000000"/>
        <rFont val="Arial"/>
        <family val="2"/>
        <charset val="1"/>
      </rPr>
      <t>: O PERCENTUAL SERÁ MANTIDO DURANTE TODA A EXECUÇÃO CONTRATUAL;</t>
    </r>
  </si>
  <si>
    <r>
      <rPr>
        <b/>
        <sz val="9"/>
        <color rgb="FF000000"/>
        <rFont val="Spranq eco sans"/>
        <charset val="1"/>
      </rPr>
      <t>B) COTAÇÃO DE PERCENTUAL MAIOR QUE O ADEQUADO:</t>
    </r>
    <r>
      <rPr>
        <sz val="10"/>
        <color rgb="FF000000"/>
        <rFont val="Arial"/>
        <family val="2"/>
        <charset val="1"/>
      </rPr>
      <t xml:space="preserve"> PARA ATENDER AS ORIENTAÇÕES DOS ACÓRDÃOS TCU N° 3.037/2009-PLENÁRIO, Nº 1.696/2010 - 2ª CÂMARA, Nº 1.442/2010-2ª CÂMARA E Nº 387/2010-2ª CÂMARA, O EXCESSO SERÁ SUPRIMIDO, UNILATERALMENTE, DA PLANILHA E HAVERÁ GLOSA/DEDUÇÃO, QUANDO DO PAGAMENTO OU DA REPACTUAÇÃO, PARA FINS DE TOTAL RESSARCIMENTO DO DÉBITO.</t>
    </r>
  </si>
  <si>
    <t>DESTA FEITA, TODOS OS ENCARGOS TRIBUTÁRIOS DEVERÃO SER ADEQUADAMENTE COTADOS NA PLANILHA DE CUSTOS E FORMAÇÃO DE PREÇOS. DEVEM SER ATENDIDAS, EXEMPLIFICATIVAMENTE, AS RECOMENDAÇÕES QUE SEGUEM:</t>
  </si>
  <si>
    <t>A) UTILIZAÇÃO DA ALÍQUOTA CORRETA DO ISSQN, PARA CADA POSTO DE TRABALHO NO RESPECTIVO MUNICÍPIO;</t>
  </si>
  <si>
    <t>B) COTAÇÃO CORRETA DO PIS E DA COFINS DE ACORDO COM O REGIME TRIBUTÁRIO A QUE SE SUBMETER A EMPRESA;</t>
  </si>
  <si>
    <t xml:space="preserve">C) NÃO COTAÇÃO DAS CONTRIBUIÇÕES DE TERCEIROS (SESI, SENAI, SEBRAE, ETC.), SE A EMPRESA NÃO ESTIVER, A ESSAS, SUBMETIDA.  </t>
  </si>
  <si>
    <t xml:space="preserve">A EMPRESA QUE OS TENHA COTADO INCORRETAMENTE PODERÁ CORRIGIR A PLANILHA DE CUSTOS E FORMAÇÃO DOS PREÇOS ATÉ O MOMENTO DA ACEITABILIDADE DA PROPOSTA PELO PREGOEIRO, OPORTUNIDADE NA QUAL PRECLUIRÁ SEU DIREITO A CORREÇÕES. </t>
  </si>
  <si>
    <t>3. REGISTRE-SE QUE, AO ANALISAR A REPACTUAÇÃO E A PRORROGAÇÃO, A ADMINISTRAÇÃO DEVE VERIFICAR SE OS CUSTOS INICIALMENTE ORÇADOS CORRESPONDEM À REALIDADE DA EXECUÇÃO DO CONTRATO. DEVE, TAMBÉM, REAVALIAR TODOS OS ITENS ESTIMATIVOS APÓS A EXECUÇÃO DO PRIMEIRO ANO DO CONTRATO, PARA QUE SE CONSTATE EVENTUAL NECESSIDADE DE MODIFICAÇÃO EM SEU VALOR, OBSERVANDO O DISPOSTO NO ART. 30-A, § 1º, INC. II, DA IN 02/2008 DA SLTI MPOG;</t>
  </si>
  <si>
    <t>DESTACA-SE AINDA, O ENTENDIMENTO DO TCU SOBRE ALGUNS ITENS DAS PLANILHAS DE CUSTOS, TAIS COMO:</t>
  </si>
  <si>
    <r>
      <rPr>
        <b/>
        <sz val="9"/>
        <color rgb="FF000000"/>
        <rFont val="Spranq eco sans"/>
        <charset val="1"/>
      </rPr>
      <t xml:space="preserve">A) </t>
    </r>
    <r>
      <rPr>
        <sz val="10"/>
        <color rgb="FF000000"/>
        <rFont val="Arial"/>
        <family val="2"/>
        <charset val="1"/>
      </rPr>
      <t>LICENÇA MATERNIDADE – CONSIDERAR APENAS O PAGAMENTO DE ENCARGOS SOCIAIS E BENEFÍCIOS INCIDENTES SOBRE A REMUNERAÇÃO PARA AUXÍLIO MATERNIDADE, UMA VEZ QUE O ÔNUS DA LICENÇA MATERNIDADE É SUPORTADO PELA PREVIDÊNCIA SOCIAL, FUNDAMENTADO NO ART.7º, INCISO XIX, DA CONSTITUIÇÃO FEDERAL (ACÓRDÃO 1753/2008 - PLENÁRIO);</t>
    </r>
  </si>
  <si>
    <r>
      <rPr>
        <b/>
        <sz val="9"/>
        <color rgb="FF000000"/>
        <rFont val="Spranq eco sans"/>
        <charset val="1"/>
      </rPr>
      <t xml:space="preserve">B) </t>
    </r>
    <r>
      <rPr>
        <sz val="10"/>
        <color rgb="FF000000"/>
        <rFont val="Arial"/>
        <family val="2"/>
        <charset val="1"/>
      </rPr>
      <t>AVISO PRÉVIO TRABALHADO - DEVE SER PAGO APENAS NO PRIMEIRO ANO DO CONTRATO, DEVENDO SER EXCLUÍDO DA PLANILHA A PARTIR DO SEGUNDO ANO, UMA VEZ QUE SÓ HAVERÁ UMA DEMISSÃO E UMA INDENIZAÇÃO POR EMPREGADO. (ACÓRDÃO 3006/2010 – PLENÁRIO); *</t>
    </r>
  </si>
  <si>
    <t>OBS: Em conformidade com a IN N° 05 DE 26/05/2017 e alteração acrescentada pela IN N° 07 de 20/09/2018, e em referência a Nota 3 do Módulo 2 do Anexo VII-D, resaltamos o texto a seguir "Levando em consideração a vigência contratual prevista no art. 57 da Lei nº 8.666, de 23 de junho de 1993, a rubrica férias do subítem 2.1 tem como objetivo principal suprir a necessidade do pagamento das férias remuneradas ao final do contrato de 12 meses. Esta rubrica, quando da prorrogação contratual, torna-se custo não renovável".</t>
  </si>
  <si>
    <t>Planilha de Custos e Formação de Preços para Serviços de Vigilância - GEX – Distrito Federal</t>
  </si>
  <si>
    <t>Nº do Processo:</t>
  </si>
  <si>
    <t>Pregão Eletrônico nº</t>
  </si>
  <si>
    <t>Data:</t>
  </si>
  <si>
    <t>Discriminação dos Serviços (dados referentes à contratação)</t>
  </si>
  <si>
    <r>
      <rPr>
        <b/>
        <sz val="12"/>
        <color rgb="FF000000"/>
        <rFont val="Arial"/>
        <family val="2"/>
        <charset val="1"/>
      </rPr>
      <t xml:space="preserve">A – </t>
    </r>
    <r>
      <rPr>
        <sz val="10"/>
        <color rgb="FF000000"/>
        <rFont val="Arial"/>
        <family val="2"/>
        <charset val="1"/>
      </rPr>
      <t>Data de apresentação da proposta (dia/mês/ano)</t>
    </r>
  </si>
  <si>
    <r>
      <rPr>
        <b/>
        <sz val="12"/>
        <color rgb="FF000000"/>
        <rFont val="Arial"/>
        <family val="2"/>
        <charset val="1"/>
      </rPr>
      <t xml:space="preserve">B – </t>
    </r>
    <r>
      <rPr>
        <sz val="10"/>
        <color rgb="FF000000"/>
        <rFont val="Arial"/>
        <family val="2"/>
        <charset val="1"/>
      </rPr>
      <t>Município/UF</t>
    </r>
  </si>
  <si>
    <t>Brasília – DF</t>
  </si>
  <si>
    <r>
      <rPr>
        <b/>
        <sz val="12"/>
        <color rgb="FF000000"/>
        <rFont val="Arial"/>
        <family val="2"/>
        <charset val="1"/>
      </rPr>
      <t xml:space="preserve">C – </t>
    </r>
    <r>
      <rPr>
        <sz val="10"/>
        <color rgb="FF000000"/>
        <rFont val="Arial"/>
        <family val="2"/>
        <charset val="1"/>
      </rPr>
      <t>Ano Acordo, Convenção ou Sentença Normativa em Dissídio Coletivo</t>
    </r>
  </si>
  <si>
    <r>
      <rPr>
        <b/>
        <sz val="12"/>
        <color rgb="FF000000"/>
        <rFont val="Arial"/>
        <family val="2"/>
        <charset val="1"/>
      </rPr>
      <t xml:space="preserve">D – </t>
    </r>
    <r>
      <rPr>
        <sz val="10"/>
        <color rgb="FF000000"/>
        <rFont val="Arial"/>
        <family val="2"/>
        <charset val="1"/>
      </rPr>
      <t>Nº de meses de execução contratual</t>
    </r>
  </si>
  <si>
    <t>Identificação do Serviço</t>
  </si>
  <si>
    <t>Tipo de Serviço</t>
  </si>
  <si>
    <t>Unid. de Medida</t>
  </si>
  <si>
    <t>Hora Extra – Sábado</t>
  </si>
  <si>
    <t>Hora Extra – Domingo</t>
  </si>
  <si>
    <t>Serviço</t>
  </si>
  <si>
    <t>Mão de obra vinculada à execução contratual</t>
  </si>
  <si>
    <t>Dados para composição dos custos referente à mão de obra</t>
  </si>
  <si>
    <r>
      <rPr>
        <b/>
        <sz val="12"/>
        <color rgb="FF000000"/>
        <rFont val="Arial"/>
        <family val="2"/>
        <charset val="1"/>
      </rPr>
      <t xml:space="preserve">1 – </t>
    </r>
    <r>
      <rPr>
        <sz val="10"/>
        <color rgb="FF000000"/>
        <rFont val="Arial"/>
        <family val="2"/>
        <charset val="1"/>
      </rPr>
      <t>Tipo de serviço (mesmo serviço com características distintas)</t>
    </r>
  </si>
  <si>
    <t>Vigilância</t>
  </si>
  <si>
    <r>
      <rPr>
        <b/>
        <sz val="12"/>
        <color rgb="FF000000"/>
        <rFont val="Arial"/>
        <family val="2"/>
        <charset val="1"/>
      </rPr>
      <t xml:space="preserve">2 – </t>
    </r>
    <r>
      <rPr>
        <sz val="10"/>
        <color rgb="FF000000"/>
        <rFont val="Arial"/>
        <family val="2"/>
        <charset val="1"/>
      </rPr>
      <t>Classificação Brasileira de Ocupações (CBO)</t>
    </r>
  </si>
  <si>
    <t>517330</t>
  </si>
  <si>
    <r>
      <rPr>
        <b/>
        <sz val="12"/>
        <color rgb="FF000000"/>
        <rFont val="Arial"/>
        <family val="2"/>
        <charset val="1"/>
      </rPr>
      <t xml:space="preserve">3 – </t>
    </r>
    <r>
      <rPr>
        <sz val="10"/>
        <color rgb="FF000000"/>
        <rFont val="Arial"/>
        <family val="2"/>
        <charset val="1"/>
      </rPr>
      <t xml:space="preserve">Salário Normativo da Categoria Profissional </t>
    </r>
  </si>
  <si>
    <r>
      <rPr>
        <b/>
        <sz val="12"/>
        <color rgb="FF000000"/>
        <rFont val="Arial"/>
        <family val="2"/>
        <charset val="1"/>
      </rPr>
      <t xml:space="preserve">4 – </t>
    </r>
    <r>
      <rPr>
        <sz val="10"/>
        <color rgb="FF000000"/>
        <rFont val="Arial"/>
        <family val="2"/>
        <charset val="1"/>
      </rPr>
      <t>Categoria profissional (vinculada à execução contratual)</t>
    </r>
  </si>
  <si>
    <t>Vigilante</t>
  </si>
  <si>
    <r>
      <rPr>
        <b/>
        <sz val="12"/>
        <color rgb="FF000000"/>
        <rFont val="Arial"/>
        <family val="2"/>
        <charset val="1"/>
      </rPr>
      <t xml:space="preserve">5 – </t>
    </r>
    <r>
      <rPr>
        <sz val="10"/>
        <color rgb="FF000000"/>
        <rFont val="Arial"/>
        <family val="2"/>
        <charset val="1"/>
      </rPr>
      <t>Data base da categoria (dia/mês/ano)</t>
    </r>
  </si>
  <si>
    <r>
      <rPr>
        <b/>
        <sz val="12"/>
        <color rgb="FF000000"/>
        <rFont val="Arial"/>
        <family val="2"/>
        <charset val="1"/>
      </rPr>
      <t xml:space="preserve">6 – </t>
    </r>
    <r>
      <rPr>
        <sz val="10"/>
        <color rgb="FF000000"/>
        <rFont val="Arial"/>
        <family val="2"/>
        <charset val="1"/>
      </rPr>
      <t>Numero de registro da convenção coletiva no MTE:</t>
    </r>
  </si>
  <si>
    <t>CUSTOS</t>
  </si>
  <si>
    <t>Percentuais e Valores de Referência</t>
  </si>
  <si>
    <t>MÓDULO 1: COMPOSIÇÃO DA REMUNERAÇÃO</t>
  </si>
  <si>
    <t>1 - Composição da Remuneração</t>
  </si>
  <si>
    <t>Valores/ Percentuais</t>
  </si>
  <si>
    <r>
      <rPr>
        <sz val="11"/>
        <color rgb="FF000000"/>
        <rFont val="Times New Roman"/>
        <family val="1"/>
        <charset val="1"/>
      </rPr>
      <t xml:space="preserve">    A – Salário Base </t>
    </r>
    <r>
      <rPr>
        <sz val="10"/>
        <color rgb="FF000000"/>
        <rFont val="Arial"/>
        <family val="2"/>
        <charset val="1"/>
      </rPr>
      <t>(conforme Cláusula Terceira da CCT)</t>
    </r>
  </si>
  <si>
    <t xml:space="preserve">    B - Adicional de Periculosidade (conforme Cláusula Décima Quarta da CCT)</t>
  </si>
  <si>
    <t xml:space="preserve">    C - Adicional de Insalubridade</t>
  </si>
  <si>
    <t xml:space="preserve">    D - Adicional Noturno</t>
  </si>
  <si>
    <t xml:space="preserve">    E - Adicional de Hora Noturna Reduzida</t>
  </si>
  <si>
    <t xml:space="preserve">    F - Penosidade</t>
  </si>
  <si>
    <t xml:space="preserve">    G - Outros</t>
  </si>
  <si>
    <t>MÓDULO 2: ENCARGOS E BENEFÍCIOS ANUAIS, MENSAIS E DIÁRIOS</t>
  </si>
  <si>
    <t>2.1 - 13º Salário, Férias e Adicional de Férias</t>
  </si>
  <si>
    <t>Percentuais</t>
  </si>
  <si>
    <t xml:space="preserve">    A - 13º salário</t>
  </si>
  <si>
    <r>
      <rPr>
        <b/>
        <sz val="11"/>
        <color rgb="FF000000"/>
        <rFont val="Times New Roman"/>
        <family val="1"/>
        <charset val="1"/>
      </rPr>
      <t xml:space="preserve">2.2 - GPS, FGTS e outras contribuições </t>
    </r>
    <r>
      <rPr>
        <sz val="10"/>
        <color rgb="FF000000"/>
        <rFont val="Arial"/>
        <family val="2"/>
        <charset val="1"/>
      </rPr>
      <t>(Incide sobre os Módulos 1 e 2.1)</t>
    </r>
  </si>
  <si>
    <t xml:space="preserve">    A - INSS</t>
  </si>
  <si>
    <t xml:space="preserve">    B - Salário Educação</t>
  </si>
  <si>
    <r>
      <rPr>
        <sz val="11"/>
        <color rgb="FF000000"/>
        <rFont val="Times New Roman"/>
        <family val="1"/>
        <charset val="1"/>
      </rPr>
      <t xml:space="preserve">    C - SAT </t>
    </r>
    <r>
      <rPr>
        <sz val="10"/>
        <color rgb="FF000000"/>
        <rFont val="Arial"/>
        <family val="2"/>
        <charset val="1"/>
      </rPr>
      <t>(Utilizar o RAT Ajustado conforme GFIP: RAT x FAP)</t>
    </r>
  </si>
  <si>
    <t xml:space="preserve">    D - SESI ou SESC</t>
  </si>
  <si>
    <t xml:space="preserve">    E - SENAI ou SENAC</t>
  </si>
  <si>
    <t xml:space="preserve">    F - SEBRAE</t>
  </si>
  <si>
    <t xml:space="preserve">    G - INCRA</t>
  </si>
  <si>
    <t xml:space="preserve">    F - FGTS</t>
  </si>
  <si>
    <t>2.3 - Benefícios Mensais e Diários</t>
  </si>
  <si>
    <t xml:space="preserve">    A – Transporte (Devido por dia trabalhado)</t>
  </si>
  <si>
    <t xml:space="preserve">    B – Auxílio-Refeição/Alimentação (Devido por dia trabalhado)</t>
  </si>
  <si>
    <t xml:space="preserve">    C - Assistência Médica e Familiar (Conforme CCT)</t>
  </si>
  <si>
    <t xml:space="preserve">    D – Prêmio Assiduidade</t>
  </si>
  <si>
    <t xml:space="preserve">    E – Auxílio Morte/Funeral (Conforme CCT)</t>
  </si>
  <si>
    <t xml:space="preserve">    F – Outros (Seguro de Vida) - Conforme CCT)</t>
  </si>
  <si>
    <t>2 - Encargos e Benefícios Anuais, Mensais e Diários</t>
  </si>
  <si>
    <t xml:space="preserve">    2.1 - 13º Salário, Férias e Adicional de Férias</t>
  </si>
  <si>
    <t xml:space="preserve">    2.2 - GPS, FGTS e outras contribuições</t>
  </si>
  <si>
    <t xml:space="preserve">    2.3 - Benefícios Mensais e Diários</t>
  </si>
  <si>
    <t>MÓDULO 3: PROVISÃO PARA RESCISÃO</t>
  </si>
  <si>
    <t>3 - Provisão para Rescisão</t>
  </si>
  <si>
    <r>
      <rPr>
        <sz val="11"/>
        <color rgb="FF000000"/>
        <rFont val="Times New Roman"/>
        <family val="1"/>
        <charset val="1"/>
      </rPr>
      <t xml:space="preserve">    A - Aviso Prévio Indenizado</t>
    </r>
    <r>
      <rPr>
        <sz val="11"/>
        <color rgb="FFFF0000"/>
        <rFont val="Times New Roman"/>
        <family val="1"/>
        <charset val="1"/>
      </rPr>
      <t xml:space="preserve"> </t>
    </r>
    <r>
      <rPr>
        <sz val="10"/>
        <color rgb="FFFF0000"/>
        <rFont val="Arial"/>
        <family val="2"/>
        <charset val="1"/>
      </rPr>
      <t>(Esta parcela deverá ser reduzida após o primeiro ano da contratação para o percentual máximo de 0,042%: Acórdão 1.186/2017-P)</t>
    </r>
  </si>
  <si>
    <t xml:space="preserve">    B - Incidência do FGTS sobre Aviso Prévio Indenizado</t>
  </si>
  <si>
    <t xml:space="preserve">    C - Multa do FGTS e contribuições sociais sobre o Aviso Prévio Indenizado</t>
  </si>
  <si>
    <r>
      <rPr>
        <sz val="11"/>
        <color rgb="FF000000"/>
        <rFont val="Times New Roman"/>
        <family val="1"/>
        <charset val="1"/>
      </rPr>
      <t xml:space="preserve">    D - Aviso Prévio Trabalhado</t>
    </r>
    <r>
      <rPr>
        <sz val="11"/>
        <color rgb="FFFF0000"/>
        <rFont val="Times New Roman"/>
        <family val="1"/>
        <charset val="1"/>
      </rPr>
      <t xml:space="preserve"> </t>
    </r>
    <r>
      <rPr>
        <sz val="10"/>
        <color rgb="FFFF0000"/>
        <rFont val="Arial"/>
        <family val="2"/>
        <charset val="1"/>
      </rPr>
      <t>(Esta parcela deverá ser reduzida após o primeiro ano da contratação para o percentual máximo de 0,194%: Acórdão 1.186/2017-P)</t>
    </r>
  </si>
  <si>
    <t xml:space="preserve">    E - Incidência de GPS, FGTS e outras contribuições (submódulo 2.2) sobre o Aviso Prévio Trabalhado</t>
  </si>
  <si>
    <t xml:space="preserve">    F - Multa do FGTS sobre o Aviso Prévio Trabalhado (Rescisões sem justa causa)</t>
  </si>
  <si>
    <t>MÓDULO 4: CUSTO DE REPOSIÇÃO DO PROFISSIONAL AUSENTE</t>
  </si>
  <si>
    <t>4.1 – Substituto nas Ausências Legais</t>
  </si>
  <si>
    <t xml:space="preserve">    A – Substituto na cobertura de Férias</t>
  </si>
  <si>
    <t xml:space="preserve">    B – Substituto na cobertura de ausências Legais</t>
  </si>
  <si>
    <t xml:space="preserve">    C - Substituto na cobertura na licença-paternidade</t>
  </si>
  <si>
    <t xml:space="preserve">    D - Substituto na cobertura na ausências por acidente de trabalho</t>
  </si>
  <si>
    <t xml:space="preserve">    E - Substituto na cobertura de afastamento maternidade</t>
  </si>
  <si>
    <t xml:space="preserve">    F - Substituto na cobertura de outras ausências (especificar)</t>
  </si>
  <si>
    <t>4.2 - Substituto na Intrajornada (Indenizada)</t>
  </si>
  <si>
    <t xml:space="preserve">    A - Substituto na cobertura de intervalo para repouso ou alimentação (Intrajornada indenizada de 30 (trinta) minutos)</t>
  </si>
  <si>
    <t>4 - Custo de Reposição do Profissional Ausente</t>
  </si>
  <si>
    <t xml:space="preserve">    4.1 - Substituto nas ausências Legais</t>
  </si>
  <si>
    <t xml:space="preserve">    4.2 - Intrajornada indenizada</t>
  </si>
  <si>
    <t>MÓDULO 5: INSUMOS DIVERSOS</t>
  </si>
  <si>
    <t>5 - Insumos Diversos</t>
  </si>
  <si>
    <t xml:space="preserve">    A - Uniformes</t>
  </si>
  <si>
    <t xml:space="preserve">    B - Materiais </t>
  </si>
  <si>
    <t xml:space="preserve">    C – Equipamentos</t>
  </si>
  <si>
    <t xml:space="preserve">    D - Outros (especificar)</t>
  </si>
  <si>
    <t>MÓDULO 6: CUSTOS INDIRETOS, TRIBUTOS E LUCRO</t>
  </si>
  <si>
    <t>6 - Custos Indiretos, Tributos e Lucro</t>
  </si>
  <si>
    <t xml:space="preserve">    A - Custos Indiretos</t>
  </si>
  <si>
    <t xml:space="preserve">    B - Lucro</t>
  </si>
  <si>
    <r>
      <rPr>
        <sz val="11"/>
        <color rgb="FF000000"/>
        <rFont val="Times New Roman"/>
        <family val="1"/>
        <charset val="1"/>
      </rPr>
      <t xml:space="preserve">    C - Tributos</t>
    </r>
    <r>
      <rPr>
        <sz val="10"/>
        <color rgb="FF000000"/>
        <rFont val="Arial"/>
        <family val="2"/>
        <charset val="1"/>
      </rPr>
      <t xml:space="preserve"> (Utilizar os percentuais de acordo com o regime tributário a que estiver sujeito)</t>
    </r>
  </si>
  <si>
    <t xml:space="preserve">        C.1.1 - Tributos Federais (PIS)</t>
  </si>
  <si>
    <t xml:space="preserve">        C.1.2 - Tributos Federais (COFINS)</t>
  </si>
  <si>
    <t xml:space="preserve">        C.2 - Tributos Estaduais (especificar)</t>
  </si>
  <si>
    <t xml:space="preserve">        C.3 - Tributos Municipais (especificar)</t>
  </si>
  <si>
    <t xml:space="preserve">        C.4 - Outros Tributos (especificar)</t>
  </si>
  <si>
    <t>QUADRO RESUMO DO CUSTO POR EMPREGADO</t>
  </si>
  <si>
    <t>Mão-de-obra vinculada à execução contratual (valor por empregado)</t>
  </si>
  <si>
    <t xml:space="preserve">    A - Módulo 1 - Composição da Remuneração</t>
  </si>
  <si>
    <t xml:space="preserve">    B - Módulo 2 - Encargos e Benefícios Anuais, Mensais e Diários</t>
  </si>
  <si>
    <t xml:space="preserve">    C - Módulo 3 - Provisão para Rescisão</t>
  </si>
  <si>
    <t xml:space="preserve">    D - Módulo 4 - Custos de Reposição do Profissional Ausente</t>
  </si>
  <si>
    <t xml:space="preserve">    E - Módulo 5 - Insumos Diversos</t>
  </si>
  <si>
    <t>Subtotal (A + B + C + D + E)</t>
  </si>
  <si>
    <t xml:space="preserve">    F - Módulo 6 - Custos Indiretos, Tributos e Lucro</t>
  </si>
  <si>
    <t>SUBTOTAL PREÇO FIXO POR VIGILANTE</t>
  </si>
  <si>
    <t>VALOR DOS SERVIÇOS</t>
  </si>
  <si>
    <t>ESCALA DE TRABALHO</t>
  </si>
  <si>
    <t>NUMERO DE POSTOS</t>
  </si>
  <si>
    <t>PREÇO POR POSTO</t>
  </si>
  <si>
    <t>SUBTOTAL (R$)</t>
  </si>
  <si>
    <t>TOTAL MENSAL</t>
  </si>
  <si>
    <t>Posto de 44 h semanais (Qtde)</t>
  </si>
  <si>
    <t>Posto 12X36 Diurnas (Qtde)</t>
  </si>
  <si>
    <t>Posto 12X36 Noturno (Qtde)</t>
  </si>
  <si>
    <t>Contratação de serviços de segurança e vigilância orgânica e patrimonial desarmada, visando atender as demandas das Gerência Executiva do Distrito Federal, conforme condições, quantidades e exigências estabelecidas neste instrumento convocatório.</t>
  </si>
  <si>
    <t>Posto</t>
  </si>
  <si>
    <t>44 horas semanais diurnas</t>
  </si>
  <si>
    <t>12X36 Diurnas</t>
  </si>
  <si>
    <t>12X36 Noturnas</t>
  </si>
  <si>
    <t xml:space="preserve">    A – Salário Normativo</t>
  </si>
  <si>
    <t xml:space="preserve">    B - Adicional de Periculosidade</t>
  </si>
  <si>
    <t xml:space="preserve">    A – Transporte (Jornada igual ou superior a 6 horas)</t>
  </si>
  <si>
    <t xml:space="preserve">    B – Auxílio Alimentação (Por dia trabalhado)</t>
  </si>
  <si>
    <t xml:space="preserve">    C – Plano de Saúde</t>
  </si>
  <si>
    <t xml:space="preserve">    D – Fundo Social e Odontológico</t>
  </si>
  <si>
    <t xml:space="preserve">    E – Auxílio Morte/Funeral (Seguro de Vida)</t>
  </si>
  <si>
    <t xml:space="preserve">    F – Fundo para Indenização (Aposentadoria por invalidez)</t>
  </si>
  <si>
    <t xml:space="preserve">    A - Substituto na cobertura de intervalo para repouso ou alimentação (Intrajornada indenizada de 1 hora, conforme CCT)</t>
  </si>
  <si>
    <t>Valores</t>
  </si>
  <si>
    <t xml:space="preserve">    B - Materiais (Valor por posto)</t>
  </si>
  <si>
    <t xml:space="preserve">    C - Outros (especificar)</t>
  </si>
  <si>
    <t xml:space="preserve">    C - Tributos (Percentuais de acordo com o regime tributário da empresa)</t>
  </si>
  <si>
    <t xml:space="preserve">        C.1.1 - Tributos Federais (COFINS)</t>
  </si>
  <si>
    <t xml:space="preserve">        C.1.2 - Tributos Federais (PIS)</t>
  </si>
  <si>
    <t>I - Posto de Vigilância – 12 (doze) horas diurnas, de segunda-feira a domingo, envolvendo 2 (dois) vigilantes, em turnos de 12 (doze) x 36 (trinta e seis) horas.</t>
  </si>
  <si>
    <t>II - Posto de Vigilância – 12 (doze) horas noturnas, de segunda-feira a domingo, envolvendo 2 (dois) vigilantes, em turnos de 12 (doze) x 36 (trinta e seis) horas.</t>
  </si>
  <si>
    <t>III - Posto de Vigilância – 44 (quarenta e quatro) horas semanais diurnas, de segunda a sexta-feira, envolvendo 1 (um) vigilante.</t>
  </si>
  <si>
    <t>__/__/___</t>
  </si>
  <si>
    <t>__/____</t>
  </si>
  <si>
    <t>Média de faltas anuais por motivos legais</t>
  </si>
  <si>
    <r>
      <rPr>
        <b/>
        <sz val="10"/>
        <color rgb="FF000000"/>
        <rFont val="Verdana"/>
        <family val="2"/>
      </rPr>
      <t>Ausências legais:
Fórmula da rubrica:</t>
    </r>
    <r>
      <rPr>
        <sz val="10"/>
        <color rgb="FF000000"/>
        <rFont val="Verdana"/>
        <family val="2"/>
      </rPr>
      <t xml:space="preserve"> (Módulo 1 + Módulo 2 + Módulo 3) x </t>
    </r>
    <r>
      <rPr>
        <b/>
        <sz val="10"/>
        <color rgb="FF000000"/>
        <rFont val="Verdana"/>
        <family val="2"/>
      </rPr>
      <t>0,82%</t>
    </r>
    <r>
      <rPr>
        <sz val="10"/>
        <color rgb="FF000000"/>
        <rFont val="Verdana"/>
        <family val="2"/>
      </rPr>
      <t xml:space="preserve">
</t>
    </r>
    <r>
      <rPr>
        <b/>
        <sz val="10"/>
        <color rgb="FF000000"/>
        <rFont val="Verdana"/>
        <family val="2"/>
      </rPr>
      <t>Fórmula do percentual:</t>
    </r>
    <r>
      <rPr>
        <sz val="10"/>
        <color rgb="FF000000"/>
        <rFont val="Verdana"/>
        <family val="2"/>
      </rPr>
      <t xml:space="preserve"> % AL = (2,96 / 30 / 12) x 100 ≈ 0,82%
</t>
    </r>
    <r>
      <rPr>
        <b/>
        <sz val="10"/>
        <color rgb="FF000000"/>
        <rFont val="Verdana"/>
        <family val="2"/>
      </rPr>
      <t>Nota 1:</t>
    </r>
    <r>
      <rPr>
        <sz val="10"/>
        <color rgb="FF000000"/>
        <rFont val="Verdana"/>
        <family val="2"/>
      </rPr>
      <t xml:space="preserve"> Considerando as hipóteses em que o funcionário poderá faltar justificadamente, previstas no artigo 473 da Consolidação das Leis do Trabalho, foram estimados um total de 8 (oito) no período de doze meses, sendo eles: falecimento do cônjuge (02 dias), casamento (03 dias), para acompanhar consultas médicas e exames complementares durante o período de gravidez de sua esposa ou companheira (até 02 dias), e para acompanhar filho e até 6 (seis) anos em consulta médica (até 01).
</t>
    </r>
    <r>
      <rPr>
        <b/>
        <sz val="10"/>
        <color rgb="FF000000"/>
        <rFont val="Verdana"/>
        <family val="2"/>
      </rPr>
      <t>Nota 2:</t>
    </r>
    <r>
      <rPr>
        <sz val="10"/>
        <color rgb="FF000000"/>
        <rFont val="Verdana"/>
        <family val="2"/>
      </rPr>
      <t xml:space="preserve"> A média de 2,96 dias de ausências legais por ano foi extraída do Acórdão TCU nº 1.753/2008 - Plenário.
</t>
    </r>
    <r>
      <rPr>
        <b/>
        <sz val="10"/>
        <color rgb="FF000000"/>
        <rFont val="Verdana"/>
        <family val="2"/>
      </rPr>
      <t xml:space="preserve">Nota 3: </t>
    </r>
    <r>
      <rPr>
        <sz val="10"/>
        <color rgb="FF000000"/>
        <rFont val="Verdana"/>
        <family val="2"/>
      </rPr>
      <t>Cabe atentar ao fato de que o somatório dos dias de afastamento legais anuais contidos na Nota 1 não correspondem à média contida na Nota 2, a qual já determina a média de dias de ausências legais.</t>
    </r>
  </si>
  <si>
    <t xml:space="preserve">% AL ≈ </t>
  </si>
  <si>
    <t xml:space="preserve">% LP ≈ </t>
  </si>
  <si>
    <r>
      <rPr>
        <b/>
        <sz val="10"/>
        <color rgb="FF000000"/>
        <rFont val="Verdana"/>
        <family val="2"/>
      </rPr>
      <t>Substituto na cobertura de Ausência por acidente de trabalho:</t>
    </r>
    <r>
      <rPr>
        <sz val="10"/>
        <color rgb="FF000000"/>
        <rFont val="Verdana"/>
        <family val="2"/>
      </rPr>
      <t xml:space="preserve">
</t>
    </r>
    <r>
      <rPr>
        <b/>
        <sz val="10"/>
        <color rgb="FF000000"/>
        <rFont val="Verdana"/>
        <family val="2"/>
      </rPr>
      <t xml:space="preserve">Fórmula da rubrica: </t>
    </r>
    <r>
      <rPr>
        <sz val="10"/>
        <color rgb="FF000000"/>
        <rFont val="Verdana"/>
        <family val="2"/>
      </rPr>
      <t xml:space="preserve">(Módulo 1 + Módulo 2 + Módulo 3) x </t>
    </r>
    <r>
      <rPr>
        <b/>
        <sz val="10"/>
        <color rgb="FF000000"/>
        <rFont val="Verdana"/>
        <family val="2"/>
      </rPr>
      <t>1,38%</t>
    </r>
    <r>
      <rPr>
        <sz val="10"/>
        <color rgb="FF000000"/>
        <rFont val="Verdana"/>
        <family val="2"/>
      </rPr>
      <t xml:space="preserve">
</t>
    </r>
    <r>
      <rPr>
        <b/>
        <sz val="10"/>
        <color rgb="FF000000"/>
        <rFont val="Verdana"/>
        <family val="2"/>
      </rPr>
      <t xml:space="preserve">Fórmula do percentual: </t>
    </r>
    <r>
      <rPr>
        <sz val="10"/>
        <color rgb="FF000000"/>
        <rFont val="Verdana"/>
        <family val="2"/>
      </rPr>
      <t xml:space="preserve">%AT = ((15 / 30) / 12) x (B91 concedidos / Total Trabalhadores) x 100
</t>
    </r>
    <r>
      <rPr>
        <b/>
        <sz val="10"/>
        <color rgb="FF000000"/>
        <rFont val="Verdana"/>
        <family val="2"/>
      </rPr>
      <t>Onde:</t>
    </r>
    <r>
      <rPr>
        <sz val="10"/>
        <color rgb="FF000000"/>
        <rFont val="Verdana"/>
        <family val="2"/>
      </rPr>
      <t xml:space="preserve">
-&gt; %AT = Índice que demonstra o custo estimado com a substituição na cobertura de ausências por acidente de trabalho.
-&gt; [(15/30) / 12] = Estimativa de 1 (uma) licença de 30 (trinta) dias por ano, considerando que os primeiros quinze dias são encargo do empregador.
</t>
    </r>
    <r>
      <rPr>
        <b/>
        <sz val="10"/>
        <color rgb="FF000000"/>
        <rFont val="Verdana"/>
        <family val="2"/>
      </rPr>
      <t>B91 (auxílio-doença acidentário) concedidos</t>
    </r>
    <r>
      <rPr>
        <sz val="10"/>
        <color rgb="FF000000"/>
        <rFont val="Verdana"/>
        <family val="2"/>
      </rPr>
      <t xml:space="preserve"> = Dados nacionais extraídos do Observatório de Saúde e Segurança do Trabalho. Em 2023 esse número foi de 163.362 trabalhadores.
</t>
    </r>
    <r>
      <rPr>
        <b/>
        <sz val="10"/>
        <color rgb="FF000000"/>
        <rFont val="Verdana"/>
        <family val="2"/>
      </rPr>
      <t xml:space="preserve">Total Trabalhadores </t>
    </r>
    <r>
      <rPr>
        <sz val="10"/>
        <color rgb="FF000000"/>
        <rFont val="Verdana"/>
        <family val="2"/>
      </rPr>
      <t xml:space="preserve">= Dados nacionais extraídos do Anuário RAIS 2024 parcial. Em 2023 esse número foi de 44.472.798.
Aplicando a fórmula, temos:
</t>
    </r>
    <r>
      <rPr>
        <b/>
        <sz val="10"/>
        <color rgb="FF000000"/>
        <rFont val="Verdana"/>
        <family val="2"/>
      </rPr>
      <t>% AT</t>
    </r>
    <r>
      <rPr>
        <sz val="10"/>
        <color rgb="FF000000"/>
        <rFont val="Verdana"/>
        <family val="2"/>
      </rPr>
      <t xml:space="preserve"> = (((15/30)/12)*(163.362/44.472.798)*100) x 100 </t>
    </r>
    <r>
      <rPr>
        <b/>
        <sz val="10"/>
        <color rgb="FF000000"/>
        <rFont val="Verdana"/>
        <family val="2"/>
      </rPr>
      <t>≈</t>
    </r>
    <r>
      <rPr>
        <sz val="10"/>
        <color rgb="FF000000"/>
        <rFont val="Verdana"/>
        <family val="2"/>
      </rPr>
      <t xml:space="preserve"> 0,01530 x 100 </t>
    </r>
    <r>
      <rPr>
        <b/>
        <sz val="10"/>
        <color rgb="FF000000"/>
        <rFont val="Verdana"/>
        <family val="2"/>
      </rPr>
      <t>≈</t>
    </r>
    <r>
      <rPr>
        <sz val="10"/>
        <color rgb="FF000000"/>
        <rFont val="Verdana"/>
        <family val="2"/>
      </rPr>
      <t xml:space="preserve"> </t>
    </r>
    <r>
      <rPr>
        <b/>
        <sz val="10"/>
        <color rgb="FF000000"/>
        <rFont val="Verdana"/>
        <family val="2"/>
      </rPr>
      <t>1,53%</t>
    </r>
  </si>
  <si>
    <t xml:space="preserve">% AT ≈ </t>
  </si>
  <si>
    <t xml:space="preserve">% AF ≈ </t>
  </si>
  <si>
    <t>a) - IN SEGES n.° 05/2017:
"Art. 6° A Administração não se vincula às disposições contidas em Acordos, Convenções ou Dissídios Coletivos de Trabalho que tratem de pagamento de participação dos trabalhadores nos lucros ou resultados da empresa contratada, de matéria não trabalhista, ou que estabeleçam direitos não previstos em lei, tais como valores ou índices obrigatórios de encargos sociais ou previdenciários, bem como de preços para os insumos relacionados ao exercício da atividade."</t>
  </si>
  <si>
    <t>b) Decreto n.° 9.507/2018:
"Art. 9° 
...
Parágrafo único. A administração pública não se vincula às disposições estabelecidas em acordos, dissídios ou convenções coletivas de trabalho que tratem de:
...
II - matéria não trabalhista, ou que estabeleçam direitos não previstos em lei, tais como valores ou índices obrigatórios de encargos sociais ou previdenciários; e Ill - preços para os insumos relacionados ao exercício da atividade". (grifamos)</t>
  </si>
  <si>
    <t>c) § 1° do art..135 da lei 14.133/2021:
"§ 1º A Administração não se vinculará às disposições contidas em acordos, convenções ou dissídios coletivos de trabalho que tratem de matéria não trabalhista, de pagamento de participação dos trabalhadores nos lucros ou resultados do contratado, ou que estabeleçam direitos não previstos em lei, como valores ou índices obrigatórios de encargos sociais ou previdenciários, bem como de preços para os insumos relacionados ao exercício da atividade."</t>
  </si>
  <si>
    <t>d) "Como se percebe claramente na leitura da cláusula vigésima quarta da CCT (número de regístro no MTE: GO000936/2024), este não é um custo referente a um direito trabalhista para qualquer categoria alocada diretamente, mas sim uma determinação para os empregadores para que estes possam cumprir com a exigência que a própria Lei traz sobre quota mínima para contratação de aprendizes. Se a lei determina que a empresa contrate menor aprendiz, ela terá que contratar, independente de prestar serviços ou não para a Administração Pública, pois esse é um custo relacionado ao próprio exercício da atividade desempenhada pela empresa, independentemente de para quem ela preste os serviços. Assim, ao ver desta Consultoria, esse custo não pode ser repassado para a Administração."</t>
  </si>
  <si>
    <t>e) "Isto posto, entende-se pela impossibilidade de ressarcimento pela Administração Pública dos custos relativos ao Custeio Compulsório para a Aprendizagem, consoante previsto nas Convenções Coletivas de Trabalho, eis que estas não vinculam a Administração Pública, nos termos do art. 6° da IN SEGES n.° 05/2017 e do art. 9º do Decreto n.° 9.507/2018."</t>
  </si>
  <si>
    <r>
      <rPr>
        <b/>
        <sz val="10"/>
        <color rgb="FF000000"/>
        <rFont val="Arial"/>
        <family val="2"/>
      </rPr>
      <t xml:space="preserve">4. RUBRICA FÉRIAS do subítem 2.1.
</t>
    </r>
    <r>
      <rPr>
        <sz val="10"/>
        <color rgb="FF000000"/>
        <rFont val="Arial"/>
        <family val="2"/>
        <charset val="1"/>
      </rPr>
      <t>Em conformidade com a IN N° 05 DE 26/05/2017 e alteração acrescentada pela IN N° 07 de 20/09/2018, e em referência a Nota 3 do Módulo 2 do Anexo VII-D, resaltamos o texto a seguir "Levando em consideração a vigência contratual prevista no art. 57 da Lei nº 8.666, de 23 de junho de 1993, a rubrica férias do subítem 2.1 tem como objetivo principal suprir a necessidade do pagamento das férias remuneradas ao final do contrato de 12 meses. Esta rubrica, quando da prorrogação contratual, torna-se custo não renovável".</t>
    </r>
  </si>
  <si>
    <r>
      <rPr>
        <b/>
        <sz val="10"/>
        <color rgb="FF000000"/>
        <rFont val="Arial"/>
        <family val="2"/>
      </rPr>
      <t>5. CUSTEIO COMPULSÓRIO PARA A APRENDIZAGEM:</t>
    </r>
    <r>
      <rPr>
        <sz val="10"/>
        <color rgb="FF000000"/>
        <rFont val="Arial"/>
        <family val="2"/>
        <charset val="1"/>
      </rPr>
      <t xml:space="preserve">
De acordo com a NOTA n. 00082/2025/ENC.LICITAÇÕES/PEE-INSS-SEDE/PGF/AGU emitida pela PROCURADORIA FEDERAL ESPECIALIZADA JUNTO AO INSTITUTO NACIONAL DO SEGURO SOCIAL - PFE/INSS - SEDE:</t>
    </r>
  </si>
  <si>
    <r>
      <rPr>
        <b/>
        <sz val="10"/>
        <color rgb="FF000000"/>
        <rFont val="Verdana"/>
        <family val="2"/>
      </rPr>
      <t xml:space="preserve">Substituto na cobertura de Licença-Paternidade:
Fórmula da rubrica: </t>
    </r>
    <r>
      <rPr>
        <sz val="10"/>
        <color rgb="FF000000"/>
        <rFont val="Verdana"/>
        <family val="2"/>
      </rPr>
      <t xml:space="preserve">(Módulo 1 + Módulo 2 + Módulo 3) x </t>
    </r>
    <r>
      <rPr>
        <b/>
        <sz val="10"/>
        <color rgb="FF000000"/>
        <rFont val="Verdana"/>
        <family val="2"/>
      </rPr>
      <t>0,03%</t>
    </r>
    <r>
      <rPr>
        <sz val="10"/>
        <color rgb="FF000000"/>
        <rFont val="Verdana"/>
        <family val="2"/>
      </rPr>
      <t xml:space="preserve">
</t>
    </r>
    <r>
      <rPr>
        <b/>
        <sz val="10"/>
        <color rgb="FF000000"/>
        <rFont val="Verdana"/>
        <family val="2"/>
      </rPr>
      <t xml:space="preserve">Fórmula do percentual: </t>
    </r>
    <r>
      <rPr>
        <sz val="10"/>
        <color rgb="FF000000"/>
        <rFont val="Verdana"/>
        <family val="2"/>
      </rPr>
      <t xml:space="preserve">% LP = (20 / 30 / 12) x [estimativa de homens em respectivo serviço] x [taxa bruta de natalidade]
</t>
    </r>
    <r>
      <rPr>
        <b/>
        <sz val="10"/>
        <color rgb="FF000000"/>
        <rFont val="Verdana"/>
        <family val="2"/>
      </rPr>
      <t>Onde: 
-&gt; %LP</t>
    </r>
    <r>
      <rPr>
        <sz val="10"/>
        <color rgb="FF000000"/>
        <rFont val="Verdana"/>
        <family val="2"/>
      </rPr>
      <t xml:space="preserve"> = Índice que demonstra o custo estimado com a substituição na cobertura de licença paternidade.
-&gt; </t>
    </r>
    <r>
      <rPr>
        <b/>
        <sz val="10"/>
        <color rgb="FF000000"/>
        <rFont val="Verdana"/>
        <family val="2"/>
      </rPr>
      <t>[estimativa de homens em respectivo serviço]</t>
    </r>
    <r>
      <rPr>
        <sz val="10"/>
        <color rgb="FF000000"/>
        <rFont val="Verdana"/>
        <family val="2"/>
      </rPr>
      <t xml:space="preserve"> = Segundo dados contidos no anuário 2023 na RAIS, o número de trabalhadores no sexo masculino no Distrito Federal representa aproximadamente 46,9% do total de trabalhadores.
-&gt; </t>
    </r>
    <r>
      <rPr>
        <b/>
        <sz val="10"/>
        <color rgb="FF000000"/>
        <rFont val="Verdana"/>
        <family val="2"/>
      </rPr>
      <t>[taxa bruta de natalidade]</t>
    </r>
    <r>
      <rPr>
        <sz val="10"/>
        <color rgb="FF000000"/>
        <rFont val="Verdana"/>
        <family val="2"/>
      </rPr>
      <t xml:space="preserve"> = Índice resultante da divisão entre o total de nascidos vivos no Brasil com a população estimada total no mesmo ano. Segundo o IBGE, essa taxa é de 12,32 por mil habitantes, ou 1,232%, para 2023.
Dessa forma, para o Distrito Federal: % LP ≈ 0,03210%</t>
    </r>
  </si>
  <si>
    <t>* NOTA INFORMATIVA:</t>
  </si>
  <si>
    <r>
      <t>Substituto na cobertura de Afastamento Maternidade:
Fórmula da rubrica:</t>
    </r>
    <r>
      <rPr>
        <sz val="10"/>
        <color rgb="FF000000"/>
        <rFont val="Arial"/>
        <family val="2"/>
        <charset val="1"/>
      </rPr>
      <t xml:space="preserve"> (Módulo 1 + Módulo 2 + Módulo 3) x </t>
    </r>
    <r>
      <rPr>
        <b/>
        <sz val="10"/>
        <color rgb="FF000000"/>
        <rFont val="Arial"/>
        <family val="2"/>
      </rPr>
      <t>0,12%.</t>
    </r>
    <r>
      <rPr>
        <sz val="10"/>
        <color rgb="FF000000"/>
        <rFont val="Arial"/>
        <family val="2"/>
        <charset val="1"/>
      </rPr>
      <t xml:space="preserve">
</t>
    </r>
    <r>
      <rPr>
        <b/>
        <sz val="10"/>
        <color rgb="FF000000"/>
        <rFont val="Arial"/>
        <family val="2"/>
      </rPr>
      <t>Fórmula do percentual:</t>
    </r>
    <r>
      <rPr>
        <sz val="10"/>
        <color rgb="FF000000"/>
        <rFont val="Arial"/>
        <family val="2"/>
        <charset val="1"/>
      </rPr>
      <t xml:space="preserve"> % AF = {[(180 / 30) / 12] x [taxa bruta de natalidade] x [estimativa de mulheres no respectivo serviço] x [percentual total de encargos sociais]} = 0,12%
</t>
    </r>
    <r>
      <rPr>
        <b/>
        <sz val="10"/>
        <color rgb="FF000000"/>
        <rFont val="Arial"/>
        <family val="2"/>
      </rPr>
      <t xml:space="preserve">
Onde:
% AF </t>
    </r>
    <r>
      <rPr>
        <sz val="10"/>
        <color rgb="FF000000"/>
        <rFont val="Arial"/>
        <family val="2"/>
        <charset val="1"/>
      </rPr>
      <t xml:space="preserve">= Índice que demonstra o custo efetivo de afastamento maternidade [(180 / 30) /12] = estimativa de seis meses no ano de afastamento maternidade 
</t>
    </r>
    <r>
      <rPr>
        <b/>
        <sz val="10"/>
        <color rgb="FF000000"/>
        <rFont val="Arial"/>
        <family val="2"/>
      </rPr>
      <t xml:space="preserve">[taxa bruta de natalidade] </t>
    </r>
    <r>
      <rPr>
        <sz val="10"/>
        <color rgb="FF000000"/>
        <rFont val="Arial"/>
        <family val="2"/>
        <charset val="1"/>
      </rPr>
      <t xml:space="preserve">= mesmo índice aplicado no item 4.1.C.
</t>
    </r>
    <r>
      <rPr>
        <b/>
        <sz val="10"/>
        <color rgb="FF000000"/>
        <rFont val="Arial"/>
        <family val="2"/>
      </rPr>
      <t>[total de encargos sociais]</t>
    </r>
    <r>
      <rPr>
        <sz val="10"/>
        <color rgb="FF000000"/>
        <rFont val="Arial"/>
        <family val="2"/>
        <charset val="1"/>
      </rPr>
      <t xml:space="preserve"> = Somatório dos percentuais aplicados no submódulo 2.2
</t>
    </r>
  </si>
  <si>
    <r>
      <t xml:space="preserve">    B - Férias e Adicional de Férias </t>
    </r>
    <r>
      <rPr>
        <sz val="10"/>
        <color rgb="FF000000"/>
        <rFont val="Arial"/>
        <family val="2"/>
        <charset val="1"/>
      </rPr>
      <t>(O custo com o valor pago ao substituto durante as férias do empregado consta na letra "A" do submódulo 4.1),</t>
    </r>
    <r>
      <rPr>
        <sz val="11"/>
        <color rgb="FFFF0000"/>
        <rFont val="Times New Roman"/>
        <family val="1"/>
      </rPr>
      <t xml:space="preserve"> (custo não renovável: Nota 3, Módulo 2 do Anexo VII-D da IN n° 07 de 20/09/2018).</t>
    </r>
  </si>
  <si>
    <t xml:space="preserve">As horas extras e horas eventuais poderão ser utilizadas em qualquer unidade do contratante, desde que respeitado o limite estabelecido no instrumento contratual. </t>
  </si>
  <si>
    <t>As horas extras e horas eventuais só devem ser pagas quando forem utilizadas com a autorização da administração.</t>
  </si>
  <si>
    <t>* NOTAS INFORMATIVAS: VIDE MEMÓRIA DE CÁLCULO.</t>
  </si>
  <si>
    <t>IV - Hora Eventual Diurna (44 horas semanais)</t>
  </si>
  <si>
    <t>V - Hora Eventual Diurna (12X36 Diurnas)</t>
  </si>
  <si>
    <t>VI - Hora Eventual Noturna (12X36 Noturnas)</t>
  </si>
  <si>
    <t>Horas Extras trabalhadas aos sábados</t>
  </si>
  <si>
    <t>Horas Extras trabalhadas aos domingos e feriados</t>
  </si>
  <si>
    <t>Hora Eventual Diurna (12X36 Diurnas)</t>
  </si>
  <si>
    <t>Hora Eventual Noturna (12X36 Noturnas)</t>
  </si>
  <si>
    <t>Horas Extras Sábado</t>
  </si>
  <si>
    <t>Horas Extras Domingo e Feriado</t>
  </si>
  <si>
    <t>2025/2025</t>
  </si>
  <si>
    <t>DF000685/2025</t>
  </si>
  <si>
    <t>01 de janeiro</t>
  </si>
  <si>
    <t>35014.334990/2025-79</t>
  </si>
  <si>
    <t>NUMERO DE POSTOS/HE</t>
  </si>
  <si>
    <t>PREÇO POR POSTO/HE</t>
  </si>
  <si>
    <t>Valor do Posto / HE</t>
  </si>
  <si>
    <t>POSTO DE VIGILÂNCIA DESARMADA 44 HORAS SEMANAIS COM HORA EXTRA</t>
  </si>
  <si>
    <t>PLANILHA 2025</t>
  </si>
  <si>
    <t>Anexo I - B do TR - Planilha de Custos e Formação de Preços para Serviços de Vigilância - GEX – Distrito Federal</t>
  </si>
  <si>
    <t>INSS - GERÊNCIA EXECUTIVA NO DISTRITO 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</si>
</sst>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R$-416]\ #,##0.00;[Red]\-[$R$-416]\ #,##0.00"/>
    <numFmt numFmtId="165" formatCode="&quot; R$&quot;#,##0.00\ ;&quot; R$(&quot;#,##0.00\);&quot; R$-&quot;#\ ;@\ "/>
    <numFmt numFmtId="166" formatCode="&quot; R$ &quot;* #,##0.00\ ;&quot; R$ &quot;* \(#,##0.00\);&quot; R$ &quot;* \-#\ ;@\ "/>
    <numFmt numFmtId="167" formatCode="#,##0.00\ ;\(#,##0.00\);\-#\ ;@\ "/>
    <numFmt numFmtId="168" formatCode="&quot;R$ &quot;#,##0.00"/>
    <numFmt numFmtId="169" formatCode="d/m/yyyy"/>
    <numFmt numFmtId="170" formatCode="0.0000%"/>
    <numFmt numFmtId="171" formatCode="&quot;R$ &quot;#,##0.00\ ;[Red]&quot;(R$ &quot;#,##0.00\)"/>
    <numFmt numFmtId="172" formatCode="0.00000%"/>
    <numFmt numFmtId="173" formatCode="* #,##0.00\ ;* \(#,##0.00\);* \-#\ ;@\ "/>
    <numFmt numFmtId="174" formatCode="* #,##0.00\ ;\-* #,##0.00\ ;* \-#\ ;@\ "/>
    <numFmt numFmtId="175" formatCode="* #,##0.00&quot; &quot;;* &quot;(&quot;#,##0.00&quot;)&quot;;* &quot;-&quot;#&quot; &quot;;@&quot; &quot;"/>
    <numFmt numFmtId="176" formatCode="_-* #,##0.000_-;\-* #,##0.000_-;_-* &quot;-&quot;??_-;_-@_-"/>
  </numFmts>
  <fonts count="50">
    <font>
      <sz val="10"/>
      <color rgb="FF000000"/>
      <name val="Arial"/>
      <family val="2"/>
      <charset val="1"/>
    </font>
    <font>
      <b/>
      <i/>
      <u/>
      <sz val="10"/>
      <color rgb="FF000000"/>
      <name val="Arial"/>
      <family val="2"/>
      <charset val="1"/>
    </font>
    <font>
      <b/>
      <sz val="10"/>
      <name val="Arial"/>
      <family val="2"/>
      <charset val="1"/>
    </font>
    <font>
      <b/>
      <sz val="8"/>
      <name val="Arial"/>
      <family val="2"/>
      <charset val="1"/>
    </font>
    <font>
      <sz val="8"/>
      <name val="Arial"/>
      <family val="2"/>
      <charset val="1"/>
    </font>
    <font>
      <b/>
      <sz val="12"/>
      <name val="Arial"/>
      <family val="2"/>
      <charset val="1"/>
    </font>
    <font>
      <sz val="10"/>
      <color rgb="FFFF0000"/>
      <name val="Arial"/>
      <family val="2"/>
      <charset val="1"/>
    </font>
    <font>
      <b/>
      <sz val="12"/>
      <color rgb="FF000000"/>
      <name val="Arial1"/>
      <charset val="1"/>
    </font>
    <font>
      <sz val="8"/>
      <color rgb="FF000000"/>
      <name val="Verdana"/>
      <family val="2"/>
      <charset val="1"/>
    </font>
    <font>
      <b/>
      <sz val="10"/>
      <color rgb="FF000000"/>
      <name val="Arial1"/>
      <charset val="1"/>
    </font>
    <font>
      <sz val="11"/>
      <color rgb="FFFF0000"/>
      <name val="Calibri"/>
      <family val="2"/>
      <charset val="1"/>
    </font>
    <font>
      <sz val="10"/>
      <name val="Arial"/>
      <family val="2"/>
      <charset val="1"/>
    </font>
    <font>
      <sz val="10"/>
      <color rgb="FF000000"/>
      <name val="Arial1"/>
      <charset val="1"/>
    </font>
    <font>
      <b/>
      <sz val="11"/>
      <color rgb="FF000000"/>
      <name val="Arial"/>
      <family val="2"/>
      <charset val="1"/>
    </font>
    <font>
      <b/>
      <sz val="10"/>
      <color rgb="FF000000"/>
      <name val="Arial"/>
      <family val="2"/>
      <charset val="1"/>
    </font>
    <font>
      <sz val="10"/>
      <color rgb="FF000000"/>
      <name val="Verdana"/>
      <family val="2"/>
      <charset val="1"/>
    </font>
    <font>
      <b/>
      <sz val="9"/>
      <color rgb="FF000000"/>
      <name val="Spranq eco sans"/>
      <charset val="1"/>
    </font>
    <font>
      <b/>
      <sz val="18"/>
      <color rgb="FF000000"/>
      <name val="Arial1"/>
      <charset val="1"/>
    </font>
    <font>
      <b/>
      <sz val="11"/>
      <color rgb="FF000000"/>
      <name val="Times New Roman"/>
      <family val="1"/>
      <charset val="1"/>
    </font>
    <font>
      <b/>
      <sz val="11"/>
      <name val="Times New Roman"/>
      <family val="1"/>
      <charset val="1"/>
    </font>
    <font>
      <sz val="11"/>
      <color rgb="FF000000"/>
      <name val="Times New Roman"/>
      <family val="1"/>
      <charset val="1"/>
    </font>
    <font>
      <b/>
      <sz val="12"/>
      <color rgb="FF000000"/>
      <name val="Arial"/>
      <family val="2"/>
      <charset val="1"/>
    </font>
    <font>
      <sz val="11"/>
      <name val="Times New Roman"/>
      <family val="1"/>
      <charset val="1"/>
    </font>
    <font>
      <sz val="11"/>
      <color rgb="FF339966"/>
      <name val="Times New Roman"/>
      <family val="1"/>
      <charset val="1"/>
    </font>
    <font>
      <sz val="11"/>
      <color rgb="FF000080"/>
      <name val="Times New Roman"/>
      <family val="1"/>
      <charset val="1"/>
    </font>
    <font>
      <sz val="11"/>
      <color rgb="FFFF0000"/>
      <name val="Times New Roman"/>
      <family val="1"/>
      <charset val="1"/>
    </font>
    <font>
      <b/>
      <sz val="11"/>
      <color rgb="FF000080"/>
      <name val="Times New Roman"/>
      <family val="1"/>
      <charset val="1"/>
    </font>
    <font>
      <sz val="10"/>
      <color rgb="FF000000"/>
      <name val="Times New Roman"/>
      <family val="1"/>
      <charset val="1"/>
    </font>
    <font>
      <b/>
      <sz val="10"/>
      <color rgb="FF000080"/>
      <name val="Arial1"/>
      <charset val="1"/>
    </font>
    <font>
      <sz val="11"/>
      <color rgb="FF333333"/>
      <name val="Times New Roman"/>
      <family val="1"/>
      <charset val="1"/>
    </font>
    <font>
      <sz val="11"/>
      <color rgb="FF808080"/>
      <name val="Times New Roman"/>
      <family val="1"/>
      <charset val="1"/>
    </font>
    <font>
      <b/>
      <sz val="11"/>
      <color rgb="FF808080"/>
      <name val="Times New Roman"/>
      <family val="1"/>
      <charset val="1"/>
    </font>
    <font>
      <b/>
      <sz val="11"/>
      <color rgb="FFFFFFFF"/>
      <name val="Times New Roman"/>
      <family val="1"/>
      <charset val="1"/>
    </font>
    <font>
      <sz val="11"/>
      <color rgb="FFFFFFFF"/>
      <name val="Times New Roman"/>
      <family val="1"/>
      <charset val="1"/>
    </font>
    <font>
      <b/>
      <sz val="11"/>
      <color rgb="FF333333"/>
      <name val="Arial"/>
      <family val="2"/>
      <charset val="1"/>
    </font>
    <font>
      <b/>
      <sz val="14"/>
      <name val="Arial"/>
      <family val="2"/>
      <charset val="1"/>
    </font>
    <font>
      <b/>
      <sz val="11"/>
      <name val="Arial"/>
      <family val="2"/>
      <charset val="1"/>
    </font>
    <font>
      <b/>
      <sz val="10.5"/>
      <name val="Arial"/>
      <family val="2"/>
      <charset val="1"/>
    </font>
    <font>
      <sz val="10"/>
      <color rgb="FF000000"/>
      <name val="Arial"/>
      <family val="2"/>
      <charset val="1"/>
    </font>
    <font>
      <b/>
      <sz val="10"/>
      <color rgb="FF000000"/>
      <name val="Verdana"/>
      <family val="2"/>
    </font>
    <font>
      <sz val="10"/>
      <color rgb="FF000000"/>
      <name val="Verdana"/>
      <family val="2"/>
    </font>
    <font>
      <b/>
      <sz val="10"/>
      <color rgb="FF000000"/>
      <name val="Arial"/>
      <family val="2"/>
    </font>
    <font>
      <sz val="10"/>
      <color rgb="FF000000"/>
      <name val="Arial"/>
      <family val="2"/>
    </font>
    <font>
      <sz val="11"/>
      <color rgb="FF000000"/>
      <name val="Times New Roman"/>
      <family val="1"/>
    </font>
    <font>
      <sz val="11"/>
      <color rgb="FFFF0000"/>
      <name val="Times New Roman"/>
      <family val="1"/>
    </font>
    <font>
      <b/>
      <sz val="11"/>
      <color rgb="FF000000"/>
      <name val="Times New Roman"/>
      <family val="1"/>
    </font>
    <font>
      <sz val="10"/>
      <name val="Arial"/>
      <family val="2"/>
    </font>
    <font>
      <sz val="8"/>
      <name val="Arial"/>
      <family val="2"/>
    </font>
    <font>
      <sz val="11"/>
      <color rgb="FF000080"/>
      <name val="Times New Roman"/>
      <family val="1"/>
    </font>
    <font>
      <b/>
      <sz val="11"/>
      <name val="Times New Roman"/>
      <family val="1"/>
    </font>
  </fonts>
  <fills count="21">
    <fill>
      <patternFill patternType="none"/>
    </fill>
    <fill>
      <patternFill patternType="gray125"/>
    </fill>
    <fill>
      <patternFill patternType="solid">
        <fgColor rgb="FFFFFF00"/>
        <bgColor rgb="FFFFF200"/>
      </patternFill>
    </fill>
    <fill>
      <patternFill patternType="solid">
        <fgColor rgb="FFFFFFFF"/>
        <bgColor rgb="FFFFFFCC"/>
      </patternFill>
    </fill>
    <fill>
      <patternFill patternType="solid">
        <fgColor rgb="FFAFABAB"/>
        <bgColor rgb="FFC0C0C0"/>
      </patternFill>
    </fill>
    <fill>
      <patternFill patternType="solid">
        <fgColor rgb="FFD0CECE"/>
        <bgColor rgb="FFC0C0C0"/>
      </patternFill>
    </fill>
    <fill>
      <patternFill patternType="solid">
        <fgColor rgb="FFB4C7E7"/>
        <bgColor rgb="FFC0C0C0"/>
      </patternFill>
    </fill>
    <fill>
      <patternFill patternType="solid">
        <fgColor rgb="FFCCFFFF"/>
        <bgColor rgb="FFCCFFFF"/>
      </patternFill>
    </fill>
    <fill>
      <patternFill patternType="solid">
        <fgColor rgb="FFC0C0C0"/>
        <bgColor rgb="FFD0CECE"/>
      </patternFill>
    </fill>
    <fill>
      <patternFill patternType="solid">
        <fgColor rgb="FF99CCFF"/>
        <bgColor rgb="FFB4C7E7"/>
      </patternFill>
    </fill>
    <fill>
      <patternFill patternType="solid">
        <fgColor rgb="FFFFFF99"/>
        <bgColor rgb="FFFFFFCC"/>
      </patternFill>
    </fill>
    <fill>
      <patternFill patternType="solid">
        <fgColor rgb="FFFFF200"/>
        <bgColor rgb="FFFFFF00"/>
      </patternFill>
    </fill>
    <fill>
      <patternFill patternType="solid">
        <fgColor rgb="FF00CCFF"/>
        <bgColor rgb="FF33CCCC"/>
      </patternFill>
    </fill>
    <fill>
      <patternFill patternType="solid">
        <fgColor rgb="FF00FF00"/>
        <bgColor rgb="FF33CCCC"/>
      </patternFill>
    </fill>
    <fill>
      <patternFill patternType="solid">
        <fgColor rgb="FFCC99FF"/>
        <bgColor rgb="FFFF99CC"/>
      </patternFill>
    </fill>
    <fill>
      <patternFill patternType="solid">
        <fgColor rgb="FFCCCCFF"/>
        <bgColor rgb="FFB4C7E7"/>
      </patternFill>
    </fill>
    <fill>
      <patternFill patternType="solid">
        <fgColor rgb="FFFF6600"/>
        <bgColor rgb="FFFF9900"/>
      </patternFill>
    </fill>
    <fill>
      <patternFill patternType="solid">
        <fgColor rgb="FFFFCC00"/>
        <bgColor rgb="FFFFF200"/>
      </patternFill>
    </fill>
    <fill>
      <patternFill patternType="solid">
        <fgColor rgb="FF000000"/>
        <bgColor rgb="FF003300"/>
      </patternFill>
    </fill>
    <fill>
      <patternFill patternType="solid">
        <fgColor rgb="FFCCFFCC"/>
        <bgColor rgb="FFCCFFFF"/>
      </patternFill>
    </fill>
    <fill>
      <patternFill patternType="solid">
        <fgColor rgb="FFCCFFCC"/>
        <bgColor rgb="FFCCFFCC"/>
      </patternFill>
    </fill>
  </fills>
  <borders count="23">
    <border>
      <left/>
      <right/>
      <top/>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hair">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8">
    <xf numFmtId="0" fontId="0" fillId="0" borderId="0"/>
    <xf numFmtId="167" fontId="38" fillId="0" borderId="0" applyBorder="0" applyProtection="0"/>
    <xf numFmtId="165" fontId="38" fillId="0" borderId="0" applyBorder="0" applyProtection="0"/>
    <xf numFmtId="9" fontId="38" fillId="0" borderId="0" applyBorder="0" applyProtection="0"/>
    <xf numFmtId="164" fontId="1" fillId="0" borderId="0" applyBorder="0" applyProtection="0"/>
    <xf numFmtId="0" fontId="10" fillId="0" borderId="0"/>
    <xf numFmtId="0" fontId="42" fillId="0" borderId="0"/>
    <xf numFmtId="0" fontId="46" fillId="0" borderId="0"/>
  </cellStyleXfs>
  <cellXfs count="313">
    <xf numFmtId="0" fontId="0" fillId="0" borderId="0" xfId="0"/>
    <xf numFmtId="0" fontId="3" fillId="5" borderId="9" xfId="0" applyFont="1" applyFill="1" applyBorder="1" applyAlignment="1">
      <alignment horizontal="center" vertical="center"/>
    </xf>
    <xf numFmtId="0" fontId="0" fillId="0" borderId="0" xfId="0" applyAlignment="1">
      <alignment horizontal="center" vertical="center"/>
    </xf>
    <xf numFmtId="0" fontId="0" fillId="2" borderId="0" xfId="0" applyFill="1"/>
    <xf numFmtId="0" fontId="3" fillId="3" borderId="5" xfId="0" applyFont="1" applyFill="1" applyBorder="1" applyAlignment="1">
      <alignment horizontal="center"/>
    </xf>
    <xf numFmtId="0" fontId="3" fillId="3" borderId="7" xfId="0" applyFont="1" applyFill="1" applyBorder="1"/>
    <xf numFmtId="0" fontId="4" fillId="3" borderId="0" xfId="0" applyFont="1" applyFill="1"/>
    <xf numFmtId="0" fontId="4" fillId="3" borderId="8" xfId="0" applyFont="1" applyFill="1" applyBorder="1"/>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0" fillId="3" borderId="11" xfId="0" applyFill="1" applyBorder="1" applyAlignment="1">
      <alignment horizontal="justify" wrapText="1"/>
    </xf>
    <xf numFmtId="0" fontId="0" fillId="3" borderId="12" xfId="0" applyFill="1" applyBorder="1" applyAlignment="1">
      <alignment horizontal="justify" wrapText="1"/>
    </xf>
    <xf numFmtId="0" fontId="0" fillId="3" borderId="13" xfId="0" applyFill="1" applyBorder="1" applyAlignment="1">
      <alignment horizontal="justify" wrapText="1"/>
    </xf>
    <xf numFmtId="0" fontId="3" fillId="5" borderId="9" xfId="0" applyFont="1" applyFill="1" applyBorder="1" applyAlignment="1">
      <alignment horizontal="center" vertical="center" wrapText="1"/>
    </xf>
    <xf numFmtId="0" fontId="4" fillId="3" borderId="9" xfId="0" applyFont="1" applyFill="1" applyBorder="1" applyAlignment="1">
      <alignment horizontal="center" vertical="center"/>
    </xf>
    <xf numFmtId="165" fontId="4" fillId="0" borderId="9" xfId="2" applyFont="1" applyBorder="1" applyProtection="1"/>
    <xf numFmtId="164" fontId="0" fillId="0" borderId="0" xfId="0" applyNumberFormat="1"/>
    <xf numFmtId="0" fontId="3" fillId="5" borderId="9" xfId="0" applyFont="1" applyFill="1" applyBorder="1" applyAlignment="1">
      <alignment horizontal="center"/>
    </xf>
    <xf numFmtId="165" fontId="4" fillId="5" borderId="9" xfId="2" applyFont="1" applyFill="1" applyBorder="1" applyProtection="1"/>
    <xf numFmtId="0" fontId="5" fillId="0" borderId="0" xfId="0" applyFont="1" applyAlignment="1">
      <alignment vertical="center"/>
    </xf>
    <xf numFmtId="0" fontId="4" fillId="0" borderId="9" xfId="0" applyFont="1" applyBorder="1" applyAlignment="1">
      <alignment horizontal="center" vertical="center"/>
    </xf>
    <xf numFmtId="166" fontId="4" fillId="0" borderId="9" xfId="0" applyNumberFormat="1" applyFont="1" applyBorder="1" applyAlignment="1">
      <alignment horizontal="center" vertical="center"/>
    </xf>
    <xf numFmtId="166" fontId="3" fillId="5" borderId="9" xfId="0" applyNumberFormat="1" applyFont="1" applyFill="1" applyBorder="1" applyAlignment="1">
      <alignment horizontal="center" vertical="center"/>
    </xf>
    <xf numFmtId="0" fontId="8" fillId="3" borderId="0" xfId="0" applyFont="1" applyFill="1" applyAlignment="1">
      <alignment horizontal="center"/>
    </xf>
    <xf numFmtId="0" fontId="8" fillId="3" borderId="0" xfId="0" applyFont="1" applyFill="1" applyAlignment="1">
      <alignment horizontal="left"/>
    </xf>
    <xf numFmtId="0" fontId="9" fillId="8" borderId="14" xfId="0" applyFont="1" applyFill="1" applyBorder="1" applyAlignment="1">
      <alignment horizontal="center" vertical="center"/>
    </xf>
    <xf numFmtId="0" fontId="9" fillId="8" borderId="14" xfId="0" applyFont="1" applyFill="1" applyBorder="1" applyAlignment="1">
      <alignment horizontal="center" wrapText="1"/>
    </xf>
    <xf numFmtId="0" fontId="9" fillId="8" borderId="14" xfId="0" applyFont="1" applyFill="1"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left" vertical="center"/>
    </xf>
    <xf numFmtId="0" fontId="11" fillId="0" borderId="9" xfId="5" applyFont="1" applyBorder="1" applyAlignment="1">
      <alignment horizontal="center" vertical="center"/>
    </xf>
    <xf numFmtId="167" fontId="11" fillId="0" borderId="9" xfId="1" applyFont="1" applyBorder="1" applyProtection="1"/>
    <xf numFmtId="167" fontId="38" fillId="0" borderId="9" xfId="1" applyBorder="1" applyProtection="1"/>
    <xf numFmtId="2" fontId="9" fillId="8" borderId="9" xfId="0" applyNumberFormat="1" applyFont="1" applyFill="1" applyBorder="1" applyAlignment="1">
      <alignment horizontal="right" vertical="center"/>
    </xf>
    <xf numFmtId="0" fontId="12" fillId="3" borderId="0" xfId="0" applyFont="1" applyFill="1" applyAlignment="1">
      <alignment horizontal="left"/>
    </xf>
    <xf numFmtId="167" fontId="9" fillId="8" borderId="9" xfId="0" applyNumberFormat="1" applyFont="1" applyFill="1" applyBorder="1" applyAlignment="1">
      <alignment horizontal="right" vertical="center"/>
    </xf>
    <xf numFmtId="0" fontId="13" fillId="0" borderId="0" xfId="0" applyFont="1" applyAlignment="1">
      <alignment horizontal="center"/>
    </xf>
    <xf numFmtId="0" fontId="14" fillId="0" borderId="0" xfId="0" applyFont="1" applyAlignment="1">
      <alignment horizontal="center" vertical="center"/>
    </xf>
    <xf numFmtId="168" fontId="14" fillId="0" borderId="0" xfId="2" applyNumberFormat="1" applyFont="1" applyBorder="1" applyAlignment="1" applyProtection="1">
      <alignment horizontal="center" vertical="center"/>
    </xf>
    <xf numFmtId="0" fontId="14" fillId="10" borderId="9" xfId="0" applyFont="1" applyFill="1" applyBorder="1" applyAlignment="1">
      <alignment horizontal="center" vertical="center" wrapText="1"/>
    </xf>
    <xf numFmtId="0" fontId="14" fillId="0" borderId="9" xfId="0" applyFont="1" applyBorder="1" applyAlignment="1">
      <alignment horizontal="center" vertical="center" wrapText="1"/>
    </xf>
    <xf numFmtId="165" fontId="14" fillId="0" borderId="9" xfId="2" applyFont="1" applyBorder="1" applyAlignment="1" applyProtection="1">
      <alignment horizontal="center" vertical="center" wrapText="1"/>
    </xf>
    <xf numFmtId="165" fontId="14" fillId="0" borderId="9" xfId="2" applyFont="1" applyBorder="1" applyAlignment="1" applyProtection="1">
      <alignment horizontal="center" vertical="center"/>
    </xf>
    <xf numFmtId="0" fontId="14" fillId="0" borderId="9" xfId="0" applyFont="1" applyBorder="1" applyAlignment="1">
      <alignment horizontal="left" vertical="center" wrapText="1"/>
    </xf>
    <xf numFmtId="0" fontId="0" fillId="3" borderId="9" xfId="0" applyFill="1" applyBorder="1" applyAlignment="1">
      <alignment horizontal="center" vertical="center"/>
    </xf>
    <xf numFmtId="168" fontId="38" fillId="0" borderId="9" xfId="2" applyNumberFormat="1" applyBorder="1" applyAlignment="1" applyProtection="1">
      <alignment horizontal="center" vertical="center"/>
    </xf>
    <xf numFmtId="164" fontId="38" fillId="0" borderId="9" xfId="3" applyNumberFormat="1" applyBorder="1" applyAlignment="1" applyProtection="1">
      <alignment horizontal="center" vertical="center"/>
    </xf>
    <xf numFmtId="0" fontId="0" fillId="3" borderId="0" xfId="0" applyFill="1"/>
    <xf numFmtId="0" fontId="0" fillId="3" borderId="0" xfId="0" applyFill="1" applyAlignment="1">
      <alignment vertical="center"/>
    </xf>
    <xf numFmtId="0" fontId="0" fillId="0" borderId="0" xfId="0" applyAlignment="1">
      <alignment vertical="center"/>
    </xf>
    <xf numFmtId="0" fontId="14" fillId="0" borderId="0" xfId="0" applyFont="1" applyAlignment="1">
      <alignment horizontal="justify" vertical="center" wrapText="1"/>
    </xf>
    <xf numFmtId="0" fontId="18" fillId="3" borderId="0" xfId="0" applyFont="1" applyFill="1" applyAlignment="1">
      <alignment horizontal="center" vertical="center"/>
    </xf>
    <xf numFmtId="0" fontId="18" fillId="3" borderId="0" xfId="0" applyFont="1" applyFill="1" applyAlignment="1">
      <alignment horizontal="left" vertical="center"/>
    </xf>
    <xf numFmtId="0" fontId="18" fillId="0" borderId="0" xfId="0" applyFont="1"/>
    <xf numFmtId="0" fontId="18" fillId="0" borderId="0" xfId="0" applyFont="1" applyAlignment="1">
      <alignment horizontal="justify" vertical="center"/>
    </xf>
    <xf numFmtId="0" fontId="20" fillId="0" borderId="0" xfId="0" applyFont="1" applyAlignment="1">
      <alignment horizontal="center" vertical="center"/>
    </xf>
    <xf numFmtId="0" fontId="21" fillId="0" borderId="18" xfId="0" applyFont="1" applyBorder="1" applyAlignment="1">
      <alignment horizontal="left" vertical="center"/>
    </xf>
    <xf numFmtId="0" fontId="21" fillId="0" borderId="18" xfId="0" applyFont="1" applyBorder="1" applyAlignment="1">
      <alignment horizontal="left" vertical="center" wrapText="1"/>
    </xf>
    <xf numFmtId="0" fontId="18" fillId="0" borderId="0" xfId="0" applyFont="1" applyAlignment="1">
      <alignment horizontal="right"/>
    </xf>
    <xf numFmtId="0" fontId="18" fillId="0" borderId="0" xfId="0" applyFont="1" applyAlignment="1">
      <alignment wrapText="1"/>
    </xf>
    <xf numFmtId="0" fontId="18" fillId="0" borderId="0" xfId="0" applyFont="1" applyAlignment="1">
      <alignment horizontal="center" vertical="center"/>
    </xf>
    <xf numFmtId="0" fontId="18" fillId="13" borderId="9" xfId="0" applyFont="1" applyFill="1" applyBorder="1" applyAlignment="1">
      <alignment horizontal="center" vertical="center" wrapText="1"/>
    </xf>
    <xf numFmtId="0" fontId="20" fillId="0" borderId="9" xfId="0" applyFont="1" applyBorder="1" applyAlignment="1">
      <alignment horizontal="justify" vertical="center" wrapText="1"/>
    </xf>
    <xf numFmtId="0" fontId="20" fillId="0" borderId="9" xfId="0" applyFont="1" applyBorder="1" applyAlignment="1">
      <alignment horizontal="center" vertical="center"/>
    </xf>
    <xf numFmtId="0" fontId="22" fillId="0" borderId="9" xfId="0"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xf>
    <xf numFmtId="0" fontId="21" fillId="0" borderId="9" xfId="0" applyFont="1" applyBorder="1" applyAlignment="1">
      <alignment horizontal="left" vertical="center"/>
    </xf>
    <xf numFmtId="0" fontId="21" fillId="0" borderId="9" xfId="0" applyFont="1" applyBorder="1" applyAlignment="1">
      <alignment vertical="center"/>
    </xf>
    <xf numFmtId="0" fontId="18" fillId="3" borderId="0" xfId="0" applyFont="1" applyFill="1" applyAlignment="1">
      <alignment vertical="center" wrapText="1"/>
    </xf>
    <xf numFmtId="0" fontId="23" fillId="3" borderId="0" xfId="0" applyFont="1" applyFill="1" applyAlignment="1">
      <alignment vertical="center"/>
    </xf>
    <xf numFmtId="167" fontId="18" fillId="3" borderId="0" xfId="0" applyNumberFormat="1" applyFont="1" applyFill="1" applyAlignment="1">
      <alignment vertical="center"/>
    </xf>
    <xf numFmtId="0" fontId="18" fillId="3" borderId="20" xfId="0" applyFont="1" applyFill="1" applyBorder="1" applyAlignment="1">
      <alignment horizontal="center" vertical="center"/>
    </xf>
    <xf numFmtId="0" fontId="18" fillId="14" borderId="10" xfId="0" applyFont="1" applyFill="1" applyBorder="1" applyAlignment="1">
      <alignment horizontal="center" vertical="center" wrapText="1"/>
    </xf>
    <xf numFmtId="0" fontId="18" fillId="13" borderId="11" xfId="0" applyFont="1" applyFill="1" applyBorder="1" applyAlignment="1">
      <alignment vertical="center" wrapText="1"/>
    </xf>
    <xf numFmtId="167" fontId="18" fillId="13" borderId="22" xfId="1" applyFont="1" applyFill="1" applyBorder="1" applyAlignment="1" applyProtection="1">
      <alignment horizontal="center" vertical="center" wrapText="1"/>
    </xf>
    <xf numFmtId="167" fontId="18" fillId="13" borderId="13" xfId="1" applyFont="1" applyFill="1" applyBorder="1" applyAlignment="1" applyProtection="1">
      <alignment horizontal="center" vertical="center"/>
    </xf>
    <xf numFmtId="0" fontId="20" fillId="3" borderId="7" xfId="0" applyFont="1" applyFill="1" applyBorder="1" applyAlignment="1">
      <alignment vertical="center" wrapText="1"/>
    </xf>
    <xf numFmtId="168" fontId="24" fillId="0" borderId="10" xfId="3" applyNumberFormat="1" applyFont="1" applyBorder="1" applyAlignment="1" applyProtection="1">
      <alignment vertical="center"/>
    </xf>
    <xf numFmtId="167" fontId="18" fillId="3" borderId="21" xfId="1" applyFont="1" applyFill="1" applyBorder="1" applyProtection="1"/>
    <xf numFmtId="9" fontId="20" fillId="0" borderId="22" xfId="3" applyFont="1" applyBorder="1" applyProtection="1"/>
    <xf numFmtId="167" fontId="18" fillId="0" borderId="8" xfId="1" applyFont="1" applyBorder="1" applyProtection="1"/>
    <xf numFmtId="170" fontId="20" fillId="0" borderId="22" xfId="3" applyNumberFormat="1" applyFont="1" applyBorder="1" applyAlignment="1" applyProtection="1">
      <alignment vertical="center"/>
    </xf>
    <xf numFmtId="168" fontId="20" fillId="0" borderId="22" xfId="3" applyNumberFormat="1" applyFont="1" applyBorder="1" applyAlignment="1" applyProtection="1">
      <alignment vertical="center"/>
    </xf>
    <xf numFmtId="0" fontId="22" fillId="3" borderId="7" xfId="0" applyFont="1" applyFill="1" applyBorder="1" applyAlignment="1">
      <alignment vertical="center" wrapText="1"/>
    </xf>
    <xf numFmtId="10" fontId="20" fillId="0" borderId="22" xfId="3" applyNumberFormat="1" applyFont="1" applyBorder="1" applyAlignment="1" applyProtection="1">
      <alignment vertical="center"/>
    </xf>
    <xf numFmtId="10" fontId="20" fillId="0" borderId="14" xfId="3" applyNumberFormat="1" applyFont="1" applyBorder="1" applyAlignment="1" applyProtection="1">
      <alignment vertical="center"/>
    </xf>
    <xf numFmtId="0" fontId="18" fillId="8" borderId="9" xfId="0" applyFont="1" applyFill="1" applyBorder="1" applyAlignment="1">
      <alignment horizontal="right" vertical="center" wrapText="1"/>
    </xf>
    <xf numFmtId="10" fontId="18" fillId="8" borderId="12" xfId="0" applyNumberFormat="1" applyFont="1" applyFill="1" applyBorder="1" applyAlignment="1">
      <alignment horizontal="right" vertical="center" wrapText="1"/>
    </xf>
    <xf numFmtId="164" fontId="18" fillId="8" borderId="19" xfId="0" applyNumberFormat="1" applyFont="1" applyFill="1" applyBorder="1" applyAlignment="1">
      <alignment vertical="center"/>
    </xf>
    <xf numFmtId="0" fontId="18" fillId="15" borderId="9" xfId="0" applyFont="1" applyFill="1" applyBorder="1" applyAlignment="1">
      <alignment horizontal="left" vertical="center" wrapText="1"/>
    </xf>
    <xf numFmtId="167" fontId="18" fillId="15" borderId="9" xfId="1" applyFont="1" applyFill="1" applyBorder="1" applyAlignment="1" applyProtection="1">
      <alignment horizontal="center" vertical="center"/>
    </xf>
    <xf numFmtId="10" fontId="20" fillId="3" borderId="22" xfId="3" applyNumberFormat="1" applyFont="1" applyFill="1" applyBorder="1" applyAlignment="1" applyProtection="1">
      <alignment vertical="center"/>
    </xf>
    <xf numFmtId="167" fontId="18" fillId="3" borderId="22" xfId="1" applyFont="1" applyFill="1" applyBorder="1" applyAlignment="1" applyProtection="1">
      <alignment vertical="center"/>
    </xf>
    <xf numFmtId="0" fontId="18" fillId="3" borderId="18" xfId="0" applyFont="1" applyFill="1" applyBorder="1" applyAlignment="1">
      <alignment horizontal="right" vertical="center" wrapText="1"/>
    </xf>
    <xf numFmtId="10" fontId="26" fillId="3" borderId="10" xfId="0" applyNumberFormat="1" applyFont="1" applyFill="1" applyBorder="1" applyAlignment="1">
      <alignment vertical="center"/>
    </xf>
    <xf numFmtId="167" fontId="18" fillId="3" borderId="10" xfId="0" applyNumberFormat="1" applyFont="1" applyFill="1" applyBorder="1" applyAlignment="1">
      <alignment vertical="center"/>
    </xf>
    <xf numFmtId="0" fontId="18" fillId="15" borderId="18" xfId="0" applyFont="1" applyFill="1" applyBorder="1" applyAlignment="1">
      <alignment horizontal="left" vertical="center" wrapText="1"/>
    </xf>
    <xf numFmtId="167" fontId="18" fillId="3" borderId="8" xfId="1" applyFont="1" applyFill="1" applyBorder="1" applyAlignment="1" applyProtection="1">
      <alignment vertical="center"/>
    </xf>
    <xf numFmtId="167" fontId="18" fillId="3" borderId="21" xfId="0" applyNumberFormat="1" applyFont="1" applyFill="1" applyBorder="1" applyAlignment="1">
      <alignment vertical="center"/>
    </xf>
    <xf numFmtId="0" fontId="18" fillId="15" borderId="11" xfId="0" applyFont="1" applyFill="1" applyBorder="1" applyAlignment="1">
      <alignment vertical="center" wrapText="1"/>
    </xf>
    <xf numFmtId="9" fontId="19" fillId="15" borderId="9" xfId="3" applyFont="1" applyFill="1" applyBorder="1" applyAlignment="1" applyProtection="1">
      <alignment horizontal="center" wrapText="1"/>
    </xf>
    <xf numFmtId="0" fontId="27" fillId="3" borderId="7" xfId="0" applyFont="1" applyFill="1" applyBorder="1" applyAlignment="1">
      <alignment vertical="center" wrapText="1"/>
    </xf>
    <xf numFmtId="171" fontId="22" fillId="0" borderId="7" xfId="3" applyNumberFormat="1" applyFont="1" applyBorder="1" applyAlignment="1" applyProtection="1">
      <alignment vertical="center"/>
    </xf>
    <xf numFmtId="167" fontId="22" fillId="3" borderId="22" xfId="1" applyFont="1" applyFill="1" applyBorder="1" applyProtection="1"/>
    <xf numFmtId="0" fontId="20" fillId="3" borderId="7" xfId="0" applyFont="1" applyFill="1" applyBorder="1" applyAlignment="1">
      <alignment wrapText="1"/>
    </xf>
    <xf numFmtId="171" fontId="20" fillId="0" borderId="7" xfId="3" applyNumberFormat="1" applyFont="1" applyBorder="1" applyAlignment="1" applyProtection="1">
      <alignment vertical="center"/>
    </xf>
    <xf numFmtId="167" fontId="18" fillId="0" borderId="22" xfId="1" applyFont="1" applyBorder="1" applyAlignment="1" applyProtection="1">
      <alignment vertical="center"/>
    </xf>
    <xf numFmtId="172" fontId="20" fillId="0" borderId="7" xfId="3" applyNumberFormat="1" applyFont="1" applyBorder="1" applyProtection="1"/>
    <xf numFmtId="167" fontId="18" fillId="0" borderId="14" xfId="1" applyFont="1" applyBorder="1" applyAlignment="1" applyProtection="1">
      <alignment vertical="center"/>
    </xf>
    <xf numFmtId="167" fontId="18" fillId="3" borderId="9" xfId="0" applyNumberFormat="1" applyFont="1" applyFill="1" applyBorder="1" applyAlignment="1">
      <alignment vertical="center"/>
    </xf>
    <xf numFmtId="167" fontId="18" fillId="3" borderId="13" xfId="0" applyNumberFormat="1" applyFont="1" applyFill="1" applyBorder="1" applyAlignment="1">
      <alignment vertical="center"/>
    </xf>
    <xf numFmtId="0" fontId="18" fillId="13" borderId="9" xfId="0" applyFont="1" applyFill="1" applyBorder="1" applyAlignment="1">
      <alignment horizontal="left" vertical="center" wrapText="1"/>
    </xf>
    <xf numFmtId="0" fontId="18" fillId="13" borderId="13" xfId="0" applyFont="1" applyFill="1" applyBorder="1" applyAlignment="1">
      <alignment horizontal="center" vertical="center" wrapText="1"/>
    </xf>
    <xf numFmtId="0" fontId="20" fillId="3" borderId="10" xfId="0" applyFont="1" applyFill="1" applyBorder="1" applyAlignment="1">
      <alignment horizontal="left" vertical="center" wrapText="1"/>
    </xf>
    <xf numFmtId="10" fontId="24" fillId="3" borderId="21" xfId="0" applyNumberFormat="1" applyFont="1" applyFill="1" applyBorder="1" applyAlignment="1">
      <alignment horizontal="right" vertical="center" wrapText="1"/>
    </xf>
    <xf numFmtId="167" fontId="18" fillId="3" borderId="10" xfId="1" applyFont="1" applyFill="1" applyBorder="1" applyAlignment="1" applyProtection="1">
      <alignment vertical="center"/>
    </xf>
    <xf numFmtId="0" fontId="20" fillId="3" borderId="22" xfId="0" applyFont="1" applyFill="1" applyBorder="1" applyAlignment="1">
      <alignment horizontal="left" vertical="center" wrapText="1"/>
    </xf>
    <xf numFmtId="10" fontId="24" fillId="3" borderId="8" xfId="0" applyNumberFormat="1" applyFont="1" applyFill="1" applyBorder="1" applyAlignment="1">
      <alignment horizontal="right" vertical="center" wrapText="1"/>
    </xf>
    <xf numFmtId="167" fontId="18" fillId="3" borderId="14" xfId="1" applyFont="1" applyFill="1" applyBorder="1" applyAlignment="1" applyProtection="1">
      <alignment vertical="center"/>
    </xf>
    <xf numFmtId="10" fontId="18" fillId="8" borderId="5" xfId="0" applyNumberFormat="1" applyFont="1" applyFill="1" applyBorder="1" applyAlignment="1">
      <alignment horizontal="right" vertical="center" wrapText="1"/>
    </xf>
    <xf numFmtId="167" fontId="18" fillId="8" borderId="9" xfId="0" applyNumberFormat="1" applyFont="1" applyFill="1" applyBorder="1" applyAlignment="1">
      <alignment vertical="center"/>
    </xf>
    <xf numFmtId="0" fontId="18" fillId="3" borderId="0" xfId="0" applyFont="1" applyFill="1" applyAlignment="1">
      <alignment horizontal="right" vertical="center" wrapText="1"/>
    </xf>
    <xf numFmtId="0" fontId="18" fillId="13" borderId="9" xfId="0" applyFont="1" applyFill="1" applyBorder="1" applyAlignment="1">
      <alignment vertical="center" wrapText="1"/>
    </xf>
    <xf numFmtId="10" fontId="19" fillId="13" borderId="9" xfId="3" applyNumberFormat="1" applyFont="1" applyFill="1" applyBorder="1" applyAlignment="1" applyProtection="1">
      <alignment horizontal="center" vertical="center"/>
    </xf>
    <xf numFmtId="167" fontId="18" fillId="13" borderId="9" xfId="1" applyFont="1" applyFill="1" applyBorder="1" applyAlignment="1" applyProtection="1">
      <alignment horizontal="center" vertical="center"/>
    </xf>
    <xf numFmtId="10" fontId="24" fillId="3" borderId="7" xfId="3" applyNumberFormat="1" applyFont="1" applyFill="1" applyBorder="1" applyAlignment="1" applyProtection="1">
      <alignment vertical="center"/>
    </xf>
    <xf numFmtId="0" fontId="20" fillId="0" borderId="7" xfId="0" applyFont="1" applyBorder="1" applyAlignment="1">
      <alignment vertical="center" wrapText="1"/>
    </xf>
    <xf numFmtId="0" fontId="24" fillId="0" borderId="0" xfId="0" applyFont="1"/>
    <xf numFmtId="10" fontId="20" fillId="3" borderId="7" xfId="3" applyNumberFormat="1" applyFont="1" applyFill="1" applyBorder="1" applyAlignment="1" applyProtection="1">
      <alignment vertical="center"/>
    </xf>
    <xf numFmtId="10" fontId="26" fillId="8" borderId="9" xfId="0" applyNumberFormat="1" applyFont="1" applyFill="1" applyBorder="1" applyAlignment="1">
      <alignment horizontal="right" vertical="center" wrapText="1"/>
    </xf>
    <xf numFmtId="0" fontId="9" fillId="3" borderId="0" xfId="0" applyFont="1" applyFill="1" applyAlignment="1">
      <alignment horizontal="right" vertical="center" wrapText="1"/>
    </xf>
    <xf numFmtId="167" fontId="9" fillId="3" borderId="0" xfId="0" applyNumberFormat="1" applyFont="1" applyFill="1" applyAlignment="1">
      <alignment vertical="center"/>
    </xf>
    <xf numFmtId="0" fontId="18" fillId="15" borderId="9" xfId="0" applyFont="1" applyFill="1" applyBorder="1" applyAlignment="1">
      <alignment vertical="center" wrapText="1"/>
    </xf>
    <xf numFmtId="9" fontId="19" fillId="15" borderId="9" xfId="3" applyFont="1" applyFill="1" applyBorder="1" applyAlignment="1" applyProtection="1">
      <alignment horizontal="center" vertical="center"/>
    </xf>
    <xf numFmtId="10" fontId="24" fillId="3" borderId="22" xfId="3" applyNumberFormat="1" applyFont="1" applyFill="1" applyBorder="1" applyAlignment="1" applyProtection="1">
      <alignment vertical="center"/>
    </xf>
    <xf numFmtId="10" fontId="26" fillId="8" borderId="9" xfId="0" applyNumberFormat="1" applyFont="1" applyFill="1" applyBorder="1" applyAlignment="1">
      <alignment vertical="center"/>
    </xf>
    <xf numFmtId="0" fontId="20" fillId="3" borderId="9" xfId="0" applyFont="1" applyFill="1" applyBorder="1" applyAlignment="1">
      <alignment vertical="center" wrapText="1"/>
    </xf>
    <xf numFmtId="10" fontId="24" fillId="3" borderId="9" xfId="3" applyNumberFormat="1" applyFont="1" applyFill="1" applyBorder="1" applyAlignment="1" applyProtection="1">
      <alignment vertical="center"/>
    </xf>
    <xf numFmtId="167" fontId="18" fillId="3" borderId="9" xfId="1" applyFont="1" applyFill="1" applyBorder="1" applyAlignment="1" applyProtection="1">
      <alignment vertical="center"/>
    </xf>
    <xf numFmtId="0" fontId="18" fillId="3" borderId="7" xfId="0" applyFont="1" applyFill="1" applyBorder="1" applyAlignment="1">
      <alignment horizontal="right" vertical="center" wrapText="1"/>
    </xf>
    <xf numFmtId="10" fontId="26" fillId="3" borderId="8" xfId="0" applyNumberFormat="1" applyFont="1" applyFill="1" applyBorder="1" applyAlignment="1">
      <alignment vertical="center"/>
    </xf>
    <xf numFmtId="0" fontId="20" fillId="0" borderId="9" xfId="0" applyFont="1" applyBorder="1" applyAlignment="1">
      <alignment vertical="center" wrapText="1"/>
    </xf>
    <xf numFmtId="10" fontId="18" fillId="8" borderId="9" xfId="0" applyNumberFormat="1" applyFont="1" applyFill="1" applyBorder="1" applyAlignment="1">
      <alignment horizontal="right" vertical="center" wrapText="1"/>
    </xf>
    <xf numFmtId="10" fontId="28" fillId="3" borderId="0" xfId="0" applyNumberFormat="1" applyFont="1" applyFill="1" applyAlignment="1">
      <alignment vertical="center"/>
    </xf>
    <xf numFmtId="10" fontId="19" fillId="13" borderId="9" xfId="3" applyNumberFormat="1" applyFont="1" applyFill="1" applyBorder="1" applyAlignment="1" applyProtection="1">
      <alignment horizontal="center" vertical="center" wrapText="1"/>
    </xf>
    <xf numFmtId="171" fontId="24" fillId="0" borderId="7" xfId="3" applyNumberFormat="1" applyFont="1" applyBorder="1" applyAlignment="1" applyProtection="1">
      <alignment vertical="center"/>
    </xf>
    <xf numFmtId="167" fontId="18" fillId="3" borderId="22" xfId="1" applyFont="1" applyFill="1" applyBorder="1" applyProtection="1"/>
    <xf numFmtId="0" fontId="18" fillId="8" borderId="18" xfId="0" applyFont="1" applyFill="1" applyBorder="1" applyAlignment="1">
      <alignment horizontal="right" vertical="center" wrapText="1"/>
    </xf>
    <xf numFmtId="10" fontId="26" fillId="3" borderId="0" xfId="0" applyNumberFormat="1" applyFont="1" applyFill="1" applyAlignment="1">
      <alignment vertical="center"/>
    </xf>
    <xf numFmtId="10" fontId="19" fillId="13" borderId="14" xfId="3" applyNumberFormat="1" applyFont="1" applyFill="1" applyBorder="1" applyAlignment="1" applyProtection="1">
      <alignment vertical="center"/>
    </xf>
    <xf numFmtId="0" fontId="29" fillId="3" borderId="7" xfId="0" applyFont="1" applyFill="1" applyBorder="1" applyAlignment="1">
      <alignment vertical="center" wrapText="1"/>
    </xf>
    <xf numFmtId="2" fontId="30" fillId="3" borderId="22" xfId="3" applyNumberFormat="1" applyFont="1" applyFill="1" applyBorder="1" applyAlignment="1" applyProtection="1">
      <alignment vertical="center"/>
    </xf>
    <xf numFmtId="10" fontId="30" fillId="3" borderId="7" xfId="3" applyNumberFormat="1" applyFont="1" applyFill="1" applyBorder="1" applyAlignment="1" applyProtection="1">
      <alignment vertical="center"/>
    </xf>
    <xf numFmtId="167" fontId="30" fillId="3" borderId="22" xfId="1" applyFont="1" applyFill="1" applyBorder="1" applyAlignment="1" applyProtection="1">
      <alignment vertical="center"/>
    </xf>
    <xf numFmtId="171" fontId="24" fillId="3" borderId="7" xfId="3" applyNumberFormat="1" applyFont="1" applyFill="1" applyBorder="1" applyAlignment="1" applyProtection="1">
      <alignment vertical="center"/>
    </xf>
    <xf numFmtId="167" fontId="20" fillId="3" borderId="22" xfId="1" applyFont="1" applyFill="1" applyBorder="1" applyAlignment="1" applyProtection="1">
      <alignment vertical="center"/>
    </xf>
    <xf numFmtId="0" fontId="23" fillId="8" borderId="18" xfId="0" applyFont="1" applyFill="1" applyBorder="1" applyAlignment="1">
      <alignment vertical="center"/>
    </xf>
    <xf numFmtId="167" fontId="18" fillId="17" borderId="9" xfId="1" applyFont="1" applyFill="1" applyBorder="1" applyAlignment="1" applyProtection="1">
      <alignment horizontal="center" vertical="center"/>
    </xf>
    <xf numFmtId="167" fontId="31" fillId="3" borderId="9" xfId="0" applyNumberFormat="1" applyFont="1" applyFill="1" applyBorder="1" applyAlignment="1">
      <alignment vertical="center"/>
    </xf>
    <xf numFmtId="0" fontId="32" fillId="18" borderId="9" xfId="0" applyFont="1" applyFill="1" applyBorder="1" applyAlignment="1">
      <alignment horizontal="left" vertical="center" wrapText="1"/>
    </xf>
    <xf numFmtId="0" fontId="33" fillId="18" borderId="9" xfId="0" applyFont="1" applyFill="1" applyBorder="1" applyAlignment="1">
      <alignment vertical="center"/>
    </xf>
    <xf numFmtId="167" fontId="32" fillId="18" borderId="9" xfId="0" applyNumberFormat="1" applyFont="1" applyFill="1" applyBorder="1" applyAlignment="1">
      <alignment vertical="center"/>
    </xf>
    <xf numFmtId="10" fontId="34" fillId="3" borderId="0" xfId="0" applyNumberFormat="1" applyFont="1" applyFill="1" applyAlignment="1">
      <alignment vertical="center"/>
    </xf>
    <xf numFmtId="0" fontId="19" fillId="3" borderId="0" xfId="0" applyFont="1" applyFill="1" applyAlignment="1">
      <alignment horizontal="center" vertical="center"/>
    </xf>
    <xf numFmtId="0" fontId="11" fillId="0" borderId="0" xfId="0" applyFont="1" applyAlignment="1">
      <alignment horizontal="center" vertical="center"/>
    </xf>
    <xf numFmtId="0" fontId="11" fillId="0" borderId="0" xfId="0" applyFont="1"/>
    <xf numFmtId="0" fontId="19" fillId="0" borderId="0" xfId="0" applyFont="1" applyAlignment="1">
      <alignment horizontal="justify" vertical="center"/>
    </xf>
    <xf numFmtId="0" fontId="22" fillId="0" borderId="0" xfId="0" applyFont="1" applyAlignment="1">
      <alignment horizontal="center" vertical="center"/>
    </xf>
    <xf numFmtId="0" fontId="19" fillId="0" borderId="0" xfId="0" applyFont="1" applyAlignment="1">
      <alignment wrapText="1"/>
    </xf>
    <xf numFmtId="0" fontId="19" fillId="0" borderId="0" xfId="0" applyFont="1" applyAlignment="1">
      <alignment horizontal="center" vertical="center"/>
    </xf>
    <xf numFmtId="0" fontId="18" fillId="3" borderId="9" xfId="0" applyFont="1" applyFill="1" applyBorder="1" applyAlignment="1">
      <alignment horizontal="center" vertical="center"/>
    </xf>
    <xf numFmtId="0" fontId="18" fillId="14" borderId="9" xfId="0" applyFont="1" applyFill="1" applyBorder="1" applyAlignment="1">
      <alignment horizontal="center" vertical="center" wrapText="1"/>
    </xf>
    <xf numFmtId="164" fontId="22" fillId="0" borderId="7" xfId="3" applyNumberFormat="1" applyFont="1" applyBorder="1" applyAlignment="1" applyProtection="1">
      <alignment vertical="center"/>
    </xf>
    <xf numFmtId="167" fontId="19" fillId="0" borderId="22" xfId="1" applyFont="1" applyBorder="1" applyAlignment="1" applyProtection="1">
      <alignment horizontal="right" vertical="center"/>
    </xf>
    <xf numFmtId="167" fontId="18" fillId="0" borderId="22" xfId="1" applyFont="1" applyBorder="1" applyAlignment="1" applyProtection="1">
      <alignment horizontal="right" vertical="center"/>
    </xf>
    <xf numFmtId="164" fontId="20" fillId="0" borderId="7" xfId="3" applyNumberFormat="1" applyFont="1" applyBorder="1" applyProtection="1"/>
    <xf numFmtId="0" fontId="18" fillId="13" borderId="14" xfId="0" applyFont="1" applyFill="1" applyBorder="1" applyAlignment="1">
      <alignment vertical="center" wrapText="1"/>
    </xf>
    <xf numFmtId="10" fontId="19" fillId="13" borderId="14" xfId="3" applyNumberFormat="1" applyFont="1" applyFill="1" applyBorder="1" applyAlignment="1" applyProtection="1">
      <alignment horizontal="center" vertical="center"/>
    </xf>
    <xf numFmtId="167" fontId="18" fillId="13" borderId="14" xfId="1" applyFont="1" applyFill="1" applyBorder="1" applyAlignment="1" applyProtection="1">
      <alignment horizontal="center" vertical="center"/>
    </xf>
    <xf numFmtId="0" fontId="18" fillId="15" borderId="14" xfId="0" applyFont="1" applyFill="1" applyBorder="1" applyAlignment="1">
      <alignment vertical="center" wrapText="1"/>
    </xf>
    <xf numFmtId="9" fontId="19" fillId="15" borderId="14" xfId="3" applyFont="1" applyFill="1" applyBorder="1" applyAlignment="1" applyProtection="1">
      <alignment horizontal="center" vertical="center"/>
    </xf>
    <xf numFmtId="167" fontId="18" fillId="15" borderId="14" xfId="1" applyFont="1" applyFill="1" applyBorder="1" applyAlignment="1" applyProtection="1">
      <alignment horizontal="center" vertical="center"/>
    </xf>
    <xf numFmtId="174" fontId="0" fillId="0" borderId="0" xfId="0" applyNumberFormat="1"/>
    <xf numFmtId="167" fontId="18" fillId="17" borderId="14" xfId="1" applyFont="1" applyFill="1" applyBorder="1" applyAlignment="1" applyProtection="1">
      <alignment horizontal="center" vertical="center"/>
    </xf>
    <xf numFmtId="0" fontId="3" fillId="3" borderId="9" xfId="0" applyFont="1" applyFill="1" applyBorder="1" applyAlignment="1">
      <alignment horizontal="center"/>
    </xf>
    <xf numFmtId="0" fontId="15" fillId="0" borderId="0" xfId="0" applyFont="1"/>
    <xf numFmtId="0" fontId="39" fillId="3" borderId="9" xfId="0" applyFont="1" applyFill="1" applyBorder="1" applyAlignment="1">
      <alignment horizontal="justify" vertical="top" wrapText="1"/>
    </xf>
    <xf numFmtId="0" fontId="40" fillId="3" borderId="0" xfId="0" applyFont="1" applyFill="1" applyAlignment="1">
      <alignment horizontal="justify" vertical="top" wrapText="1"/>
    </xf>
    <xf numFmtId="0" fontId="41" fillId="3" borderId="9" xfId="0" applyFont="1" applyFill="1" applyBorder="1" applyAlignment="1">
      <alignment vertical="center"/>
    </xf>
    <xf numFmtId="0" fontId="43" fillId="3" borderId="7" xfId="0" applyFont="1" applyFill="1" applyBorder="1" applyAlignment="1">
      <alignment vertical="center" wrapText="1"/>
    </xf>
    <xf numFmtId="0" fontId="45" fillId="3" borderId="0" xfId="0" applyFont="1" applyFill="1" applyAlignment="1">
      <alignment horizontal="right"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vertical="center" wrapText="1"/>
    </xf>
    <xf numFmtId="0" fontId="0" fillId="19" borderId="9" xfId="0" applyFill="1" applyBorder="1" applyAlignment="1">
      <alignment vertical="top" wrapText="1"/>
    </xf>
    <xf numFmtId="0" fontId="36" fillId="19" borderId="9" xfId="0" applyFont="1" applyFill="1" applyBorder="1" applyAlignment="1">
      <alignment horizontal="center" vertical="center"/>
    </xf>
    <xf numFmtId="173" fontId="36" fillId="19" borderId="9" xfId="0" applyNumberFormat="1" applyFont="1" applyFill="1" applyBorder="1" applyAlignment="1">
      <alignment horizontal="center" vertical="center"/>
    </xf>
    <xf numFmtId="173" fontId="36" fillId="19" borderId="9" xfId="0" applyNumberFormat="1" applyFont="1" applyFill="1" applyBorder="1" applyAlignment="1">
      <alignment vertical="center"/>
    </xf>
    <xf numFmtId="0" fontId="5" fillId="19" borderId="9" xfId="0" applyFont="1" applyFill="1" applyBorder="1" applyAlignment="1">
      <alignment horizontal="center" vertical="center" wrapText="1"/>
    </xf>
    <xf numFmtId="0" fontId="37" fillId="9" borderId="9" xfId="0" applyFont="1" applyFill="1" applyBorder="1" applyAlignment="1">
      <alignment horizontal="center" vertical="center" wrapText="1"/>
    </xf>
    <xf numFmtId="0" fontId="2" fillId="19" borderId="9" xfId="0" applyFont="1" applyFill="1" applyBorder="1" applyAlignment="1">
      <alignment horizontal="center" vertical="center"/>
    </xf>
    <xf numFmtId="173" fontId="2" fillId="19" borderId="9" xfId="0" applyNumberFormat="1" applyFont="1" applyFill="1" applyBorder="1" applyAlignment="1">
      <alignment vertical="center"/>
    </xf>
    <xf numFmtId="0" fontId="42" fillId="20" borderId="9" xfId="0" applyFont="1" applyFill="1" applyBorder="1" applyAlignment="1">
      <alignment horizontal="left" vertical="center" wrapText="1"/>
    </xf>
    <xf numFmtId="175" fontId="41" fillId="20" borderId="9" xfId="0" applyNumberFormat="1" applyFont="1" applyFill="1" applyBorder="1" applyAlignment="1">
      <alignment horizontal="center" vertical="center"/>
    </xf>
    <xf numFmtId="175" fontId="41" fillId="20" borderId="9" xfId="0" applyNumberFormat="1" applyFont="1" applyFill="1" applyBorder="1" applyAlignment="1">
      <alignment vertical="center"/>
    </xf>
    <xf numFmtId="0" fontId="2" fillId="19" borderId="9" xfId="0" applyFont="1" applyFill="1" applyBorder="1" applyAlignment="1">
      <alignment horizontal="center" vertical="center" wrapText="1"/>
    </xf>
    <xf numFmtId="0" fontId="45" fillId="13" borderId="9" xfId="0" applyFont="1" applyFill="1" applyBorder="1" applyAlignment="1">
      <alignment horizontal="center" vertical="center" wrapText="1"/>
    </xf>
    <xf numFmtId="10" fontId="43" fillId="3" borderId="22" xfId="3" applyNumberFormat="1" applyFont="1" applyFill="1" applyBorder="1" applyAlignment="1" applyProtection="1">
      <alignment vertical="center"/>
    </xf>
    <xf numFmtId="10" fontId="48" fillId="3" borderId="7" xfId="3" applyNumberFormat="1" applyFont="1" applyFill="1" applyBorder="1" applyAlignment="1" applyProtection="1">
      <alignment vertical="center"/>
    </xf>
    <xf numFmtId="10" fontId="43" fillId="3" borderId="7" xfId="3" applyNumberFormat="1" applyFont="1" applyFill="1" applyBorder="1" applyAlignment="1" applyProtection="1">
      <alignment vertical="center"/>
    </xf>
    <xf numFmtId="43" fontId="0" fillId="0" borderId="0" xfId="0" applyNumberFormat="1"/>
    <xf numFmtId="167" fontId="49" fillId="3" borderId="22" xfId="1" applyFont="1" applyFill="1" applyBorder="1" applyAlignment="1" applyProtection="1">
      <alignment horizontal="right" vertical="center"/>
    </xf>
    <xf numFmtId="165" fontId="38" fillId="0" borderId="7" xfId="2" applyBorder="1" applyProtection="1"/>
    <xf numFmtId="2" fontId="4" fillId="3" borderId="9" xfId="0" applyNumberFormat="1" applyFont="1" applyFill="1" applyBorder="1" applyAlignment="1">
      <alignment horizontal="center" vertical="center"/>
    </xf>
    <xf numFmtId="2" fontId="4" fillId="0" borderId="9" xfId="0" applyNumberFormat="1" applyFont="1" applyBorder="1" applyAlignment="1">
      <alignment horizontal="center" vertical="center"/>
    </xf>
    <xf numFmtId="1" fontId="4" fillId="0" borderId="9" xfId="0" applyNumberFormat="1" applyFont="1" applyBorder="1" applyAlignment="1">
      <alignment horizontal="center" vertical="center"/>
    </xf>
    <xf numFmtId="2" fontId="2" fillId="19" borderId="9" xfId="0" applyNumberFormat="1" applyFont="1" applyFill="1" applyBorder="1" applyAlignment="1">
      <alignment horizontal="center" vertical="center"/>
    </xf>
    <xf numFmtId="2" fontId="36" fillId="19" borderId="9" xfId="0" applyNumberFormat="1" applyFont="1" applyFill="1" applyBorder="1" applyAlignment="1">
      <alignment horizontal="center" vertical="center"/>
    </xf>
    <xf numFmtId="0" fontId="3" fillId="3" borderId="9" xfId="0" applyFont="1" applyFill="1" applyBorder="1" applyAlignment="1">
      <alignment horizontal="center" vertical="center" wrapText="1"/>
    </xf>
    <xf numFmtId="176" fontId="0" fillId="0" borderId="0" xfId="0" applyNumberFormat="1"/>
    <xf numFmtId="0" fontId="3" fillId="3" borderId="9" xfId="0" applyFont="1" applyFill="1" applyBorder="1" applyAlignment="1">
      <alignment vertical="center" wrapText="1"/>
    </xf>
    <xf numFmtId="2" fontId="22" fillId="0" borderId="9" xfId="0" applyNumberFormat="1" applyFont="1"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9" xfId="0" applyFont="1" applyBorder="1" applyAlignment="1">
      <alignment horizontal="left" vertical="center" wrapText="1"/>
    </xf>
    <xf numFmtId="0" fontId="3" fillId="3" borderId="1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0" fillId="0" borderId="1" xfId="0" applyBorder="1" applyAlignment="1">
      <alignment horizontal="center"/>
    </xf>
    <xf numFmtId="0" fontId="2" fillId="0" borderId="2" xfId="0" applyFont="1" applyBorder="1" applyAlignment="1">
      <alignment horizontal="center" vertical="center" wrapText="1"/>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left"/>
    </xf>
    <xf numFmtId="0" fontId="3" fillId="3" borderId="6" xfId="0" applyFont="1" applyFill="1" applyBorder="1" applyAlignment="1">
      <alignment horizontal="center"/>
    </xf>
    <xf numFmtId="0" fontId="3" fillId="3" borderId="9" xfId="0" applyFont="1" applyFill="1" applyBorder="1" applyAlignment="1">
      <alignment horizontal="center"/>
    </xf>
    <xf numFmtId="0" fontId="4" fillId="3" borderId="10" xfId="0" applyFont="1" applyFill="1" applyBorder="1" applyAlignment="1">
      <alignment horizontal="left" vertical="center" wrapText="1"/>
    </xf>
    <xf numFmtId="0" fontId="4" fillId="3" borderId="10" xfId="0" applyFont="1" applyFill="1" applyBorder="1" applyAlignment="1">
      <alignment horizontal="justify" wrapText="1"/>
    </xf>
    <xf numFmtId="0" fontId="0" fillId="0" borderId="0" xfId="0" applyAlignment="1">
      <alignment horizontal="center" vertical="center"/>
    </xf>
    <xf numFmtId="0" fontId="5" fillId="4" borderId="9" xfId="0" applyFont="1" applyFill="1" applyBorder="1" applyAlignment="1">
      <alignment horizontal="center" vertical="center"/>
    </xf>
    <xf numFmtId="0" fontId="5" fillId="5" borderId="9" xfId="0" applyFont="1" applyFill="1" applyBorder="1" applyAlignment="1">
      <alignment horizontal="center" vertical="center"/>
    </xf>
    <xf numFmtId="0" fontId="3" fillId="5" borderId="9" xfId="0" applyFont="1" applyFill="1" applyBorder="1" applyAlignment="1">
      <alignment horizontal="center" vertical="center"/>
    </xf>
    <xf numFmtId="0" fontId="4" fillId="3" borderId="9" xfId="0" applyFont="1" applyFill="1" applyBorder="1" applyAlignment="1">
      <alignment horizontal="left" vertical="center" wrapText="1"/>
    </xf>
    <xf numFmtId="0" fontId="47" fillId="3" borderId="18" xfId="7" applyFont="1" applyFill="1" applyBorder="1" applyAlignment="1">
      <alignment horizontal="left" vertical="center" wrapText="1"/>
    </xf>
    <xf numFmtId="0" fontId="47" fillId="3" borderId="5" xfId="7" applyFont="1" applyFill="1" applyBorder="1" applyAlignment="1">
      <alignment horizontal="left" vertical="center" wrapText="1"/>
    </xf>
    <xf numFmtId="0" fontId="47" fillId="3" borderId="19" xfId="7"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6"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3" fillId="0" borderId="0" xfId="0" applyFont="1" applyAlignment="1">
      <alignment horizontal="center" vertical="center"/>
    </xf>
    <xf numFmtId="0" fontId="3" fillId="6" borderId="9" xfId="0" applyFont="1" applyFill="1" applyBorder="1" applyAlignment="1">
      <alignment horizontal="center"/>
    </xf>
    <xf numFmtId="0" fontId="3" fillId="3" borderId="9"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5" borderId="9" xfId="0" applyFont="1" applyFill="1" applyBorder="1" applyAlignment="1">
      <alignment horizontal="right" vertical="center" wrapText="1"/>
    </xf>
    <xf numFmtId="0" fontId="47" fillId="0" borderId="9" xfId="7" applyFont="1" applyBorder="1" applyAlignment="1">
      <alignment horizontal="left" vertical="center" wrapText="1"/>
    </xf>
    <xf numFmtId="0" fontId="7" fillId="7" borderId="9" xfId="0" applyFont="1" applyFill="1" applyBorder="1" applyAlignment="1">
      <alignment horizontal="center"/>
    </xf>
    <xf numFmtId="0" fontId="9" fillId="7" borderId="9" xfId="0" applyFont="1" applyFill="1" applyBorder="1" applyAlignment="1">
      <alignment horizontal="center" vertical="center"/>
    </xf>
    <xf numFmtId="0" fontId="9" fillId="8" borderId="9" xfId="0" applyFont="1" applyFill="1" applyBorder="1" applyAlignment="1">
      <alignment horizontal="center" vertical="center"/>
    </xf>
    <xf numFmtId="0" fontId="13" fillId="9" borderId="9" xfId="0" applyFont="1" applyFill="1" applyBorder="1" applyAlignment="1">
      <alignment horizontal="center"/>
    </xf>
    <xf numFmtId="0" fontId="39" fillId="8" borderId="9" xfId="0" applyFont="1" applyFill="1" applyBorder="1" applyAlignment="1">
      <alignment horizontal="center" vertical="center"/>
    </xf>
    <xf numFmtId="0" fontId="41" fillId="8" borderId="9" xfId="0" applyFont="1" applyFill="1" applyBorder="1" applyAlignment="1">
      <alignment horizontal="center" vertical="center"/>
    </xf>
    <xf numFmtId="0" fontId="40" fillId="3" borderId="9" xfId="0" applyFont="1" applyFill="1" applyBorder="1" applyAlignment="1">
      <alignment horizontal="justify" vertical="top" wrapText="1"/>
    </xf>
    <xf numFmtId="0" fontId="39" fillId="3" borderId="9" xfId="0" applyFont="1" applyFill="1" applyBorder="1" applyAlignment="1">
      <alignment horizontal="justify" vertical="top" wrapText="1"/>
    </xf>
    <xf numFmtId="10" fontId="39" fillId="3" borderId="9" xfId="0" applyNumberFormat="1" applyFont="1" applyFill="1" applyBorder="1" applyAlignment="1">
      <alignment horizontal="left" vertical="top" wrapText="1"/>
    </xf>
    <xf numFmtId="0" fontId="39" fillId="3" borderId="9" xfId="0" applyFont="1" applyFill="1" applyBorder="1" applyAlignment="1">
      <alignment horizontal="left" vertical="top" wrapText="1"/>
    </xf>
    <xf numFmtId="0" fontId="40" fillId="3" borderId="9" xfId="0" applyFont="1" applyFill="1" applyBorder="1" applyAlignment="1">
      <alignment horizontal="justify" vertical="top"/>
    </xf>
    <xf numFmtId="10" fontId="39" fillId="3" borderId="9" xfId="0" applyNumberFormat="1" applyFont="1" applyFill="1" applyBorder="1" applyAlignment="1">
      <alignment horizontal="left" vertical="top"/>
    </xf>
    <xf numFmtId="0" fontId="40" fillId="3" borderId="5" xfId="0" applyFont="1" applyFill="1" applyBorder="1" applyAlignment="1">
      <alignment horizontal="center" vertical="top"/>
    </xf>
    <xf numFmtId="0" fontId="39" fillId="8" borderId="10" xfId="0" applyFont="1" applyFill="1" applyBorder="1" applyAlignment="1">
      <alignment horizontal="center" vertical="center"/>
    </xf>
    <xf numFmtId="0" fontId="40" fillId="3" borderId="18" xfId="0" applyFont="1" applyFill="1" applyBorder="1" applyAlignment="1">
      <alignment horizontal="justify" vertical="top" wrapText="1"/>
    </xf>
    <xf numFmtId="0" fontId="40" fillId="3" borderId="5" xfId="0" applyFont="1" applyFill="1" applyBorder="1" applyAlignment="1">
      <alignment horizontal="justify" vertical="top"/>
    </xf>
    <xf numFmtId="0" fontId="40" fillId="3" borderId="19" xfId="0" applyFont="1" applyFill="1" applyBorder="1" applyAlignment="1">
      <alignment horizontal="justify" vertical="top"/>
    </xf>
    <xf numFmtId="0" fontId="14" fillId="0" borderId="0" xfId="0" applyFont="1" applyAlignment="1">
      <alignment horizontal="left" vertical="top" wrapText="1"/>
    </xf>
    <xf numFmtId="0" fontId="14" fillId="0" borderId="0" xfId="0" applyFont="1" applyAlignment="1">
      <alignment horizontal="justify" vertical="center" wrapText="1"/>
    </xf>
    <xf numFmtId="10" fontId="15" fillId="0" borderId="0" xfId="0" applyNumberFormat="1" applyFont="1" applyAlignment="1">
      <alignment horizontal="center" vertical="center"/>
    </xf>
    <xf numFmtId="0" fontId="41" fillId="3" borderId="9" xfId="0" applyFont="1" applyFill="1" applyBorder="1" applyAlignment="1">
      <alignment horizontal="justify" vertical="top" wrapText="1"/>
    </xf>
    <xf numFmtId="0" fontId="41" fillId="3" borderId="9" xfId="0" applyFont="1" applyFill="1" applyBorder="1" applyAlignment="1">
      <alignment horizontal="justify" vertical="top"/>
    </xf>
    <xf numFmtId="10" fontId="41" fillId="0" borderId="9" xfId="3" applyNumberFormat="1" applyFont="1" applyBorder="1" applyAlignment="1">
      <alignment horizontal="left" vertical="center"/>
    </xf>
    <xf numFmtId="0" fontId="16"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alignment horizontal="justify" vertical="top"/>
    </xf>
    <xf numFmtId="0" fontId="42" fillId="0" borderId="0" xfId="0" applyFont="1" applyAlignment="1">
      <alignment horizontal="justify" vertical="top" wrapText="1"/>
    </xf>
    <xf numFmtId="0" fontId="0" fillId="0" borderId="0" xfId="0" applyAlignment="1">
      <alignment horizontal="justify" vertical="top" wrapText="1"/>
    </xf>
    <xf numFmtId="0" fontId="17" fillId="3" borderId="0" xfId="0" applyFont="1" applyFill="1" applyAlignment="1">
      <alignment horizontal="center" vertical="center"/>
    </xf>
    <xf numFmtId="0" fontId="18" fillId="3" borderId="0" xfId="0" applyFont="1" applyFill="1" applyAlignment="1">
      <alignment horizontal="center" vertical="center" wrapText="1"/>
    </xf>
    <xf numFmtId="0" fontId="11" fillId="11" borderId="9" xfId="0" applyFont="1" applyFill="1" applyBorder="1" applyAlignment="1">
      <alignment horizontal="center" vertical="center"/>
    </xf>
    <xf numFmtId="14" fontId="11" fillId="11" borderId="9" xfId="0" applyNumberFormat="1" applyFont="1" applyFill="1" applyBorder="1" applyAlignment="1">
      <alignment horizontal="center" vertical="center"/>
    </xf>
    <xf numFmtId="0" fontId="19" fillId="0" borderId="9" xfId="0" applyFont="1" applyBorder="1" applyAlignment="1">
      <alignment horizontal="center" vertical="center"/>
    </xf>
    <xf numFmtId="0" fontId="18" fillId="12" borderId="7"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3" borderId="7" xfId="0" applyFont="1" applyFill="1" applyBorder="1" applyAlignment="1">
      <alignment horizontal="center" vertical="center" wrapText="1"/>
    </xf>
    <xf numFmtId="0" fontId="18" fillId="13" borderId="0" xfId="0" applyFont="1" applyFill="1" applyAlignment="1">
      <alignment horizontal="center" vertical="center" wrapText="1"/>
    </xf>
    <xf numFmtId="0" fontId="18" fillId="0" borderId="9" xfId="0" applyFont="1" applyBorder="1" applyAlignment="1">
      <alignment horizontal="center" vertical="center"/>
    </xf>
    <xf numFmtId="165" fontId="18" fillId="0" borderId="9" xfId="2" applyFont="1" applyBorder="1" applyAlignment="1" applyProtection="1">
      <alignment horizontal="center" vertical="center"/>
    </xf>
    <xf numFmtId="0" fontId="18" fillId="16" borderId="7" xfId="0" applyFont="1" applyFill="1" applyBorder="1" applyAlignment="1">
      <alignment horizontal="center" vertical="center" wrapText="1"/>
    </xf>
    <xf numFmtId="0" fontId="18" fillId="16" borderId="0" xfId="0" applyFont="1" applyFill="1" applyAlignment="1">
      <alignment horizontal="center" vertical="center" wrapText="1"/>
    </xf>
    <xf numFmtId="0" fontId="18" fillId="17" borderId="9"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18" fillId="3" borderId="9" xfId="0" applyFont="1" applyFill="1" applyBorder="1" applyAlignment="1">
      <alignment horizontal="center" vertical="center" wrapText="1"/>
    </xf>
    <xf numFmtId="0" fontId="35" fillId="3" borderId="0" xfId="0" applyFont="1" applyFill="1" applyAlignment="1">
      <alignment horizontal="center"/>
    </xf>
    <xf numFmtId="0" fontId="5" fillId="19" borderId="9" xfId="0" applyFont="1" applyFill="1" applyBorder="1" applyAlignment="1">
      <alignment horizontal="center" vertical="center" wrapText="1"/>
    </xf>
    <xf numFmtId="0" fontId="2" fillId="11" borderId="9" xfId="0" applyFont="1" applyFill="1" applyBorder="1" applyAlignment="1">
      <alignment horizontal="center" vertical="center"/>
    </xf>
    <xf numFmtId="49" fontId="2" fillId="11" borderId="9" xfId="0" applyNumberFormat="1" applyFont="1" applyFill="1" applyBorder="1" applyAlignment="1">
      <alignment horizontal="center" vertical="center"/>
    </xf>
    <xf numFmtId="14" fontId="19" fillId="11" borderId="9" xfId="0" applyNumberFormat="1" applyFont="1" applyFill="1" applyBorder="1" applyAlignment="1">
      <alignment horizontal="center" vertical="center"/>
    </xf>
    <xf numFmtId="0" fontId="19" fillId="11" borderId="9" xfId="0" applyFont="1" applyFill="1" applyBorder="1" applyAlignment="1">
      <alignment horizontal="center" vertical="center"/>
    </xf>
    <xf numFmtId="169" fontId="19" fillId="0" borderId="9" xfId="0" applyNumberFormat="1" applyFont="1" applyBorder="1" applyAlignment="1">
      <alignment horizontal="center" vertical="center"/>
    </xf>
    <xf numFmtId="0" fontId="18" fillId="12" borderId="9" xfId="0" applyFont="1" applyFill="1" applyBorder="1" applyAlignment="1">
      <alignment horizontal="center" vertical="center" wrapText="1"/>
    </xf>
    <xf numFmtId="0" fontId="18" fillId="16" borderId="9" xfId="0" applyFont="1" applyFill="1" applyBorder="1" applyAlignment="1">
      <alignment horizontal="center" vertical="center" wrapText="1"/>
    </xf>
    <xf numFmtId="0" fontId="18" fillId="17" borderId="14" xfId="0" applyFont="1" applyFill="1" applyBorder="1" applyAlignment="1">
      <alignment horizontal="left" vertical="center" wrapText="1"/>
    </xf>
    <xf numFmtId="0" fontId="2" fillId="19" borderId="9" xfId="0" applyFont="1" applyFill="1" applyBorder="1" applyAlignment="1">
      <alignment horizontal="center" vertical="center" wrapText="1"/>
    </xf>
  </cellXfs>
  <cellStyles count="8">
    <cellStyle name="Excel Built-in Explanatory Text" xfId="5" xr:uid="{00000000-0005-0000-0000-000007000000}"/>
    <cellStyle name="Moeda" xfId="2" builtinId="4"/>
    <cellStyle name="Normal" xfId="0" builtinId="0"/>
    <cellStyle name="Normal 2" xfId="7" xr:uid="{31F65018-1E44-4C7B-9E7A-3B5A7EB69243}"/>
    <cellStyle name="Normal 4" xfId="6" xr:uid="{DA17CDF5-3CF8-4864-9574-ADA8240A4EB2}"/>
    <cellStyle name="Porcentagem" xfId="3" builtinId="5"/>
    <cellStyle name="Resultado2" xfId="4" xr:uid="{00000000-0005-0000-0000-000006000000}"/>
    <cellStyle name="Vírgula"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4C7E7"/>
      <rgbColor rgb="FF993366"/>
      <rgbColor rgb="FFFFFFCC"/>
      <rgbColor rgb="FFCCFFFF"/>
      <rgbColor rgb="FF660066"/>
      <rgbColor rgb="FFFF8080"/>
      <rgbColor rgb="FF0066CC"/>
      <rgbColor rgb="FFCCCCFF"/>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D0CECE"/>
      <rgbColor rgb="FF3366FF"/>
      <rgbColor rgb="FF33CCCC"/>
      <rgbColor rgb="FF99CC00"/>
      <rgbColor rgb="FFFFCC00"/>
      <rgbColor rgb="FFFF9900"/>
      <rgbColor rgb="FFFF6600"/>
      <rgbColor rgb="FF666699"/>
      <rgbColor rgb="FFAFABAB"/>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showGridLines="0" tabSelected="1" zoomScale="110" zoomScaleNormal="110" workbookViewId="0">
      <selection activeCell="L23" sqref="L23"/>
    </sheetView>
  </sheetViews>
  <sheetFormatPr defaultColWidth="8.28515625" defaultRowHeight="12.75"/>
  <cols>
    <col min="1" max="1" width="5.140625" customWidth="1"/>
    <col min="2" max="2" width="22.28515625" customWidth="1"/>
    <col min="3" max="3" width="27.28515625" customWidth="1"/>
    <col min="4" max="4" width="24.42578125" customWidth="1"/>
    <col min="5" max="5" width="6.140625" customWidth="1"/>
    <col min="6" max="6" width="14.85546875" customWidth="1"/>
    <col min="7" max="7" width="12.7109375" customWidth="1"/>
    <col min="8" max="8" width="15.42578125" customWidth="1"/>
    <col min="9" max="9" width="13.85546875" customWidth="1"/>
    <col min="10" max="10" width="11.5703125" bestFit="1" customWidth="1"/>
  </cols>
  <sheetData>
    <row r="1" spans="1:8">
      <c r="A1" s="229" t="s">
        <v>0</v>
      </c>
      <c r="B1" s="229"/>
      <c r="C1" s="229"/>
      <c r="D1" s="229"/>
      <c r="E1" s="229"/>
      <c r="F1" s="229"/>
      <c r="G1" s="229"/>
      <c r="H1" s="229"/>
    </row>
    <row r="2" spans="1:8" s="3" customFormat="1" ht="12.75" customHeight="1">
      <c r="A2" s="230" t="s">
        <v>272</v>
      </c>
      <c r="B2" s="230"/>
      <c r="C2" s="230"/>
      <c r="D2" s="230"/>
      <c r="E2" s="230"/>
      <c r="F2" s="230"/>
      <c r="G2" s="230"/>
      <c r="H2" s="230"/>
    </row>
    <row r="3" spans="1:8">
      <c r="A3" s="230"/>
      <c r="B3" s="230"/>
      <c r="C3" s="230"/>
      <c r="D3" s="230"/>
      <c r="E3" s="230"/>
      <c r="F3" s="230"/>
      <c r="G3" s="230"/>
      <c r="H3" s="230"/>
    </row>
    <row r="4" spans="1:8">
      <c r="A4" s="231" t="s">
        <v>273</v>
      </c>
      <c r="B4" s="231"/>
      <c r="C4" s="231"/>
      <c r="D4" s="231"/>
      <c r="E4" s="231"/>
      <c r="F4" s="231"/>
      <c r="G4" s="231"/>
      <c r="H4" s="231"/>
    </row>
    <row r="5" spans="1:8">
      <c r="A5" s="232" t="s">
        <v>1</v>
      </c>
      <c r="B5" s="232"/>
      <c r="C5" s="232"/>
      <c r="D5" s="232"/>
      <c r="E5" s="232"/>
      <c r="F5" s="232"/>
      <c r="G5" s="232"/>
      <c r="H5" s="232"/>
    </row>
    <row r="6" spans="1:8">
      <c r="A6" s="233" t="s">
        <v>2</v>
      </c>
      <c r="B6" s="233"/>
      <c r="C6" s="233"/>
      <c r="D6" s="233"/>
      <c r="E6" s="233"/>
      <c r="F6" s="4"/>
      <c r="G6" s="234"/>
      <c r="H6" s="234"/>
    </row>
    <row r="7" spans="1:8">
      <c r="A7" s="5"/>
      <c r="B7" s="6"/>
      <c r="C7" s="6"/>
      <c r="D7" s="6"/>
      <c r="E7" s="6"/>
      <c r="F7" s="6"/>
      <c r="G7" s="6"/>
      <c r="H7" s="7"/>
    </row>
    <row r="8" spans="1:8">
      <c r="A8" s="235" t="s">
        <v>3</v>
      </c>
      <c r="B8" s="235"/>
      <c r="C8" s="235"/>
      <c r="D8" s="235"/>
      <c r="E8" s="235"/>
      <c r="F8" s="235"/>
      <c r="G8" s="235"/>
      <c r="H8" s="235"/>
    </row>
    <row r="9" spans="1:8" ht="24.75" customHeight="1">
      <c r="A9" s="236" t="s">
        <v>4</v>
      </c>
      <c r="B9" s="236"/>
      <c r="C9" s="236"/>
      <c r="D9" s="236"/>
      <c r="E9" s="236"/>
      <c r="F9" s="236"/>
      <c r="G9" s="236"/>
      <c r="H9" s="236"/>
    </row>
    <row r="10" spans="1:8">
      <c r="A10" s="8"/>
      <c r="B10" s="9"/>
      <c r="C10" s="9"/>
      <c r="D10" s="9"/>
      <c r="E10" s="9"/>
      <c r="F10" s="9"/>
      <c r="G10" s="9"/>
      <c r="H10" s="10"/>
    </row>
    <row r="11" spans="1:8">
      <c r="A11" s="235" t="s">
        <v>5</v>
      </c>
      <c r="B11" s="235"/>
      <c r="C11" s="235"/>
      <c r="D11" s="235"/>
      <c r="E11" s="235"/>
      <c r="F11" s="235"/>
      <c r="G11" s="235"/>
      <c r="H11" s="235"/>
    </row>
    <row r="12" spans="1:8" ht="12.75" customHeight="1">
      <c r="A12" s="237" t="s">
        <v>6</v>
      </c>
      <c r="B12" s="237"/>
      <c r="C12" s="237"/>
      <c r="D12" s="237"/>
      <c r="E12" s="237"/>
      <c r="F12" s="237"/>
      <c r="G12" s="237"/>
      <c r="H12" s="237"/>
    </row>
    <row r="13" spans="1:8">
      <c r="A13" s="237"/>
      <c r="B13" s="237"/>
      <c r="C13" s="237"/>
      <c r="D13" s="237"/>
      <c r="E13" s="237"/>
      <c r="F13" s="237"/>
      <c r="G13" s="237"/>
      <c r="H13" s="237"/>
    </row>
    <row r="14" spans="1:8">
      <c r="A14" s="11"/>
      <c r="B14" s="12"/>
      <c r="C14" s="12"/>
      <c r="D14" s="12"/>
      <c r="E14" s="12"/>
      <c r="F14" s="12"/>
      <c r="G14" s="12"/>
      <c r="H14" s="13"/>
    </row>
    <row r="15" spans="1:8">
      <c r="A15" s="238"/>
      <c r="B15" s="238"/>
      <c r="C15" s="238"/>
      <c r="D15" s="238"/>
      <c r="E15" s="238"/>
      <c r="F15" s="238"/>
      <c r="G15" s="238"/>
      <c r="H15" s="238"/>
    </row>
    <row r="16" spans="1:8" ht="15.75" customHeight="1">
      <c r="A16" s="239" t="s">
        <v>7</v>
      </c>
      <c r="B16" s="239"/>
      <c r="C16" s="239"/>
      <c r="D16" s="239"/>
      <c r="E16" s="239"/>
      <c r="F16" s="239"/>
      <c r="G16" s="239"/>
      <c r="H16" s="239"/>
    </row>
    <row r="17" spans="1:10" ht="27.75" customHeight="1">
      <c r="A17" s="240"/>
      <c r="B17" s="241" t="s">
        <v>8</v>
      </c>
      <c r="C17" s="241"/>
      <c r="D17" s="241"/>
      <c r="E17" s="241"/>
      <c r="F17" s="1" t="s">
        <v>9</v>
      </c>
      <c r="G17" s="14" t="s">
        <v>10</v>
      </c>
      <c r="H17" s="14" t="s">
        <v>11</v>
      </c>
    </row>
    <row r="18" spans="1:10" ht="15" customHeight="1">
      <c r="A18" s="240"/>
      <c r="B18" s="242" t="s">
        <v>14</v>
      </c>
      <c r="C18" s="242"/>
      <c r="D18" s="242"/>
      <c r="E18" s="242"/>
      <c r="F18" s="15">
        <f>E27</f>
        <v>27</v>
      </c>
      <c r="G18" s="16">
        <f>G29</f>
        <v>280381.9991666667</v>
      </c>
      <c r="H18" s="16">
        <f>H29</f>
        <v>3364583.99</v>
      </c>
      <c r="I18" s="17"/>
    </row>
    <row r="19" spans="1:10" ht="15" customHeight="1">
      <c r="A19" s="240"/>
      <c r="B19" s="242" t="s">
        <v>12</v>
      </c>
      <c r="C19" s="242"/>
      <c r="D19" s="242"/>
      <c r="E19" s="242"/>
      <c r="F19" s="15">
        <f t="shared" ref="F19:F20" si="0">E30</f>
        <v>9</v>
      </c>
      <c r="G19" s="16">
        <f t="shared" ref="G19:H20" si="1">G30</f>
        <v>179134.38</v>
      </c>
      <c r="H19" s="16">
        <f t="shared" si="1"/>
        <v>2149612.56</v>
      </c>
      <c r="I19" s="17"/>
    </row>
    <row r="20" spans="1:10" ht="15" customHeight="1">
      <c r="A20" s="240"/>
      <c r="B20" s="246" t="s">
        <v>13</v>
      </c>
      <c r="C20" s="247"/>
      <c r="D20" s="247"/>
      <c r="E20" s="248"/>
      <c r="F20" s="15">
        <f t="shared" si="0"/>
        <v>5</v>
      </c>
      <c r="G20" s="16">
        <f t="shared" si="1"/>
        <v>118079.2</v>
      </c>
      <c r="H20" s="16">
        <f t="shared" si="1"/>
        <v>1416950.4</v>
      </c>
      <c r="I20" s="17"/>
    </row>
    <row r="21" spans="1:10" ht="15" customHeight="1">
      <c r="A21" s="240"/>
      <c r="B21" s="243" t="s">
        <v>259</v>
      </c>
      <c r="C21" s="244"/>
      <c r="D21" s="244"/>
      <c r="E21" s="245"/>
      <c r="F21" s="214">
        <f>E32</f>
        <v>16.666666666666668</v>
      </c>
      <c r="G21" s="16">
        <f>G32</f>
        <v>754.00000000000011</v>
      </c>
      <c r="H21" s="16">
        <f>H32</f>
        <v>9048.0000000000018</v>
      </c>
      <c r="I21" s="17"/>
    </row>
    <row r="22" spans="1:10" ht="15" customHeight="1">
      <c r="A22" s="240"/>
      <c r="B22" s="243" t="s">
        <v>260</v>
      </c>
      <c r="C22" s="244"/>
      <c r="D22" s="244"/>
      <c r="E22" s="245"/>
      <c r="F22" s="15">
        <f>E33</f>
        <v>6</v>
      </c>
      <c r="G22" s="16">
        <f>G33</f>
        <v>322.02</v>
      </c>
      <c r="H22" s="16">
        <f>H33</f>
        <v>3864.24</v>
      </c>
      <c r="I22" s="17"/>
    </row>
    <row r="23" spans="1:10" ht="15" customHeight="1">
      <c r="A23" s="240"/>
      <c r="B23" s="241" t="s">
        <v>16</v>
      </c>
      <c r="C23" s="241"/>
      <c r="D23" s="241"/>
      <c r="E23" s="241"/>
      <c r="F23" s="18">
        <f>SUM(F18:F20)</f>
        <v>41</v>
      </c>
      <c r="G23" s="19">
        <f>SUM(G18:G22)</f>
        <v>578671.59916666674</v>
      </c>
      <c r="H23" s="19">
        <f>SUM(H18:H22)</f>
        <v>6944059.1900000013</v>
      </c>
      <c r="I23" s="211"/>
    </row>
    <row r="24" spans="1:10" ht="12.75" customHeight="1">
      <c r="A24" s="20"/>
      <c r="B24" s="252"/>
      <c r="C24" s="252"/>
      <c r="D24" s="252"/>
      <c r="E24" s="252"/>
      <c r="F24" s="252"/>
      <c r="G24" s="252"/>
      <c r="H24" s="252"/>
    </row>
    <row r="25" spans="1:10">
      <c r="A25" s="253" t="s">
        <v>271</v>
      </c>
      <c r="B25" s="253"/>
      <c r="C25" s="253"/>
      <c r="D25" s="253"/>
      <c r="E25" s="253"/>
      <c r="F25" s="253"/>
      <c r="G25" s="253"/>
      <c r="H25" s="253"/>
    </row>
    <row r="26" spans="1:10">
      <c r="A26" s="186" t="s">
        <v>17</v>
      </c>
      <c r="B26" s="186" t="s">
        <v>18</v>
      </c>
      <c r="C26" s="254" t="s">
        <v>19</v>
      </c>
      <c r="D26" s="254"/>
      <c r="E26" s="186" t="s">
        <v>20</v>
      </c>
      <c r="F26" s="186" t="s">
        <v>269</v>
      </c>
      <c r="G26" s="186" t="s">
        <v>21</v>
      </c>
      <c r="H26" s="186" t="s">
        <v>22</v>
      </c>
    </row>
    <row r="27" spans="1:10" ht="13.5" customHeight="1">
      <c r="A27" s="226">
        <v>1</v>
      </c>
      <c r="B27" s="255" t="s">
        <v>23</v>
      </c>
      <c r="C27" s="225" t="s">
        <v>14</v>
      </c>
      <c r="D27" s="225"/>
      <c r="E27" s="21">
        <v>27</v>
      </c>
      <c r="F27" s="22">
        <f>Brasília!D129</f>
        <v>10380.26</v>
      </c>
      <c r="G27" s="22">
        <f>F27*E27</f>
        <v>280267.02</v>
      </c>
      <c r="H27" s="22"/>
      <c r="I27" s="211"/>
      <c r="J27" s="220"/>
    </row>
    <row r="28" spans="1:10" ht="13.5" customHeight="1">
      <c r="A28" s="227"/>
      <c r="B28" s="255"/>
      <c r="C28" s="223" t="s">
        <v>15</v>
      </c>
      <c r="D28" s="224"/>
      <c r="E28" s="215">
        <f>25/12</f>
        <v>2.0833333333333335</v>
      </c>
      <c r="F28" s="22">
        <f>'Horas Extras'!D130</f>
        <v>55.19</v>
      </c>
      <c r="G28" s="22">
        <f>E28*F28</f>
        <v>114.97916666666667</v>
      </c>
      <c r="H28" s="22"/>
      <c r="I28" s="211"/>
      <c r="J28" s="220"/>
    </row>
    <row r="29" spans="1:10" ht="24" customHeight="1">
      <c r="A29" s="228"/>
      <c r="B29" s="255"/>
      <c r="C29" s="225" t="s">
        <v>270</v>
      </c>
      <c r="D29" s="225"/>
      <c r="E29" s="21">
        <f>E27</f>
        <v>27</v>
      </c>
      <c r="F29" s="22">
        <f>F27+((E28*F28)/E27)</f>
        <v>10384.518487654321</v>
      </c>
      <c r="G29" s="22">
        <f>SUM(G27:G28)</f>
        <v>280381.9991666667</v>
      </c>
      <c r="H29" s="22">
        <f t="shared" ref="H29:H33" si="2">G29*12</f>
        <v>3364583.99</v>
      </c>
      <c r="I29" s="211"/>
      <c r="J29" s="220"/>
    </row>
    <row r="30" spans="1:10" ht="13.5" customHeight="1">
      <c r="A30" s="219">
        <v>2</v>
      </c>
      <c r="B30" s="255"/>
      <c r="C30" s="225" t="s">
        <v>12</v>
      </c>
      <c r="D30" s="225"/>
      <c r="E30" s="21">
        <v>9</v>
      </c>
      <c r="F30" s="22">
        <f>Brasília!D130</f>
        <v>19903.82</v>
      </c>
      <c r="G30" s="22">
        <f t="shared" ref="G30:G33" si="3">F30*E30</f>
        <v>179134.38</v>
      </c>
      <c r="H30" s="22">
        <f t="shared" si="2"/>
        <v>2149612.56</v>
      </c>
    </row>
    <row r="31" spans="1:10" ht="13.5" customHeight="1">
      <c r="A31" s="219">
        <v>3</v>
      </c>
      <c r="B31" s="255"/>
      <c r="C31" s="225" t="s">
        <v>13</v>
      </c>
      <c r="D31" s="225"/>
      <c r="E31" s="21">
        <v>5</v>
      </c>
      <c r="F31" s="22">
        <f>Brasília!D131</f>
        <v>23615.84</v>
      </c>
      <c r="G31" s="22">
        <f t="shared" si="3"/>
        <v>118079.2</v>
      </c>
      <c r="H31" s="22">
        <f t="shared" si="2"/>
        <v>1416950.4</v>
      </c>
    </row>
    <row r="32" spans="1:10" ht="13.5" customHeight="1">
      <c r="A32" s="219">
        <v>4</v>
      </c>
      <c r="B32" s="255"/>
      <c r="C32" s="257" t="s">
        <v>259</v>
      </c>
      <c r="D32" s="257"/>
      <c r="E32" s="215">
        <f>200/12</f>
        <v>16.666666666666668</v>
      </c>
      <c r="F32" s="22">
        <f>Brasília!D133</f>
        <v>45.24</v>
      </c>
      <c r="G32" s="22">
        <f t="shared" si="3"/>
        <v>754.00000000000011</v>
      </c>
      <c r="H32" s="22">
        <f t="shared" si="2"/>
        <v>9048.0000000000018</v>
      </c>
    </row>
    <row r="33" spans="1:8" ht="13.5" customHeight="1">
      <c r="A33" s="219">
        <v>5</v>
      </c>
      <c r="B33" s="255"/>
      <c r="C33" s="257" t="s">
        <v>260</v>
      </c>
      <c r="D33" s="257"/>
      <c r="E33" s="216">
        <f>72/12</f>
        <v>6</v>
      </c>
      <c r="F33" s="22">
        <f>Brasília!D134</f>
        <v>53.67</v>
      </c>
      <c r="G33" s="22">
        <f t="shared" si="3"/>
        <v>322.02</v>
      </c>
      <c r="H33" s="22">
        <f t="shared" si="2"/>
        <v>3864.24</v>
      </c>
    </row>
    <row r="34" spans="1:8" ht="13.5" customHeight="1">
      <c r="A34" s="221"/>
      <c r="B34" s="255"/>
      <c r="C34" s="256" t="s">
        <v>24</v>
      </c>
      <c r="D34" s="256"/>
      <c r="E34" s="256"/>
      <c r="F34" s="256"/>
      <c r="G34" s="23">
        <f>SUM(G29:G33)</f>
        <v>578671.59916666674</v>
      </c>
      <c r="H34" s="23">
        <f>SUM(H29:H33)</f>
        <v>6944059.1900000013</v>
      </c>
    </row>
    <row r="36" spans="1:8" ht="12.75" customHeight="1">
      <c r="A36" s="249" t="s">
        <v>25</v>
      </c>
      <c r="B36" s="249"/>
      <c r="C36" s="249"/>
      <c r="D36" s="249"/>
      <c r="E36" s="249"/>
      <c r="F36" s="249"/>
      <c r="G36" s="249"/>
      <c r="H36" s="249"/>
    </row>
    <row r="37" spans="1:8" ht="12.75" customHeight="1">
      <c r="A37" s="250" t="s">
        <v>251</v>
      </c>
      <c r="B37" s="250"/>
      <c r="C37" s="250"/>
      <c r="D37" s="250"/>
      <c r="E37" s="250"/>
      <c r="F37" s="250"/>
      <c r="G37" s="250"/>
      <c r="H37" s="250"/>
    </row>
    <row r="38" spans="1:8" ht="13.5" customHeight="1">
      <c r="A38" s="251" t="s">
        <v>252</v>
      </c>
      <c r="B38" s="251"/>
      <c r="C38" s="251"/>
      <c r="D38" s="251"/>
      <c r="E38" s="251"/>
      <c r="F38" s="251"/>
      <c r="G38" s="251"/>
      <c r="H38" s="251"/>
    </row>
  </sheetData>
  <mergeCells count="36">
    <mergeCell ref="A36:H36"/>
    <mergeCell ref="A37:H37"/>
    <mergeCell ref="A38:H38"/>
    <mergeCell ref="B24:H24"/>
    <mergeCell ref="A25:H25"/>
    <mergeCell ref="C26:D26"/>
    <mergeCell ref="B27:B34"/>
    <mergeCell ref="C30:D30"/>
    <mergeCell ref="C27:D27"/>
    <mergeCell ref="C34:F34"/>
    <mergeCell ref="C32:D32"/>
    <mergeCell ref="C33:D33"/>
    <mergeCell ref="C31:D31"/>
    <mergeCell ref="B17:E17"/>
    <mergeCell ref="B19:E19"/>
    <mergeCell ref="B18:E18"/>
    <mergeCell ref="B23:E23"/>
    <mergeCell ref="B21:E21"/>
    <mergeCell ref="B22:E22"/>
    <mergeCell ref="B20:E20"/>
    <mergeCell ref="C28:D28"/>
    <mergeCell ref="C29:D29"/>
    <mergeCell ref="A27:A29"/>
    <mergeCell ref="A1:H1"/>
    <mergeCell ref="A2:H3"/>
    <mergeCell ref="A4:H4"/>
    <mergeCell ref="A5:H5"/>
    <mergeCell ref="A6:E6"/>
    <mergeCell ref="G6:H6"/>
    <mergeCell ref="A8:H8"/>
    <mergeCell ref="A9:H9"/>
    <mergeCell ref="A11:H11"/>
    <mergeCell ref="A12:H13"/>
    <mergeCell ref="A15:H15"/>
    <mergeCell ref="A16:H16"/>
    <mergeCell ref="A17:A23"/>
  </mergeCells>
  <pageMargins left="0.51180555555555596" right="0.51180555555555596" top="0.78749999999999998" bottom="0.78749999999999998" header="0.511811023622047" footer="0.511811023622047"/>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zoomScaleNormal="100" workbookViewId="0">
      <selection activeCell="K27" sqref="K27"/>
    </sheetView>
  </sheetViews>
  <sheetFormatPr defaultColWidth="8.28515625" defaultRowHeight="12.75"/>
  <cols>
    <col min="1" max="1" width="6.7109375" customWidth="1"/>
    <col min="2" max="2" width="25.7109375" customWidth="1"/>
    <col min="3" max="3" width="11.140625" customWidth="1"/>
    <col min="4" max="4" width="7.140625" customWidth="1"/>
    <col min="5" max="8" width="11.5703125" hidden="1" customWidth="1"/>
    <col min="9" max="9" width="9" customWidth="1"/>
    <col min="10" max="10" width="10.28515625" customWidth="1"/>
  </cols>
  <sheetData>
    <row r="1" spans="1:10" ht="15.75">
      <c r="A1" s="258" t="s">
        <v>26</v>
      </c>
      <c r="B1" s="258"/>
      <c r="C1" s="258"/>
      <c r="D1" s="258"/>
      <c r="E1" s="258"/>
      <c r="F1" s="258"/>
      <c r="G1" s="258"/>
      <c r="H1" s="258"/>
      <c r="I1" s="258"/>
      <c r="J1" s="258"/>
    </row>
    <row r="2" spans="1:10">
      <c r="A2" s="24"/>
      <c r="B2" s="25"/>
      <c r="C2" s="24"/>
      <c r="D2" s="24"/>
      <c r="E2" s="24"/>
      <c r="F2" s="24"/>
      <c r="G2" s="24"/>
      <c r="H2" s="24"/>
      <c r="I2" s="24"/>
      <c r="J2" s="24"/>
    </row>
    <row r="3" spans="1:10">
      <c r="A3" s="259" t="s">
        <v>27</v>
      </c>
      <c r="B3" s="259"/>
      <c r="C3" s="259"/>
      <c r="D3" s="259"/>
      <c r="E3" s="259"/>
      <c r="F3" s="259"/>
      <c r="G3" s="259"/>
      <c r="H3" s="259"/>
      <c r="I3" s="259"/>
      <c r="J3" s="259"/>
    </row>
    <row r="4" spans="1:10" ht="38.25">
      <c r="A4" s="26" t="s">
        <v>28</v>
      </c>
      <c r="B4" s="26" t="s">
        <v>29</v>
      </c>
      <c r="C4" s="26" t="s">
        <v>30</v>
      </c>
      <c r="D4" s="26" t="s">
        <v>31</v>
      </c>
      <c r="E4" s="27" t="s">
        <v>32</v>
      </c>
      <c r="F4" s="27" t="s">
        <v>33</v>
      </c>
      <c r="G4" s="27" t="s">
        <v>34</v>
      </c>
      <c r="H4" s="28" t="s">
        <v>35</v>
      </c>
      <c r="I4" s="28" t="s">
        <v>36</v>
      </c>
      <c r="J4" s="28" t="s">
        <v>10</v>
      </c>
    </row>
    <row r="5" spans="1:10" ht="17.100000000000001" customHeight="1">
      <c r="A5" s="29">
        <v>1</v>
      </c>
      <c r="B5" s="30" t="s">
        <v>37</v>
      </c>
      <c r="C5" s="29" t="s">
        <v>38</v>
      </c>
      <c r="D5" s="31">
        <v>2</v>
      </c>
      <c r="E5" s="32">
        <v>85</v>
      </c>
      <c r="F5" s="32">
        <v>65</v>
      </c>
      <c r="G5" s="32">
        <v>99</v>
      </c>
      <c r="H5" s="32">
        <v>83.27</v>
      </c>
      <c r="I5" s="33">
        <v>43.26</v>
      </c>
      <c r="J5" s="33">
        <f t="shared" ref="J5:J11" si="0">D5*I5/12</f>
        <v>7.21</v>
      </c>
    </row>
    <row r="6" spans="1:10" ht="17.100000000000001" customHeight="1">
      <c r="A6" s="29">
        <v>2</v>
      </c>
      <c r="B6" s="30" t="s">
        <v>39</v>
      </c>
      <c r="C6" s="29" t="s">
        <v>38</v>
      </c>
      <c r="D6" s="31">
        <v>2</v>
      </c>
      <c r="E6" s="32">
        <v>59.99</v>
      </c>
      <c r="F6" s="32">
        <v>71</v>
      </c>
      <c r="G6" s="32">
        <v>78.900000000000006</v>
      </c>
      <c r="H6" s="32">
        <v>63.39</v>
      </c>
      <c r="I6" s="33">
        <v>64.63</v>
      </c>
      <c r="J6" s="33">
        <f t="shared" si="0"/>
        <v>10.771666666666667</v>
      </c>
    </row>
    <row r="7" spans="1:10" ht="17.100000000000001" customHeight="1">
      <c r="A7" s="29">
        <v>3</v>
      </c>
      <c r="B7" s="30" t="s">
        <v>40</v>
      </c>
      <c r="C7" s="29" t="s">
        <v>38</v>
      </c>
      <c r="D7" s="31">
        <v>1</v>
      </c>
      <c r="E7" s="32">
        <v>32.72</v>
      </c>
      <c r="F7" s="32">
        <v>59.9</v>
      </c>
      <c r="G7" s="32">
        <v>45</v>
      </c>
      <c r="H7" s="32">
        <v>37.99</v>
      </c>
      <c r="I7" s="33">
        <v>25.52</v>
      </c>
      <c r="J7" s="33">
        <f t="shared" si="0"/>
        <v>2.1266666666666665</v>
      </c>
    </row>
    <row r="8" spans="1:10" ht="17.100000000000001" customHeight="1">
      <c r="A8" s="29">
        <v>4</v>
      </c>
      <c r="B8" s="30" t="s">
        <v>41</v>
      </c>
      <c r="C8" s="29" t="s">
        <v>42</v>
      </c>
      <c r="D8" s="31">
        <v>1</v>
      </c>
      <c r="E8" s="32">
        <v>152</v>
      </c>
      <c r="F8" s="32">
        <v>169.9</v>
      </c>
      <c r="G8" s="32">
        <v>99.9</v>
      </c>
      <c r="H8" s="32">
        <v>162.44</v>
      </c>
      <c r="I8" s="33">
        <v>217.8</v>
      </c>
      <c r="J8" s="33">
        <f t="shared" si="0"/>
        <v>18.150000000000002</v>
      </c>
    </row>
    <row r="9" spans="1:10" ht="17.100000000000001" customHeight="1">
      <c r="A9" s="29">
        <v>5</v>
      </c>
      <c r="B9" s="30" t="s">
        <v>43</v>
      </c>
      <c r="C9" s="29" t="s">
        <v>42</v>
      </c>
      <c r="D9" s="31">
        <v>2</v>
      </c>
      <c r="E9" s="32">
        <v>10</v>
      </c>
      <c r="F9" s="32">
        <v>13.35</v>
      </c>
      <c r="G9" s="32">
        <v>8.31</v>
      </c>
      <c r="H9" s="32">
        <v>9.0500000000000007</v>
      </c>
      <c r="I9" s="33">
        <v>13.63</v>
      </c>
      <c r="J9" s="33">
        <f t="shared" si="0"/>
        <v>2.2716666666666669</v>
      </c>
    </row>
    <row r="10" spans="1:10" ht="17.100000000000001" customHeight="1">
      <c r="A10" s="29">
        <v>6</v>
      </c>
      <c r="B10" s="30" t="s">
        <v>44</v>
      </c>
      <c r="C10" s="29" t="s">
        <v>38</v>
      </c>
      <c r="D10" s="31">
        <v>1</v>
      </c>
      <c r="E10" s="32">
        <v>147.30000000000001</v>
      </c>
      <c r="F10" s="32">
        <v>180</v>
      </c>
      <c r="G10" s="32">
        <v>173.5</v>
      </c>
      <c r="H10" s="32">
        <v>119.82</v>
      </c>
      <c r="I10" s="33">
        <v>174.49</v>
      </c>
      <c r="J10" s="33">
        <f t="shared" si="0"/>
        <v>14.540833333333333</v>
      </c>
    </row>
    <row r="11" spans="1:10" ht="17.100000000000001" customHeight="1">
      <c r="A11" s="29">
        <v>7</v>
      </c>
      <c r="B11" s="30" t="s">
        <v>45</v>
      </c>
      <c r="C11" s="29" t="s">
        <v>38</v>
      </c>
      <c r="D11" s="31">
        <v>1</v>
      </c>
      <c r="E11" s="32">
        <v>9.92</v>
      </c>
      <c r="F11" s="32">
        <v>5.9</v>
      </c>
      <c r="G11" s="32">
        <v>6.45</v>
      </c>
      <c r="H11" s="32">
        <v>10.8</v>
      </c>
      <c r="I11" s="33">
        <v>7.11</v>
      </c>
      <c r="J11" s="33">
        <f t="shared" si="0"/>
        <v>0.59250000000000003</v>
      </c>
    </row>
    <row r="12" spans="1:10" ht="17.100000000000001" customHeight="1">
      <c r="A12" s="29">
        <v>8</v>
      </c>
      <c r="B12" s="30" t="s">
        <v>46</v>
      </c>
      <c r="C12" s="29" t="s">
        <v>38</v>
      </c>
      <c r="D12" s="31">
        <v>1</v>
      </c>
      <c r="E12" s="32">
        <v>11.86</v>
      </c>
      <c r="F12" s="32">
        <v>5.88</v>
      </c>
      <c r="G12" s="32">
        <v>19.899999999999999</v>
      </c>
      <c r="H12" s="32">
        <v>8.91</v>
      </c>
      <c r="I12" s="33">
        <v>20.149999999999999</v>
      </c>
      <c r="J12" s="33">
        <f>I12*D12/12</f>
        <v>1.6791666666666665</v>
      </c>
    </row>
    <row r="13" spans="1:10">
      <c r="A13" s="260" t="s">
        <v>47</v>
      </c>
      <c r="B13" s="260"/>
      <c r="C13" s="260"/>
      <c r="D13" s="260"/>
      <c r="E13" s="260"/>
      <c r="F13" s="260"/>
      <c r="G13" s="260"/>
      <c r="H13" s="260"/>
      <c r="I13" s="260"/>
      <c r="J13" s="34">
        <f>SUM(J5:J12)</f>
        <v>57.342500000000001</v>
      </c>
    </row>
    <row r="14" spans="1:10">
      <c r="A14" s="35"/>
      <c r="B14" s="35"/>
      <c r="C14" s="35"/>
      <c r="D14" s="35"/>
      <c r="E14" s="35"/>
      <c r="F14" s="35"/>
      <c r="G14" s="35"/>
      <c r="H14" s="35"/>
      <c r="I14" s="35"/>
      <c r="J14" s="35"/>
    </row>
    <row r="15" spans="1:10" ht="22.5" customHeight="1">
      <c r="A15" s="259" t="s">
        <v>48</v>
      </c>
      <c r="B15" s="259"/>
      <c r="C15" s="259"/>
      <c r="D15" s="259"/>
      <c r="E15" s="259"/>
      <c r="F15" s="259"/>
      <c r="G15" s="259"/>
      <c r="H15" s="259"/>
      <c r="I15" s="259"/>
      <c r="J15" s="259"/>
    </row>
    <row r="16" spans="1:10" ht="38.25">
      <c r="A16" s="26" t="s">
        <v>28</v>
      </c>
      <c r="B16" s="26" t="s">
        <v>29</v>
      </c>
      <c r="C16" s="26" t="s">
        <v>30</v>
      </c>
      <c r="D16" s="26" t="s">
        <v>31</v>
      </c>
      <c r="E16" s="27" t="s">
        <v>49</v>
      </c>
      <c r="F16" s="27" t="s">
        <v>33</v>
      </c>
      <c r="G16" s="27" t="s">
        <v>34</v>
      </c>
      <c r="H16" s="28" t="s">
        <v>35</v>
      </c>
      <c r="I16" s="28" t="s">
        <v>36</v>
      </c>
      <c r="J16" s="28" t="s">
        <v>10</v>
      </c>
    </row>
    <row r="17" spans="1:10" ht="17.100000000000001" customHeight="1">
      <c r="A17" s="29">
        <v>1</v>
      </c>
      <c r="B17" s="30" t="s">
        <v>50</v>
      </c>
      <c r="C17" s="29" t="s">
        <v>38</v>
      </c>
      <c r="D17" s="31">
        <v>2</v>
      </c>
      <c r="E17" s="32">
        <v>12.94</v>
      </c>
      <c r="F17" s="32">
        <v>10.57</v>
      </c>
      <c r="G17" s="32">
        <v>11.25</v>
      </c>
      <c r="H17" s="32">
        <v>15.5</v>
      </c>
      <c r="I17" s="33">
        <v>17.18</v>
      </c>
      <c r="J17" s="33">
        <f>(I17*D17)/12</f>
        <v>2.8633333333333333</v>
      </c>
    </row>
    <row r="18" spans="1:10" ht="17.100000000000001" customHeight="1">
      <c r="A18" s="29">
        <v>2</v>
      </c>
      <c r="B18" s="30" t="s">
        <v>51</v>
      </c>
      <c r="C18" s="29" t="s">
        <v>38</v>
      </c>
      <c r="D18" s="31">
        <v>1</v>
      </c>
      <c r="E18" s="32">
        <v>46</v>
      </c>
      <c r="F18" s="32">
        <v>54</v>
      </c>
      <c r="G18" s="32">
        <v>59.9</v>
      </c>
      <c r="H18" s="32">
        <v>22.8</v>
      </c>
      <c r="I18" s="33">
        <v>31.02</v>
      </c>
      <c r="J18" s="33">
        <f>I18*D18/12</f>
        <v>2.585</v>
      </c>
    </row>
    <row r="19" spans="1:10" ht="17.100000000000001" customHeight="1">
      <c r="A19" s="29">
        <v>3</v>
      </c>
      <c r="B19" s="30" t="s">
        <v>52</v>
      </c>
      <c r="C19" s="29" t="s">
        <v>38</v>
      </c>
      <c r="D19" s="31">
        <v>1</v>
      </c>
      <c r="E19" s="32">
        <v>39.9</v>
      </c>
      <c r="F19" s="32">
        <v>29.9</v>
      </c>
      <c r="G19" s="32">
        <v>25.9</v>
      </c>
      <c r="H19" s="32">
        <v>59.48</v>
      </c>
      <c r="I19" s="33">
        <v>19.420000000000002</v>
      </c>
      <c r="J19" s="33">
        <f>I19*D19/12</f>
        <v>1.6183333333333334</v>
      </c>
    </row>
    <row r="20" spans="1:10" ht="17.100000000000001" customHeight="1">
      <c r="A20" s="29">
        <v>4</v>
      </c>
      <c r="B20" s="30" t="s">
        <v>53</v>
      </c>
      <c r="C20" s="29" t="s">
        <v>38</v>
      </c>
      <c r="D20" s="31">
        <v>1</v>
      </c>
      <c r="E20" s="32">
        <v>46.8</v>
      </c>
      <c r="F20" s="32">
        <v>58.49</v>
      </c>
      <c r="G20" s="32">
        <v>58.88</v>
      </c>
      <c r="H20" s="32">
        <v>47.68</v>
      </c>
      <c r="I20" s="33">
        <v>60.71</v>
      </c>
      <c r="J20" s="33">
        <f>I20*D20/12</f>
        <v>5.059166666666667</v>
      </c>
    </row>
    <row r="21" spans="1:10" ht="25.15" customHeight="1">
      <c r="A21" s="260" t="s">
        <v>54</v>
      </c>
      <c r="B21" s="260"/>
      <c r="C21" s="260"/>
      <c r="D21" s="260"/>
      <c r="E21" s="260"/>
      <c r="F21" s="260"/>
      <c r="G21" s="260"/>
      <c r="H21" s="260"/>
      <c r="I21" s="260"/>
      <c r="J21" s="36">
        <f>SUM(J17:J20)</f>
        <v>12.125833333333333</v>
      </c>
    </row>
  </sheetData>
  <mergeCells count="5">
    <mergeCell ref="A1:J1"/>
    <mergeCell ref="A3:J3"/>
    <mergeCell ref="A13:I13"/>
    <mergeCell ref="A15:J15"/>
    <mergeCell ref="A21:I21"/>
  </mergeCells>
  <pageMargins left="0.51180555555555596" right="0.51180555555555596"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6"/>
  <sheetViews>
    <sheetView showGridLines="0" zoomScaleNormal="100" workbookViewId="0">
      <selection activeCell="E8" sqref="E8"/>
    </sheetView>
  </sheetViews>
  <sheetFormatPr defaultColWidth="8.5703125" defaultRowHeight="12.75"/>
  <cols>
    <col min="1" max="1" width="64.85546875" customWidth="1"/>
    <col min="2" max="3" width="11.140625" customWidth="1"/>
    <col min="4" max="4" width="12.5703125" customWidth="1"/>
    <col min="5" max="5" width="16" customWidth="1"/>
  </cols>
  <sheetData>
    <row r="1" spans="1:5" ht="15">
      <c r="A1" s="261" t="s">
        <v>55</v>
      </c>
      <c r="B1" s="261"/>
      <c r="C1" s="261"/>
      <c r="D1" s="261"/>
      <c r="E1" s="261"/>
    </row>
    <row r="2" spans="1:5" ht="15">
      <c r="A2" s="37"/>
      <c r="B2" s="37"/>
      <c r="C2" s="37"/>
      <c r="D2" s="37"/>
      <c r="E2" s="37"/>
    </row>
    <row r="3" spans="1:5">
      <c r="A3" s="38"/>
      <c r="B3" s="38"/>
      <c r="C3" s="38"/>
      <c r="D3" s="38"/>
      <c r="E3" s="39"/>
    </row>
    <row r="4" spans="1:5">
      <c r="A4" s="38"/>
      <c r="B4" s="38"/>
      <c r="C4" s="38"/>
      <c r="D4" s="38"/>
      <c r="E4" s="39"/>
    </row>
    <row r="5" spans="1:5" ht="38.25" customHeight="1">
      <c r="A5" s="40" t="s">
        <v>56</v>
      </c>
      <c r="B5" s="41" t="s">
        <v>57</v>
      </c>
      <c r="C5" s="41" t="s">
        <v>58</v>
      </c>
      <c r="D5" s="42" t="s">
        <v>59</v>
      </c>
      <c r="E5" s="43" t="s">
        <v>10</v>
      </c>
    </row>
    <row r="6" spans="1:5">
      <c r="A6" s="44" t="s">
        <v>60</v>
      </c>
      <c r="B6" s="45">
        <v>26</v>
      </c>
      <c r="C6" s="46">
        <v>49.63</v>
      </c>
      <c r="D6" s="47">
        <f>(B6*C6)*0.02</f>
        <v>25.807600000000004</v>
      </c>
      <c r="E6" s="46">
        <f>(C6*B6)-D6</f>
        <v>1264.5724</v>
      </c>
    </row>
    <row r="7" spans="1:5">
      <c r="A7" s="44" t="s">
        <v>61</v>
      </c>
      <c r="B7" s="45">
        <v>15</v>
      </c>
      <c r="C7" s="46">
        <v>49.63</v>
      </c>
      <c r="D7" s="47">
        <f>(B7*C7)*0.02</f>
        <v>14.889000000000001</v>
      </c>
      <c r="E7" s="46">
        <f>(B7*C7)-D7</f>
        <v>729.56100000000004</v>
      </c>
    </row>
    <row r="8" spans="1:5">
      <c r="A8" s="44" t="s">
        <v>62</v>
      </c>
      <c r="B8" s="45">
        <v>15</v>
      </c>
      <c r="C8" s="46">
        <v>49.63</v>
      </c>
      <c r="D8" s="47">
        <f>(B8*C8)*0.02</f>
        <v>14.889000000000001</v>
      </c>
      <c r="E8" s="46">
        <f>(B8*C8)-D8</f>
        <v>729.56100000000004</v>
      </c>
    </row>
    <row r="9" spans="1:5">
      <c r="A9" s="48"/>
      <c r="B9" s="48"/>
      <c r="C9" s="48"/>
      <c r="D9" s="48"/>
      <c r="E9" s="48"/>
    </row>
    <row r="10" spans="1:5">
      <c r="A10" s="48"/>
      <c r="B10" s="48"/>
      <c r="C10" s="48"/>
      <c r="D10" s="48"/>
      <c r="E10" s="48"/>
    </row>
    <row r="11" spans="1:5">
      <c r="A11" s="262" t="s">
        <v>233</v>
      </c>
      <c r="B11" s="262"/>
      <c r="C11" s="262"/>
      <c r="D11" s="262"/>
      <c r="E11" s="262"/>
    </row>
    <row r="12" spans="1:5" ht="180.75" customHeight="1">
      <c r="A12" s="264" t="s">
        <v>234</v>
      </c>
      <c r="B12" s="265"/>
      <c r="C12" s="265"/>
      <c r="D12" s="265"/>
      <c r="E12" s="265"/>
    </row>
    <row r="13" spans="1:5">
      <c r="A13" s="188" t="s">
        <v>235</v>
      </c>
      <c r="B13" s="266">
        <v>8.2000000000000007E-3</v>
      </c>
      <c r="C13" s="267"/>
      <c r="D13" s="267"/>
      <c r="E13" s="267"/>
    </row>
    <row r="14" spans="1:5">
      <c r="A14" s="48"/>
      <c r="B14" s="48"/>
      <c r="C14" s="48"/>
      <c r="D14" s="48"/>
    </row>
    <row r="15" spans="1:5">
      <c r="A15" s="262" t="s">
        <v>64</v>
      </c>
      <c r="B15" s="262"/>
      <c r="C15" s="262"/>
      <c r="D15" s="262"/>
      <c r="E15" s="262"/>
    </row>
    <row r="16" spans="1:5" ht="186.75" customHeight="1">
      <c r="A16" s="264" t="s">
        <v>247</v>
      </c>
      <c r="B16" s="268"/>
      <c r="C16" s="268"/>
      <c r="D16" s="268"/>
      <c r="E16" s="268"/>
    </row>
    <row r="17" spans="1:5" ht="14.25" customHeight="1">
      <c r="A17" s="188" t="s">
        <v>236</v>
      </c>
      <c r="B17" s="269">
        <f>(20/30/12)*(46.9%*1.232%)</f>
        <v>3.2100444444444441E-4</v>
      </c>
      <c r="C17" s="269"/>
      <c r="D17" s="269"/>
      <c r="E17" s="269"/>
    </row>
    <row r="18" spans="1:5" ht="14.25" customHeight="1">
      <c r="A18" s="189"/>
      <c r="B18" s="270"/>
      <c r="C18" s="270"/>
      <c r="D18" s="270"/>
      <c r="E18" s="270"/>
    </row>
    <row r="19" spans="1:5" ht="14.25" customHeight="1">
      <c r="A19" s="271" t="s">
        <v>65</v>
      </c>
      <c r="B19" s="271"/>
      <c r="C19" s="271"/>
      <c r="D19" s="271"/>
      <c r="E19" s="271"/>
    </row>
    <row r="20" spans="1:5" ht="219.75" customHeight="1">
      <c r="A20" s="272" t="s">
        <v>237</v>
      </c>
      <c r="B20" s="273"/>
      <c r="C20" s="273"/>
      <c r="D20" s="273"/>
      <c r="E20" s="274"/>
    </row>
    <row r="21" spans="1:5" ht="14.25" customHeight="1">
      <c r="A21" s="188" t="s">
        <v>238</v>
      </c>
      <c r="B21" s="269">
        <f>((15/30)/12)*(163362/44472798)*100</f>
        <v>1.5305423328660365E-2</v>
      </c>
      <c r="C21" s="269"/>
      <c r="D21" s="269"/>
      <c r="E21" s="269"/>
    </row>
    <row r="22" spans="1:5" ht="14.25" customHeight="1">
      <c r="A22" s="48"/>
      <c r="B22" s="48"/>
      <c r="C22" s="48"/>
      <c r="D22" s="48"/>
    </row>
    <row r="23" spans="1:5" ht="14.25" customHeight="1">
      <c r="A23" s="263" t="s">
        <v>66</v>
      </c>
      <c r="B23" s="263"/>
      <c r="C23" s="263"/>
      <c r="D23" s="263"/>
      <c r="E23" s="263"/>
    </row>
    <row r="24" spans="1:5" ht="147" customHeight="1">
      <c r="A24" s="278" t="s">
        <v>249</v>
      </c>
      <c r="B24" s="279"/>
      <c r="C24" s="279"/>
      <c r="D24" s="279"/>
      <c r="E24" s="279"/>
    </row>
    <row r="25" spans="1:5" ht="14.25" customHeight="1">
      <c r="A25" s="190" t="s">
        <v>239</v>
      </c>
      <c r="B25" s="280">
        <f>((180/30)/12)*(1.232%*53.1%*36.8%)</f>
        <v>1.2037132799999999E-3</v>
      </c>
      <c r="C25" s="280"/>
      <c r="D25" s="280"/>
      <c r="E25" s="280"/>
    </row>
    <row r="26" spans="1:5">
      <c r="A26" s="187"/>
      <c r="B26" s="187"/>
      <c r="C26" s="187"/>
      <c r="D26" s="277"/>
      <c r="E26" s="277"/>
    </row>
    <row r="27" spans="1:5" ht="13.7" customHeight="1">
      <c r="A27" s="275" t="s">
        <v>248</v>
      </c>
      <c r="B27" s="275"/>
      <c r="C27" s="275"/>
      <c r="D27" s="50"/>
    </row>
    <row r="28" spans="1:5" ht="49.15" customHeight="1">
      <c r="A28" s="276" t="s">
        <v>68</v>
      </c>
      <c r="B28" s="276"/>
      <c r="C28" s="276"/>
      <c r="D28" s="276"/>
      <c r="E28" s="276"/>
    </row>
    <row r="29" spans="1:5" ht="25.9" customHeight="1">
      <c r="A29" s="281" t="s">
        <v>69</v>
      </c>
      <c r="B29" s="281"/>
      <c r="C29" s="281"/>
      <c r="D29" s="281"/>
      <c r="E29" s="281"/>
    </row>
    <row r="30" spans="1:5" ht="25.9" customHeight="1">
      <c r="A30" s="281" t="s">
        <v>70</v>
      </c>
      <c r="B30" s="281"/>
      <c r="C30" s="281"/>
      <c r="D30" s="281"/>
      <c r="E30" s="281"/>
    </row>
    <row r="31" spans="1:5" ht="38.1" customHeight="1">
      <c r="A31" s="281" t="s">
        <v>71</v>
      </c>
      <c r="B31" s="281"/>
      <c r="C31" s="281"/>
      <c r="D31" s="281"/>
      <c r="E31" s="281"/>
    </row>
    <row r="32" spans="1:5" ht="25.9" customHeight="1">
      <c r="A32" s="281" t="s">
        <v>72</v>
      </c>
      <c r="B32" s="281"/>
      <c r="C32" s="281"/>
      <c r="D32" s="281"/>
      <c r="E32" s="281"/>
    </row>
    <row r="33" spans="1:5" ht="49.7" customHeight="1">
      <c r="A33" s="281" t="s">
        <v>73</v>
      </c>
      <c r="B33" s="281"/>
      <c r="C33" s="281"/>
      <c r="D33" s="281"/>
      <c r="E33" s="281"/>
    </row>
    <row r="34" spans="1:5" ht="49.7" customHeight="1">
      <c r="A34" s="281" t="s">
        <v>74</v>
      </c>
      <c r="B34" s="281"/>
      <c r="C34" s="281"/>
      <c r="D34" s="281"/>
      <c r="E34" s="281"/>
    </row>
    <row r="35" spans="1:5">
      <c r="A35" s="51"/>
    </row>
    <row r="36" spans="1:5" ht="21.75" customHeight="1">
      <c r="A36" s="281" t="s">
        <v>75</v>
      </c>
      <c r="B36" s="281"/>
      <c r="C36" s="281"/>
      <c r="D36" s="281"/>
      <c r="E36" s="281"/>
    </row>
    <row r="37" spans="1:5" ht="38.1" customHeight="1">
      <c r="A37" s="276" t="s">
        <v>76</v>
      </c>
      <c r="B37" s="276"/>
      <c r="C37" s="276"/>
      <c r="D37" s="276"/>
      <c r="E37" s="276"/>
    </row>
    <row r="38" spans="1:5" ht="25.9" customHeight="1">
      <c r="A38" s="281" t="s">
        <v>77</v>
      </c>
      <c r="B38" s="281"/>
      <c r="C38" s="281"/>
      <c r="D38" s="281"/>
      <c r="E38" s="281"/>
    </row>
    <row r="39" spans="1:5" ht="49.7" customHeight="1">
      <c r="A39" s="281" t="s">
        <v>78</v>
      </c>
      <c r="B39" s="281"/>
      <c r="C39" s="281"/>
      <c r="D39" s="281"/>
      <c r="E39" s="281"/>
    </row>
    <row r="40" spans="1:5" ht="25.35" customHeight="1">
      <c r="A40" s="276" t="s">
        <v>79</v>
      </c>
      <c r="B40" s="276"/>
      <c r="C40" s="276"/>
      <c r="D40" s="276"/>
      <c r="E40" s="276"/>
    </row>
    <row r="41" spans="1:5" ht="13.35" customHeight="1">
      <c r="A41" s="276" t="s">
        <v>80</v>
      </c>
      <c r="B41" s="276"/>
      <c r="C41" s="276"/>
      <c r="D41" s="276"/>
      <c r="E41" s="276"/>
    </row>
    <row r="42" spans="1:5" ht="13.35" customHeight="1">
      <c r="A42" s="276" t="s">
        <v>81</v>
      </c>
      <c r="B42" s="276"/>
      <c r="C42" s="276"/>
      <c r="D42" s="276"/>
      <c r="E42" s="276"/>
    </row>
    <row r="43" spans="1:5" ht="25.9" customHeight="1">
      <c r="A43" s="276" t="s">
        <v>82</v>
      </c>
      <c r="B43" s="276"/>
      <c r="C43" s="276"/>
      <c r="D43" s="276"/>
      <c r="E43" s="276"/>
    </row>
    <row r="44" spans="1:5" ht="37.35" customHeight="1">
      <c r="A44" s="276" t="s">
        <v>83</v>
      </c>
      <c r="B44" s="276"/>
      <c r="C44" s="276"/>
      <c r="D44" s="276"/>
      <c r="E44" s="276"/>
    </row>
    <row r="45" spans="1:5" ht="62.65" customHeight="1">
      <c r="A45" s="276" t="s">
        <v>84</v>
      </c>
      <c r="B45" s="276"/>
      <c r="C45" s="276"/>
      <c r="D45" s="276"/>
      <c r="E45" s="276"/>
    </row>
    <row r="46" spans="1:5" ht="21.2" customHeight="1">
      <c r="A46" s="276" t="s">
        <v>85</v>
      </c>
      <c r="B46" s="276"/>
      <c r="C46" s="276"/>
      <c r="D46" s="276"/>
      <c r="E46" s="276"/>
    </row>
    <row r="47" spans="1:5" ht="47.85" customHeight="1">
      <c r="A47" s="281" t="s">
        <v>86</v>
      </c>
      <c r="B47" s="281"/>
      <c r="C47" s="281"/>
      <c r="D47" s="281"/>
      <c r="E47" s="281"/>
    </row>
    <row r="48" spans="1:5" ht="38.1" customHeight="1">
      <c r="A48" s="281" t="s">
        <v>87</v>
      </c>
      <c r="B48" s="281"/>
      <c r="C48" s="281"/>
      <c r="D48" s="281"/>
      <c r="E48" s="281"/>
    </row>
    <row r="49" spans="1:5" ht="60" customHeight="1">
      <c r="A49" s="282" t="s">
        <v>88</v>
      </c>
      <c r="B49" s="282"/>
      <c r="C49" s="282"/>
      <c r="D49" s="282"/>
      <c r="E49" s="282"/>
    </row>
    <row r="50" spans="1:5" ht="78" customHeight="1">
      <c r="A50" s="284" t="s">
        <v>245</v>
      </c>
      <c r="B50" s="285"/>
      <c r="C50" s="285"/>
      <c r="D50" s="285"/>
      <c r="E50" s="285"/>
    </row>
    <row r="51" spans="1:5" ht="45.75" customHeight="1">
      <c r="A51" s="284" t="s">
        <v>246</v>
      </c>
      <c r="B51" s="283"/>
      <c r="C51" s="283"/>
      <c r="D51" s="283"/>
      <c r="E51" s="283"/>
    </row>
    <row r="52" spans="1:5" ht="69" customHeight="1">
      <c r="A52" s="285" t="s">
        <v>240</v>
      </c>
      <c r="B52" s="283"/>
      <c r="C52" s="283"/>
      <c r="D52" s="283"/>
      <c r="E52" s="283"/>
    </row>
    <row r="53" spans="1:5" ht="107.25" customHeight="1">
      <c r="A53" s="283" t="s">
        <v>241</v>
      </c>
      <c r="B53" s="283"/>
      <c r="C53" s="283"/>
      <c r="D53" s="283"/>
      <c r="E53" s="283"/>
    </row>
    <row r="54" spans="1:5" ht="81" customHeight="1">
      <c r="A54" s="283" t="s">
        <v>242</v>
      </c>
      <c r="B54" s="283"/>
      <c r="C54" s="283"/>
      <c r="D54" s="283"/>
      <c r="E54" s="283"/>
    </row>
    <row r="55" spans="1:5" ht="91.5" customHeight="1">
      <c r="A55" s="283" t="s">
        <v>243</v>
      </c>
      <c r="B55" s="283"/>
      <c r="C55" s="283"/>
      <c r="D55" s="283"/>
      <c r="E55" s="283"/>
    </row>
    <row r="56" spans="1:5" ht="44.25" customHeight="1">
      <c r="A56" s="283" t="s">
        <v>244</v>
      </c>
      <c r="B56" s="283"/>
      <c r="C56" s="283"/>
      <c r="D56" s="283"/>
      <c r="E56" s="283"/>
    </row>
  </sheetData>
  <mergeCells count="44">
    <mergeCell ref="A55:E55"/>
    <mergeCell ref="A56:E56"/>
    <mergeCell ref="A50:E50"/>
    <mergeCell ref="A51:E51"/>
    <mergeCell ref="A52:E52"/>
    <mergeCell ref="A53:E53"/>
    <mergeCell ref="A54:E54"/>
    <mergeCell ref="A45:E45"/>
    <mergeCell ref="A46:E46"/>
    <mergeCell ref="A47:E47"/>
    <mergeCell ref="A48:E48"/>
    <mergeCell ref="A49:E49"/>
    <mergeCell ref="A40:E40"/>
    <mergeCell ref="A41:E41"/>
    <mergeCell ref="A42:E42"/>
    <mergeCell ref="A43:E43"/>
    <mergeCell ref="A44:E44"/>
    <mergeCell ref="A34:E34"/>
    <mergeCell ref="A36:E36"/>
    <mergeCell ref="A37:E37"/>
    <mergeCell ref="A38:E38"/>
    <mergeCell ref="A39:E39"/>
    <mergeCell ref="A29:E29"/>
    <mergeCell ref="A30:E30"/>
    <mergeCell ref="A31:E31"/>
    <mergeCell ref="A32:E32"/>
    <mergeCell ref="A33:E33"/>
    <mergeCell ref="A27:C27"/>
    <mergeCell ref="A28:E28"/>
    <mergeCell ref="D26:E26"/>
    <mergeCell ref="A24:E24"/>
    <mergeCell ref="B25:E25"/>
    <mergeCell ref="A1:E1"/>
    <mergeCell ref="A11:E11"/>
    <mergeCell ref="A23:E23"/>
    <mergeCell ref="A12:E12"/>
    <mergeCell ref="B13:E13"/>
    <mergeCell ref="A15:E15"/>
    <mergeCell ref="A16:E16"/>
    <mergeCell ref="B17:E17"/>
    <mergeCell ref="B18:E18"/>
    <mergeCell ref="A19:E19"/>
    <mergeCell ref="A20:E20"/>
    <mergeCell ref="B21:E21"/>
  </mergeCells>
  <pageMargins left="0.78749999999999998" right="0.78749999999999998" top="0.78749999999999998" bottom="0.78749999999999998" header="0.511811023622047" footer="0.511811023622047"/>
  <pageSetup paperSize="9" scale="75"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34"/>
  <sheetViews>
    <sheetView showGridLines="0" view="pageBreakPreview" topLeftCell="A13" zoomScaleNormal="100" zoomScaleSheetLayoutView="100" workbookViewId="0">
      <selection activeCell="C131" sqref="C131"/>
    </sheetView>
  </sheetViews>
  <sheetFormatPr defaultColWidth="8.5703125" defaultRowHeight="12.75"/>
  <cols>
    <col min="1" max="1" width="6.140625" customWidth="1"/>
    <col min="2" max="2" width="73.140625" customWidth="1"/>
    <col min="3" max="3" width="15.28515625" customWidth="1"/>
    <col min="4" max="5" width="15.140625" customWidth="1"/>
  </cols>
  <sheetData>
    <row r="1" spans="2:5" ht="23.25">
      <c r="B1" s="286" t="s">
        <v>0</v>
      </c>
      <c r="C1" s="286"/>
      <c r="D1" s="286"/>
      <c r="E1" s="286"/>
    </row>
    <row r="2" spans="2:5" ht="16.7" customHeight="1">
      <c r="B2" s="287" t="s">
        <v>89</v>
      </c>
      <c r="C2" s="287"/>
      <c r="D2" s="287"/>
      <c r="E2" s="287"/>
    </row>
    <row r="3" spans="2:5" ht="14.25">
      <c r="B3" s="52"/>
      <c r="C3" s="52"/>
      <c r="D3" s="52"/>
      <c r="E3" s="2"/>
    </row>
    <row r="4" spans="2:5" ht="14.25">
      <c r="B4" s="53" t="s">
        <v>90</v>
      </c>
      <c r="C4" s="288" t="str">
        <f>Brasília!C4</f>
        <v>35014.334990/2025-79</v>
      </c>
      <c r="D4" s="288"/>
      <c r="E4" s="288"/>
    </row>
    <row r="5" spans="2:5" ht="14.25">
      <c r="B5" s="53" t="s">
        <v>91</v>
      </c>
      <c r="C5" s="288" t="str">
        <f>Brasília!C5</f>
        <v>__/____</v>
      </c>
      <c r="D5" s="288"/>
      <c r="E5" s="288"/>
    </row>
    <row r="6" spans="2:5" ht="14.25">
      <c r="B6" s="53" t="s">
        <v>92</v>
      </c>
      <c r="C6" s="289" t="str">
        <f>Brasília!C6</f>
        <v>__/__/___</v>
      </c>
      <c r="D6" s="289"/>
      <c r="E6" s="289"/>
    </row>
    <row r="7" spans="2:5" ht="14.25">
      <c r="B7" s="53"/>
      <c r="C7" s="52"/>
      <c r="D7" s="52"/>
      <c r="E7" s="2"/>
    </row>
    <row r="8" spans="2:5" ht="15">
      <c r="B8" s="54" t="s">
        <v>93</v>
      </c>
      <c r="C8" s="55"/>
      <c r="D8" s="56"/>
      <c r="E8" s="2"/>
    </row>
    <row r="9" spans="2:5" ht="15.75">
      <c r="B9" s="57" t="s">
        <v>94</v>
      </c>
      <c r="C9" s="290" t="str">
        <f>Brasília!C9</f>
        <v>__/__/___</v>
      </c>
      <c r="D9" s="290"/>
      <c r="E9" s="290"/>
    </row>
    <row r="10" spans="2:5" ht="15.75">
      <c r="B10" s="57" t="s">
        <v>95</v>
      </c>
      <c r="C10" s="290" t="s">
        <v>96</v>
      </c>
      <c r="D10" s="290"/>
      <c r="E10" s="290"/>
    </row>
    <row r="11" spans="2:5" ht="15.75">
      <c r="B11" s="58" t="s">
        <v>97</v>
      </c>
      <c r="C11" s="290" t="str">
        <f>Brasília!C11</f>
        <v>2025/2025</v>
      </c>
      <c r="D11" s="290"/>
      <c r="E11" s="290"/>
    </row>
    <row r="12" spans="2:5" ht="15.75">
      <c r="B12" s="57" t="s">
        <v>98</v>
      </c>
      <c r="C12" s="290">
        <f>Brasília!C12</f>
        <v>12</v>
      </c>
      <c r="D12" s="290"/>
      <c r="E12" s="290"/>
    </row>
    <row r="13" spans="2:5" ht="14.25">
      <c r="B13" s="59"/>
      <c r="C13" s="60"/>
      <c r="D13" s="61"/>
      <c r="E13" s="2"/>
    </row>
    <row r="14" spans="2:5" ht="14.25" customHeight="1">
      <c r="B14" s="291" t="s">
        <v>99</v>
      </c>
      <c r="C14" s="292"/>
      <c r="D14" s="292"/>
      <c r="E14" s="292"/>
    </row>
    <row r="15" spans="2:5" ht="42.75">
      <c r="B15" s="62" t="s">
        <v>100</v>
      </c>
      <c r="C15" s="207" t="s">
        <v>101</v>
      </c>
      <c r="D15" s="207" t="s">
        <v>261</v>
      </c>
      <c r="E15" s="207" t="s">
        <v>262</v>
      </c>
    </row>
    <row r="16" spans="2:5" ht="60">
      <c r="B16" s="63" t="s">
        <v>4</v>
      </c>
      <c r="C16" s="64" t="s">
        <v>104</v>
      </c>
      <c r="D16" s="222">
        <f>Resumo!E28</f>
        <v>2.0833333333333335</v>
      </c>
      <c r="E16" s="65">
        <v>0</v>
      </c>
    </row>
    <row r="17" spans="2:5" ht="15">
      <c r="B17" s="66"/>
      <c r="C17" s="67"/>
      <c r="D17" s="56"/>
      <c r="E17" s="2"/>
    </row>
    <row r="18" spans="2:5" ht="15">
      <c r="B18" s="66"/>
      <c r="C18" s="67"/>
      <c r="D18" s="56"/>
      <c r="E18" s="2"/>
    </row>
    <row r="19" spans="2:5" ht="16.7" customHeight="1">
      <c r="B19" s="291" t="s">
        <v>105</v>
      </c>
      <c r="C19" s="292"/>
      <c r="D19" s="292"/>
      <c r="E19" s="292"/>
    </row>
    <row r="20" spans="2:5" ht="16.7" customHeight="1">
      <c r="B20" s="293" t="s">
        <v>106</v>
      </c>
      <c r="C20" s="294"/>
      <c r="D20" s="294"/>
      <c r="E20" s="294"/>
    </row>
    <row r="21" spans="2:5" ht="15.75">
      <c r="B21" s="68" t="s">
        <v>107</v>
      </c>
      <c r="C21" s="295" t="s">
        <v>108</v>
      </c>
      <c r="D21" s="295"/>
      <c r="E21" s="295"/>
    </row>
    <row r="22" spans="2:5" ht="15.75">
      <c r="B22" s="68" t="s">
        <v>109</v>
      </c>
      <c r="C22" s="295" t="s">
        <v>110</v>
      </c>
      <c r="D22" s="295"/>
      <c r="E22" s="295"/>
    </row>
    <row r="23" spans="2:5" ht="15.75">
      <c r="B23" s="69" t="s">
        <v>111</v>
      </c>
      <c r="C23" s="296">
        <f>Brasília!C23</f>
        <v>2859.58</v>
      </c>
      <c r="D23" s="296"/>
      <c r="E23" s="296"/>
    </row>
    <row r="24" spans="2:5" ht="15.75">
      <c r="B24" s="69" t="s">
        <v>112</v>
      </c>
      <c r="C24" s="295" t="s">
        <v>113</v>
      </c>
      <c r="D24" s="295"/>
      <c r="E24" s="295"/>
    </row>
    <row r="25" spans="2:5" ht="15.75">
      <c r="B25" s="69" t="s">
        <v>114</v>
      </c>
      <c r="C25" s="295" t="str">
        <f>Brasília!C25</f>
        <v>01 de janeiro</v>
      </c>
      <c r="D25" s="295"/>
      <c r="E25" s="295"/>
    </row>
    <row r="26" spans="2:5" ht="15.75">
      <c r="B26" s="69" t="s">
        <v>115</v>
      </c>
      <c r="C26" s="295" t="str">
        <f>Brasília!C26</f>
        <v>DF000685/2025</v>
      </c>
      <c r="D26" s="295"/>
      <c r="E26" s="295"/>
    </row>
    <row r="27" spans="2:5" ht="15">
      <c r="B27" s="70"/>
      <c r="C27" s="71"/>
      <c r="D27" s="72"/>
      <c r="E27" s="2"/>
    </row>
    <row r="28" spans="2:5" ht="42.75">
      <c r="B28" s="73" t="s">
        <v>116</v>
      </c>
      <c r="C28" s="74" t="s">
        <v>117</v>
      </c>
      <c r="D28" s="74" t="s">
        <v>102</v>
      </c>
      <c r="E28" s="74" t="s">
        <v>103</v>
      </c>
    </row>
    <row r="29" spans="2:5" ht="16.7" customHeight="1">
      <c r="B29" s="291" t="s">
        <v>118</v>
      </c>
      <c r="C29" s="292"/>
      <c r="D29" s="292"/>
      <c r="E29" s="292"/>
    </row>
    <row r="30" spans="2:5" ht="28.5">
      <c r="B30" s="75" t="s">
        <v>119</v>
      </c>
      <c r="C30" s="76" t="s">
        <v>120</v>
      </c>
      <c r="D30" s="77" t="s">
        <v>67</v>
      </c>
      <c r="E30" s="77" t="s">
        <v>67</v>
      </c>
    </row>
    <row r="31" spans="2:5" ht="15">
      <c r="B31" s="78" t="s">
        <v>121</v>
      </c>
      <c r="C31" s="79">
        <f>C23</f>
        <v>2859.58</v>
      </c>
      <c r="D31" s="80">
        <f>C31</f>
        <v>2859.58</v>
      </c>
      <c r="E31" s="80">
        <v>0</v>
      </c>
    </row>
    <row r="32" spans="2:5" ht="15">
      <c r="B32" s="78" t="s">
        <v>122</v>
      </c>
      <c r="C32" s="81">
        <v>0.3</v>
      </c>
      <c r="D32" s="82">
        <f>D31*C32</f>
        <v>857.87399999999991</v>
      </c>
      <c r="E32" s="82">
        <f>E31*C32</f>
        <v>0</v>
      </c>
    </row>
    <row r="33" spans="2:5" ht="15">
      <c r="B33" s="78" t="s">
        <v>123</v>
      </c>
      <c r="C33" s="83"/>
      <c r="D33" s="82"/>
      <c r="E33" s="82"/>
    </row>
    <row r="34" spans="2:5" ht="15">
      <c r="B34" s="78" t="s">
        <v>124</v>
      </c>
      <c r="C34" s="84"/>
      <c r="D34" s="82">
        <v>0</v>
      </c>
      <c r="E34" s="82">
        <v>0</v>
      </c>
    </row>
    <row r="35" spans="2:5" ht="15">
      <c r="B35" s="78" t="s">
        <v>125</v>
      </c>
      <c r="C35" s="84"/>
      <c r="D35" s="82">
        <v>0</v>
      </c>
      <c r="E35" s="82">
        <v>0</v>
      </c>
    </row>
    <row r="36" spans="2:5" ht="15">
      <c r="B36" s="85" t="s">
        <v>126</v>
      </c>
      <c r="C36" s="86"/>
      <c r="D36" s="82">
        <v>0</v>
      </c>
      <c r="E36" s="82">
        <v>0</v>
      </c>
    </row>
    <row r="37" spans="2:5" ht="15">
      <c r="B37" s="78" t="s">
        <v>127</v>
      </c>
      <c r="C37" s="87"/>
      <c r="D37" s="82"/>
      <c r="E37" s="82"/>
    </row>
    <row r="38" spans="2:5" ht="14.25">
      <c r="B38" s="88" t="s">
        <v>63</v>
      </c>
      <c r="C38" s="89"/>
      <c r="D38" s="90">
        <f>SUM(D31:D37)/220*1.5</f>
        <v>25.346277272727271</v>
      </c>
      <c r="E38" s="90">
        <f>SUM(E31:E37)/220*2</f>
        <v>0</v>
      </c>
    </row>
    <row r="39" spans="2:5" ht="15">
      <c r="B39" s="70"/>
      <c r="C39" s="71"/>
      <c r="D39" s="72"/>
      <c r="E39" s="2"/>
    </row>
    <row r="40" spans="2:5" ht="16.7" customHeight="1">
      <c r="B40" s="291" t="s">
        <v>128</v>
      </c>
      <c r="C40" s="292"/>
      <c r="D40" s="292"/>
      <c r="E40" s="292"/>
    </row>
    <row r="41" spans="2:5" ht="14.25">
      <c r="B41" s="91" t="s">
        <v>129</v>
      </c>
      <c r="C41" s="92" t="s">
        <v>130</v>
      </c>
      <c r="D41" s="92" t="s">
        <v>67</v>
      </c>
      <c r="E41" s="92" t="s">
        <v>67</v>
      </c>
    </row>
    <row r="42" spans="2:5" ht="15">
      <c r="B42" s="78" t="s">
        <v>131</v>
      </c>
      <c r="C42" s="93">
        <f>1/12</f>
        <v>8.3333333333333329E-2</v>
      </c>
      <c r="D42" s="94">
        <f>C42*D38</f>
        <v>2.1121897727272723</v>
      </c>
      <c r="E42" s="94">
        <f>C42*E38</f>
        <v>0</v>
      </c>
    </row>
    <row r="43" spans="2:5" ht="45">
      <c r="B43" s="191" t="s">
        <v>250</v>
      </c>
      <c r="C43" s="93">
        <f>C42/3</f>
        <v>2.7777777777777776E-2</v>
      </c>
      <c r="D43" s="94">
        <f>C43*D38</f>
        <v>0.7040632575757575</v>
      </c>
      <c r="E43" s="94">
        <f>C43*E38</f>
        <v>0</v>
      </c>
    </row>
    <row r="44" spans="2:5" ht="14.25">
      <c r="B44" s="95" t="s">
        <v>63</v>
      </c>
      <c r="C44" s="96">
        <f>SUM(C42:C43)</f>
        <v>0.1111111111111111</v>
      </c>
      <c r="D44" s="97">
        <f>SUM(D42:D43)</f>
        <v>2.81625303030303</v>
      </c>
      <c r="E44" s="97">
        <f>SUM(E42:E43)</f>
        <v>0</v>
      </c>
    </row>
    <row r="45" spans="2:5" ht="14.25">
      <c r="B45" s="98" t="s">
        <v>132</v>
      </c>
      <c r="C45" s="92" t="s">
        <v>130</v>
      </c>
      <c r="D45" s="92" t="s">
        <v>67</v>
      </c>
      <c r="E45" s="92" t="s">
        <v>67</v>
      </c>
    </row>
    <row r="46" spans="2:5" ht="15">
      <c r="B46" s="78" t="s">
        <v>133</v>
      </c>
      <c r="C46" s="208">
        <v>0.2</v>
      </c>
      <c r="D46" s="99">
        <f>C46*(D38+D44)</f>
        <v>5.6325060606060608</v>
      </c>
      <c r="E46" s="99">
        <f>C46*(E38+E44)</f>
        <v>0</v>
      </c>
    </row>
    <row r="47" spans="2:5" ht="15">
      <c r="B47" s="78" t="s">
        <v>134</v>
      </c>
      <c r="C47" s="208">
        <v>2.5000000000000001E-2</v>
      </c>
      <c r="D47" s="99">
        <f>C47*(D38+D44)</f>
        <v>0.70406325757575761</v>
      </c>
      <c r="E47" s="99">
        <f>C47*(E38+E44)</f>
        <v>0</v>
      </c>
    </row>
    <row r="48" spans="2:5" ht="15">
      <c r="B48" s="78" t="s">
        <v>135</v>
      </c>
      <c r="C48" s="208">
        <v>0.03</v>
      </c>
      <c r="D48" s="99">
        <f>C48*(D38+D44)</f>
        <v>0.84487590909090904</v>
      </c>
      <c r="E48" s="99">
        <f>C48*(E38+E44)</f>
        <v>0</v>
      </c>
    </row>
    <row r="49" spans="2:5" ht="15">
      <c r="B49" s="78" t="s">
        <v>136</v>
      </c>
      <c r="C49" s="208">
        <v>1.4999999999999999E-2</v>
      </c>
      <c r="D49" s="99">
        <f>C49*(D38+D44)</f>
        <v>0.42243795454545452</v>
      </c>
      <c r="E49" s="99">
        <f>C49*(E38+E44)</f>
        <v>0</v>
      </c>
    </row>
    <row r="50" spans="2:5" ht="15">
      <c r="B50" s="78" t="s">
        <v>137</v>
      </c>
      <c r="C50" s="208">
        <v>0.01</v>
      </c>
      <c r="D50" s="99">
        <f>C50*(D38+D44)</f>
        <v>0.28162530303030303</v>
      </c>
      <c r="E50" s="99">
        <f>C50*(E38+E44)</f>
        <v>0</v>
      </c>
    </row>
    <row r="51" spans="2:5" ht="15">
      <c r="B51" s="78" t="s">
        <v>138</v>
      </c>
      <c r="C51" s="208">
        <v>6.0000000000000001E-3</v>
      </c>
      <c r="D51" s="99">
        <f>C51*(D38+D44)</f>
        <v>0.1689751818181818</v>
      </c>
      <c r="E51" s="99">
        <f>C51*(E38+E44)</f>
        <v>0</v>
      </c>
    </row>
    <row r="52" spans="2:5" ht="15">
      <c r="B52" s="78" t="s">
        <v>139</v>
      </c>
      <c r="C52" s="208">
        <v>2E-3</v>
      </c>
      <c r="D52" s="99">
        <f>C52*(D38+D44)</f>
        <v>5.6325060606060608E-2</v>
      </c>
      <c r="E52" s="99">
        <f>C52*(E38+E44)</f>
        <v>0</v>
      </c>
    </row>
    <row r="53" spans="2:5" ht="15">
      <c r="B53" s="78" t="s">
        <v>140</v>
      </c>
      <c r="C53" s="208">
        <v>0.08</v>
      </c>
      <c r="D53" s="99">
        <f>C53*(D38+D44)</f>
        <v>2.2530024242424243</v>
      </c>
      <c r="E53" s="99">
        <f>C53*(E38+E44)</f>
        <v>0</v>
      </c>
    </row>
    <row r="54" spans="2:5" ht="14.25">
      <c r="B54" s="95" t="s">
        <v>63</v>
      </c>
      <c r="C54" s="96">
        <f>SUM(C46:C53)</f>
        <v>0.36800000000000005</v>
      </c>
      <c r="D54" s="100">
        <f>SUM(D46:D53)</f>
        <v>10.363811151515153</v>
      </c>
      <c r="E54" s="100">
        <f>SUM(E46:E53)</f>
        <v>0</v>
      </c>
    </row>
    <row r="55" spans="2:5" ht="28.5">
      <c r="B55" s="101" t="s">
        <v>141</v>
      </c>
      <c r="C55" s="102" t="s">
        <v>120</v>
      </c>
      <c r="D55" s="92" t="s">
        <v>67</v>
      </c>
      <c r="E55" s="92" t="s">
        <v>67</v>
      </c>
    </row>
    <row r="56" spans="2:5" ht="15">
      <c r="B56" s="103" t="s">
        <v>142</v>
      </c>
      <c r="C56" s="104">
        <v>0</v>
      </c>
      <c r="D56" s="105">
        <v>0</v>
      </c>
      <c r="E56" s="105">
        <v>0</v>
      </c>
    </row>
    <row r="57" spans="2:5" ht="15">
      <c r="B57" s="78" t="s">
        <v>143</v>
      </c>
      <c r="C57" s="104">
        <v>0</v>
      </c>
      <c r="D57" s="108">
        <v>0</v>
      </c>
      <c r="E57" s="108">
        <v>0</v>
      </c>
    </row>
    <row r="58" spans="2:5" ht="15">
      <c r="B58" s="106" t="s">
        <v>144</v>
      </c>
      <c r="C58" s="107">
        <v>0</v>
      </c>
      <c r="D58" s="108">
        <f>C58</f>
        <v>0</v>
      </c>
      <c r="E58" s="108">
        <f>C58</f>
        <v>0</v>
      </c>
    </row>
    <row r="59" spans="2:5" ht="15">
      <c r="B59" s="78" t="s">
        <v>145</v>
      </c>
      <c r="C59" s="107">
        <v>0</v>
      </c>
      <c r="D59" s="108">
        <f>C59</f>
        <v>0</v>
      </c>
      <c r="E59" s="108">
        <f>D59</f>
        <v>0</v>
      </c>
    </row>
    <row r="60" spans="2:5" ht="15">
      <c r="B60" s="78" t="s">
        <v>146</v>
      </c>
      <c r="C60" s="109">
        <v>0</v>
      </c>
      <c r="D60" s="108">
        <f>D31*C60*2.5</f>
        <v>0</v>
      </c>
      <c r="E60" s="108">
        <f>E31*C60*2.5</f>
        <v>0</v>
      </c>
    </row>
    <row r="61" spans="2:5" ht="15">
      <c r="B61" s="78" t="s">
        <v>147</v>
      </c>
      <c r="C61" s="109">
        <v>0</v>
      </c>
      <c r="D61" s="110">
        <f>(69926+(69926*0.062163))*C61</f>
        <v>0</v>
      </c>
      <c r="E61" s="110">
        <f>(69926+(69926*0.062163))*C61</f>
        <v>0</v>
      </c>
    </row>
    <row r="62" spans="2:5" ht="14.25">
      <c r="B62" s="95" t="s">
        <v>63</v>
      </c>
      <c r="C62" s="111"/>
      <c r="D62" s="112">
        <f>SUM(D56:D61)</f>
        <v>0</v>
      </c>
      <c r="E62" s="112">
        <f>SUM(E56:E61)</f>
        <v>0</v>
      </c>
    </row>
    <row r="63" spans="2:5" ht="14.25">
      <c r="B63" s="113" t="s">
        <v>148</v>
      </c>
      <c r="C63" s="114" t="s">
        <v>130</v>
      </c>
      <c r="D63" s="77" t="s">
        <v>67</v>
      </c>
      <c r="E63" s="77" t="s">
        <v>67</v>
      </c>
    </row>
    <row r="64" spans="2:5" ht="15">
      <c r="B64" s="115" t="s">
        <v>149</v>
      </c>
      <c r="C64" s="116">
        <f>C44</f>
        <v>0.1111111111111111</v>
      </c>
      <c r="D64" s="117">
        <f>D44</f>
        <v>2.81625303030303</v>
      </c>
      <c r="E64" s="117">
        <f>E44</f>
        <v>0</v>
      </c>
    </row>
    <row r="65" spans="2:6" ht="15">
      <c r="B65" s="118" t="s">
        <v>150</v>
      </c>
      <c r="C65" s="119">
        <f>C54</f>
        <v>0.36800000000000005</v>
      </c>
      <c r="D65" s="94">
        <f>D54</f>
        <v>10.363811151515153</v>
      </c>
      <c r="E65" s="94">
        <f>E54</f>
        <v>0</v>
      </c>
    </row>
    <row r="66" spans="2:6" ht="15">
      <c r="B66" s="118" t="s">
        <v>151</v>
      </c>
      <c r="C66" s="120">
        <v>0</v>
      </c>
      <c r="D66" s="94">
        <f>D62</f>
        <v>0</v>
      </c>
      <c r="E66" s="94">
        <f>E62</f>
        <v>0</v>
      </c>
    </row>
    <row r="67" spans="2:6" ht="14.25">
      <c r="B67" s="88" t="s">
        <v>63</v>
      </c>
      <c r="C67" s="121"/>
      <c r="D67" s="122">
        <f>SUM(D64:D66)</f>
        <v>13.180064181818182</v>
      </c>
      <c r="E67" s="122">
        <f>SUM(E64:E66)</f>
        <v>0</v>
      </c>
    </row>
    <row r="68" spans="2:6" ht="14.25">
      <c r="B68" s="123"/>
      <c r="C68" s="72"/>
      <c r="D68" s="72"/>
      <c r="E68" s="2"/>
    </row>
    <row r="69" spans="2:6" ht="16.7" customHeight="1">
      <c r="B69" s="291" t="s">
        <v>152</v>
      </c>
      <c r="C69" s="292"/>
      <c r="D69" s="292"/>
      <c r="E69" s="292"/>
    </row>
    <row r="70" spans="2:6" ht="14.25">
      <c r="B70" s="124" t="s">
        <v>153</v>
      </c>
      <c r="C70" s="125" t="s">
        <v>130</v>
      </c>
      <c r="D70" s="126" t="s">
        <v>67</v>
      </c>
      <c r="E70" s="126" t="s">
        <v>67</v>
      </c>
    </row>
    <row r="71" spans="2:6" ht="27.75">
      <c r="B71" s="78" t="s">
        <v>154</v>
      </c>
      <c r="C71" s="209">
        <f>1/12*0.05</f>
        <v>4.1666666666666666E-3</v>
      </c>
      <c r="D71" s="94">
        <f>C71*D38</f>
        <v>0.10560948863636363</v>
      </c>
      <c r="E71" s="94">
        <f>C71*E38</f>
        <v>0</v>
      </c>
    </row>
    <row r="72" spans="2:6" ht="15">
      <c r="B72" s="128" t="s">
        <v>155</v>
      </c>
      <c r="C72" s="209">
        <f>C53*C71</f>
        <v>3.3333333333333332E-4</v>
      </c>
      <c r="D72" s="94">
        <f>C72*D38</f>
        <v>8.4487590909090894E-3</v>
      </c>
      <c r="E72" s="94">
        <f>C72*E38</f>
        <v>0</v>
      </c>
    </row>
    <row r="73" spans="2:6" ht="15">
      <c r="B73" s="78" t="s">
        <v>156</v>
      </c>
      <c r="C73" s="209">
        <v>0</v>
      </c>
      <c r="D73" s="94">
        <f>C73*D38</f>
        <v>0</v>
      </c>
      <c r="E73" s="94">
        <f>C73*E38</f>
        <v>0</v>
      </c>
    </row>
    <row r="74" spans="2:6" ht="27.75">
      <c r="B74" s="78" t="s">
        <v>157</v>
      </c>
      <c r="C74" s="209">
        <f>1/30*7/12</f>
        <v>1.9444444444444445E-2</v>
      </c>
      <c r="D74" s="94">
        <f>C74*D38</f>
        <v>0.49284428030303029</v>
      </c>
      <c r="E74" s="94">
        <f>C74*E38</f>
        <v>0</v>
      </c>
    </row>
    <row r="75" spans="2:6" ht="30">
      <c r="B75" s="78" t="s">
        <v>158</v>
      </c>
      <c r="C75" s="209">
        <f>C54*C74</f>
        <v>7.1555555555555565E-3</v>
      </c>
      <c r="D75" s="94">
        <f>C75*D38</f>
        <v>0.18136669515151516</v>
      </c>
      <c r="E75" s="94">
        <f>C75*E38</f>
        <v>0</v>
      </c>
      <c r="F75" s="129"/>
    </row>
    <row r="76" spans="2:6" ht="30">
      <c r="B76" s="78" t="s">
        <v>159</v>
      </c>
      <c r="C76" s="210">
        <f>0.08*0.4*0.9*(1+(1/12)+(1/12)+(1/3*1/12))</f>
        <v>3.4399999999999993E-2</v>
      </c>
      <c r="D76" s="94">
        <f>C76*D38</f>
        <v>0.87191193818181789</v>
      </c>
      <c r="E76" s="94">
        <f>C76*E38</f>
        <v>0</v>
      </c>
    </row>
    <row r="77" spans="2:6" ht="14.25">
      <c r="B77" s="88" t="s">
        <v>63</v>
      </c>
      <c r="C77" s="131">
        <f>SUM(C71:C76)</f>
        <v>6.5500000000000003E-2</v>
      </c>
      <c r="D77" s="122">
        <f>SUM(D71:D76)</f>
        <v>1.6601811613636359</v>
      </c>
      <c r="E77" s="122">
        <f>SUM(E71:E76)</f>
        <v>0</v>
      </c>
    </row>
    <row r="78" spans="2:6">
      <c r="B78" s="132"/>
      <c r="C78" s="133"/>
      <c r="D78" s="133"/>
      <c r="E78" s="2"/>
    </row>
    <row r="79" spans="2:6" ht="16.7" customHeight="1">
      <c r="B79" s="291" t="s">
        <v>160</v>
      </c>
      <c r="C79" s="292"/>
      <c r="D79" s="292"/>
      <c r="E79" s="292"/>
    </row>
    <row r="80" spans="2:6" ht="14.25">
      <c r="B80" s="134" t="s">
        <v>161</v>
      </c>
      <c r="C80" s="135" t="s">
        <v>130</v>
      </c>
      <c r="D80" s="92" t="s">
        <v>67</v>
      </c>
      <c r="E80" s="92" t="s">
        <v>67</v>
      </c>
    </row>
    <row r="81" spans="2:5" ht="15">
      <c r="B81" s="78" t="s">
        <v>162</v>
      </c>
      <c r="C81" s="93">
        <f>1/12</f>
        <v>8.3333333333333329E-2</v>
      </c>
      <c r="D81" s="99">
        <f>C81*(D38+D67+D77)</f>
        <v>3.3488768846590906</v>
      </c>
      <c r="E81" s="99">
        <f>C81*(E38+E67+E77)</f>
        <v>0</v>
      </c>
    </row>
    <row r="82" spans="2:5" ht="15">
      <c r="B82" s="78" t="s">
        <v>163</v>
      </c>
      <c r="C82" s="136">
        <f>'Memória de Cálculo'!B13</f>
        <v>8.2000000000000007E-3</v>
      </c>
      <c r="D82" s="99">
        <f>C82*(D38+D67+D77)</f>
        <v>0.32952948545045457</v>
      </c>
      <c r="E82" s="99">
        <f>C82*(E38+E67+E77)</f>
        <v>0</v>
      </c>
    </row>
    <row r="83" spans="2:5" ht="15">
      <c r="B83" s="78" t="s">
        <v>164</v>
      </c>
      <c r="C83" s="136">
        <f>'Memória de Cálculo'!B17</f>
        <v>3.2100444444444441E-4</v>
      </c>
      <c r="D83" s="99">
        <f>C83*(D38+D67+D77)</f>
        <v>1.2900052366473999E-2</v>
      </c>
      <c r="E83" s="99">
        <f>C83*(E38+E67+E77)</f>
        <v>0</v>
      </c>
    </row>
    <row r="84" spans="2:5" ht="15">
      <c r="B84" s="78" t="s">
        <v>165</v>
      </c>
      <c r="C84" s="136">
        <f>'Memória de Cálculo'!B21</f>
        <v>1.5305423328660365E-2</v>
      </c>
      <c r="D84" s="99">
        <f>C84*(D38+D67+D77)</f>
        <v>0.61507174074327231</v>
      </c>
      <c r="E84" s="99">
        <f>C84*(E38+E67+E77)</f>
        <v>0</v>
      </c>
    </row>
    <row r="85" spans="2:5" ht="15">
      <c r="B85" s="78" t="s">
        <v>166</v>
      </c>
      <c r="C85" s="93">
        <f>'Memória de Cálculo'!B25</f>
        <v>1.2037132799999999E-3</v>
      </c>
      <c r="D85" s="99">
        <f>C85*(D38+D67+D77)</f>
        <v>4.8373050949790108E-2</v>
      </c>
      <c r="E85" s="99">
        <f>C85*(E38+E67+E77)</f>
        <v>0</v>
      </c>
    </row>
    <row r="86" spans="2:5" ht="15">
      <c r="B86" s="78" t="s">
        <v>167</v>
      </c>
      <c r="C86" s="136">
        <v>0</v>
      </c>
      <c r="D86" s="99">
        <f>C86*(D38+D67+D77)</f>
        <v>0</v>
      </c>
      <c r="E86" s="99">
        <f>C86*(E38+E67+E77)</f>
        <v>0</v>
      </c>
    </row>
    <row r="87" spans="2:5" ht="14.25">
      <c r="B87" s="88" t="s">
        <v>63</v>
      </c>
      <c r="C87" s="137">
        <f>SUM(C81:C86)</f>
        <v>0.10836347438643813</v>
      </c>
      <c r="D87" s="122">
        <f>SUM(D81:D86)</f>
        <v>4.354751214169081</v>
      </c>
      <c r="E87" s="122">
        <f>SUM(E81:E86)</f>
        <v>0</v>
      </c>
    </row>
    <row r="88" spans="2:5" ht="14.25">
      <c r="B88" s="134" t="s">
        <v>168</v>
      </c>
      <c r="C88" s="135" t="s">
        <v>130</v>
      </c>
      <c r="D88" s="92" t="s">
        <v>67</v>
      </c>
      <c r="E88" s="92" t="s">
        <v>67</v>
      </c>
    </row>
    <row r="89" spans="2:5" ht="30">
      <c r="B89" s="138" t="s">
        <v>169</v>
      </c>
      <c r="C89" s="139">
        <v>0.5</v>
      </c>
      <c r="D89" s="140">
        <v>0</v>
      </c>
      <c r="E89" s="140">
        <v>0</v>
      </c>
    </row>
    <row r="90" spans="2:5" ht="14.25">
      <c r="B90" s="88" t="s">
        <v>63</v>
      </c>
      <c r="C90" s="137"/>
      <c r="D90" s="122">
        <f>SUM(D89:D89)</f>
        <v>0</v>
      </c>
      <c r="E90" s="122">
        <f>SUM(E89:E89)</f>
        <v>0</v>
      </c>
    </row>
    <row r="91" spans="2:5" ht="14.25">
      <c r="B91" s="141"/>
      <c r="C91" s="142"/>
      <c r="D91" s="72"/>
      <c r="E91" s="72"/>
    </row>
    <row r="92" spans="2:5" ht="14.25">
      <c r="B92" s="124" t="s">
        <v>170</v>
      </c>
      <c r="C92" s="125" t="s">
        <v>130</v>
      </c>
      <c r="D92" s="126" t="s">
        <v>67</v>
      </c>
      <c r="E92" s="126" t="s">
        <v>67</v>
      </c>
    </row>
    <row r="93" spans="2:5" ht="15">
      <c r="B93" s="138" t="s">
        <v>171</v>
      </c>
      <c r="C93" s="139">
        <f>C87</f>
        <v>0.10836347438643813</v>
      </c>
      <c r="D93" s="140">
        <f>D87</f>
        <v>4.354751214169081</v>
      </c>
      <c r="E93" s="140">
        <f>E87</f>
        <v>0</v>
      </c>
    </row>
    <row r="94" spans="2:5" ht="15">
      <c r="B94" s="143" t="s">
        <v>172</v>
      </c>
      <c r="C94" s="139">
        <f>C89</f>
        <v>0.5</v>
      </c>
      <c r="D94" s="140">
        <f>D90</f>
        <v>0</v>
      </c>
      <c r="E94" s="140">
        <f>E90</f>
        <v>0</v>
      </c>
    </row>
    <row r="95" spans="2:5" ht="14.25">
      <c r="B95" s="88" t="s">
        <v>63</v>
      </c>
      <c r="C95" s="144"/>
      <c r="D95" s="122">
        <f>SUM(D93:D94)</f>
        <v>4.354751214169081</v>
      </c>
      <c r="E95" s="122">
        <f>SUM(E93:E94)</f>
        <v>0</v>
      </c>
    </row>
    <row r="96" spans="2:5">
      <c r="B96" s="132"/>
      <c r="C96" s="145"/>
      <c r="D96" s="133"/>
      <c r="E96" s="2"/>
    </row>
    <row r="97" spans="2:5" ht="16.7" customHeight="1">
      <c r="B97" s="291" t="s">
        <v>173</v>
      </c>
      <c r="C97" s="292"/>
      <c r="D97" s="292"/>
      <c r="E97" s="292"/>
    </row>
    <row r="98" spans="2:5" ht="28.5">
      <c r="B98" s="124" t="s">
        <v>174</v>
      </c>
      <c r="C98" s="146" t="s">
        <v>120</v>
      </c>
      <c r="D98" s="126" t="s">
        <v>67</v>
      </c>
      <c r="E98" s="126" t="s">
        <v>67</v>
      </c>
    </row>
    <row r="99" spans="2:5" ht="15">
      <c r="B99" s="78" t="s">
        <v>175</v>
      </c>
      <c r="C99" s="147">
        <v>0</v>
      </c>
      <c r="D99" s="148">
        <f>C99</f>
        <v>0</v>
      </c>
      <c r="E99" s="148">
        <f t="shared" ref="E99:E102" si="0">C99</f>
        <v>0</v>
      </c>
    </row>
    <row r="100" spans="2:5" ht="15">
      <c r="B100" s="78" t="s">
        <v>176</v>
      </c>
      <c r="C100" s="147">
        <v>0</v>
      </c>
      <c r="D100" s="148">
        <f>C100</f>
        <v>0</v>
      </c>
      <c r="E100" s="148">
        <f t="shared" si="0"/>
        <v>0</v>
      </c>
    </row>
    <row r="101" spans="2:5" ht="15">
      <c r="B101" s="78" t="s">
        <v>177</v>
      </c>
      <c r="C101" s="147">
        <v>0</v>
      </c>
      <c r="D101" s="148">
        <f>C101</f>
        <v>0</v>
      </c>
      <c r="E101" s="148">
        <f t="shared" si="0"/>
        <v>0</v>
      </c>
    </row>
    <row r="102" spans="2:5" ht="15">
      <c r="B102" s="78" t="s">
        <v>178</v>
      </c>
      <c r="C102" s="147">
        <v>0</v>
      </c>
      <c r="D102" s="94">
        <f>C102</f>
        <v>0</v>
      </c>
      <c r="E102" s="94">
        <f t="shared" si="0"/>
        <v>0</v>
      </c>
    </row>
    <row r="103" spans="2:5" ht="14.25">
      <c r="B103" s="149" t="s">
        <v>63</v>
      </c>
      <c r="C103" s="122">
        <f>SUM(C99:C102)</f>
        <v>0</v>
      </c>
      <c r="D103" s="122">
        <f>SUM(D99:D102)</f>
        <v>0</v>
      </c>
      <c r="E103" s="122">
        <f>SUM(E99:E102)</f>
        <v>0</v>
      </c>
    </row>
    <row r="104" spans="2:5" ht="14.25">
      <c r="B104" s="123"/>
      <c r="C104" s="150"/>
      <c r="D104" s="72"/>
      <c r="E104" s="2"/>
    </row>
    <row r="105" spans="2:5" ht="16.7" customHeight="1">
      <c r="B105" s="291" t="s">
        <v>179</v>
      </c>
      <c r="C105" s="292"/>
      <c r="D105" s="292"/>
      <c r="E105" s="292"/>
    </row>
    <row r="106" spans="2:5" ht="14.25">
      <c r="B106" s="75" t="s">
        <v>180</v>
      </c>
      <c r="C106" s="151" t="s">
        <v>130</v>
      </c>
      <c r="D106" s="77" t="s">
        <v>67</v>
      </c>
      <c r="E106" s="77" t="s">
        <v>67</v>
      </c>
    </row>
    <row r="107" spans="2:5" ht="15">
      <c r="B107" s="78" t="s">
        <v>181</v>
      </c>
      <c r="C107" s="210">
        <v>0.06</v>
      </c>
      <c r="D107" s="117">
        <f>C107*(D38+D67+D77+D95+D103)</f>
        <v>2.6724764298046901</v>
      </c>
      <c r="E107" s="117">
        <f>C107*(E38+E67+E77+E95+E103)</f>
        <v>0</v>
      </c>
    </row>
    <row r="108" spans="2:5" ht="15">
      <c r="B108" s="78" t="s">
        <v>182</v>
      </c>
      <c r="C108" s="210">
        <v>6.7900000000000002E-2</v>
      </c>
      <c r="D108" s="94">
        <f>C108*(D38+D67+D77+D95+D103+D107)</f>
        <v>3.2058136426460462</v>
      </c>
      <c r="E108" s="94">
        <f>C108*(E38+E67+E77+E95+E103+E107)</f>
        <v>0</v>
      </c>
    </row>
    <row r="109" spans="2:5" ht="27.75">
      <c r="B109" s="78" t="s">
        <v>183</v>
      </c>
      <c r="C109" s="127">
        <f>SUM(C110:C114)</f>
        <v>8.6499999999999994E-2</v>
      </c>
      <c r="D109" s="94">
        <f>((D38+D67+D77+D95+D103+D107+D108)/(1-C109))*C109</f>
        <v>4.7742663137041603</v>
      </c>
      <c r="E109" s="94">
        <f>((E38+E67+E77+E95+E103+E107+E108)/(1-C109))*C109</f>
        <v>0</v>
      </c>
    </row>
    <row r="110" spans="2:5" ht="15">
      <c r="B110" s="152" t="s">
        <v>184</v>
      </c>
      <c r="C110" s="127">
        <f>0.03</f>
        <v>0.03</v>
      </c>
      <c r="D110" s="153">
        <f>((D38+D67+D77+D95+D103+D107+D108)/(1-C109))*C110</f>
        <v>1.655814906486992</v>
      </c>
      <c r="E110" s="153">
        <f>((E38+E67+E77+E95+E103+E107+E108)/(1-C109))*C110</f>
        <v>0</v>
      </c>
    </row>
    <row r="111" spans="2:5" ht="15">
      <c r="B111" s="152" t="s">
        <v>185</v>
      </c>
      <c r="C111" s="127">
        <f>0.0065</f>
        <v>6.4999999999999997E-3</v>
      </c>
      <c r="D111" s="153">
        <f>((D38+D67+D77+D95+D103+D107+D108)/(1-C109))*C111</f>
        <v>0.35875989640551492</v>
      </c>
      <c r="E111" s="153">
        <f>((E38+E67+E77+E95+E103+E107+E108)/(1-C109))*C111</f>
        <v>0</v>
      </c>
    </row>
    <row r="112" spans="2:5" ht="15">
      <c r="B112" s="152" t="s">
        <v>186</v>
      </c>
      <c r="C112" s="154"/>
      <c r="D112" s="155"/>
      <c r="E112" s="155"/>
    </row>
    <row r="113" spans="2:5" ht="15">
      <c r="B113" s="152" t="s">
        <v>187</v>
      </c>
      <c r="C113" s="127">
        <v>0.05</v>
      </c>
      <c r="D113" s="153">
        <f>((D38+D67+D77+D95+D103+D107+D108)/(1-C109))*C113</f>
        <v>2.7596915108116535</v>
      </c>
      <c r="E113" s="153">
        <f>((E38+E67+E77+E95+E103+E107+E108)/(1-C109))*C113</f>
        <v>0</v>
      </c>
    </row>
    <row r="114" spans="2:5" ht="15">
      <c r="B114" s="152" t="s">
        <v>188</v>
      </c>
      <c r="C114" s="156"/>
      <c r="D114" s="157"/>
      <c r="E114" s="157"/>
    </row>
    <row r="115" spans="2:5" ht="15">
      <c r="B115" s="149" t="s">
        <v>63</v>
      </c>
      <c r="C115" s="158"/>
      <c r="D115" s="122">
        <f>SUM(D107:D109)</f>
        <v>10.652556386154897</v>
      </c>
      <c r="E115" s="122">
        <f>SUM(E107:E109)</f>
        <v>0</v>
      </c>
    </row>
    <row r="116" spans="2:5">
      <c r="B116" s="132"/>
      <c r="C116" s="145"/>
      <c r="D116" s="133"/>
      <c r="E116" s="2"/>
    </row>
    <row r="117" spans="2:5" ht="16.7" customHeight="1">
      <c r="B117" s="297" t="s">
        <v>189</v>
      </c>
      <c r="C117" s="298"/>
      <c r="D117" s="298"/>
      <c r="E117" s="298"/>
    </row>
    <row r="118" spans="2:5" ht="16.7" customHeight="1">
      <c r="B118" s="299" t="s">
        <v>190</v>
      </c>
      <c r="C118" s="299"/>
      <c r="D118" s="159" t="s">
        <v>67</v>
      </c>
      <c r="E118" s="159" t="s">
        <v>67</v>
      </c>
    </row>
    <row r="119" spans="2:5" ht="16.7" customHeight="1">
      <c r="B119" s="300" t="s">
        <v>191</v>
      </c>
      <c r="C119" s="300"/>
      <c r="D119" s="111">
        <f>D38</f>
        <v>25.346277272727271</v>
      </c>
      <c r="E119" s="111">
        <f>E38</f>
        <v>0</v>
      </c>
    </row>
    <row r="120" spans="2:5" ht="16.7" customHeight="1">
      <c r="B120" s="300" t="s">
        <v>192</v>
      </c>
      <c r="C120" s="300"/>
      <c r="D120" s="111">
        <f>D67</f>
        <v>13.180064181818182</v>
      </c>
      <c r="E120" s="111">
        <f>E67</f>
        <v>0</v>
      </c>
    </row>
    <row r="121" spans="2:5" ht="16.7" customHeight="1">
      <c r="B121" s="300" t="s">
        <v>193</v>
      </c>
      <c r="C121" s="300"/>
      <c r="D121" s="111">
        <f>D77</f>
        <v>1.6601811613636359</v>
      </c>
      <c r="E121" s="111">
        <f>E77</f>
        <v>0</v>
      </c>
    </row>
    <row r="122" spans="2:5" ht="16.7" customHeight="1">
      <c r="B122" s="300" t="s">
        <v>194</v>
      </c>
      <c r="C122" s="300"/>
      <c r="D122" s="111">
        <f>D95</f>
        <v>4.354751214169081</v>
      </c>
      <c r="E122" s="111">
        <f>E95</f>
        <v>0</v>
      </c>
    </row>
    <row r="123" spans="2:5" ht="16.7" customHeight="1">
      <c r="B123" s="300" t="s">
        <v>195</v>
      </c>
      <c r="C123" s="300"/>
      <c r="D123" s="111">
        <f>D103</f>
        <v>0</v>
      </c>
      <c r="E123" s="111">
        <f>E103</f>
        <v>0</v>
      </c>
    </row>
    <row r="124" spans="2:5" ht="16.7" customHeight="1">
      <c r="B124" s="301" t="s">
        <v>196</v>
      </c>
      <c r="C124" s="301"/>
      <c r="D124" s="160">
        <f>SUM(D119:D123)</f>
        <v>44.541273830078168</v>
      </c>
      <c r="E124" s="160">
        <f>SUM(E119:E123)</f>
        <v>0</v>
      </c>
    </row>
    <row r="125" spans="2:5" ht="16.7" customHeight="1">
      <c r="B125" s="300" t="s">
        <v>197</v>
      </c>
      <c r="C125" s="300"/>
      <c r="D125" s="111">
        <f>D115</f>
        <v>10.652556386154897</v>
      </c>
      <c r="E125" s="111">
        <f>E115</f>
        <v>0</v>
      </c>
    </row>
    <row r="126" spans="2:5" ht="15">
      <c r="B126" s="161" t="s">
        <v>198</v>
      </c>
      <c r="C126" s="162"/>
      <c r="D126" s="163">
        <f>ROUND(D119+D120+D121+D122+D123+D125,2)</f>
        <v>55.19</v>
      </c>
      <c r="E126" s="163">
        <f>ROUND(E119+E120+E121+E122+E123+E125,2)</f>
        <v>0</v>
      </c>
    </row>
    <row r="127" spans="2:5" ht="15">
      <c r="B127" s="123"/>
      <c r="C127" s="150"/>
      <c r="D127" s="72"/>
      <c r="E127" s="164"/>
    </row>
    <row r="128" spans="2:5" ht="18">
      <c r="B128" s="302" t="s">
        <v>199</v>
      </c>
      <c r="C128" s="302"/>
      <c r="D128" s="302"/>
      <c r="E128" s="302"/>
    </row>
    <row r="129" spans="2:5" ht="31.5">
      <c r="B129" s="193" t="s">
        <v>200</v>
      </c>
      <c r="C129" s="193" t="s">
        <v>201</v>
      </c>
      <c r="D129" s="193" t="s">
        <v>202</v>
      </c>
      <c r="E129" s="194" t="s">
        <v>203</v>
      </c>
    </row>
    <row r="130" spans="2:5" ht="15">
      <c r="B130" s="195" t="s">
        <v>257</v>
      </c>
      <c r="C130" s="218">
        <f>D16</f>
        <v>2.0833333333333335</v>
      </c>
      <c r="D130" s="197">
        <f>D126</f>
        <v>55.19</v>
      </c>
      <c r="E130" s="198">
        <f>C130*D130</f>
        <v>114.97916666666667</v>
      </c>
    </row>
    <row r="131" spans="2:5" ht="15">
      <c r="B131" s="195" t="s">
        <v>258</v>
      </c>
      <c r="C131" s="196">
        <f>E16</f>
        <v>0</v>
      </c>
      <c r="D131" s="197">
        <f>E126</f>
        <v>0</v>
      </c>
      <c r="E131" s="198">
        <f>C131*D131</f>
        <v>0</v>
      </c>
    </row>
    <row r="132" spans="2:5" ht="16.5" customHeight="1">
      <c r="B132" s="303" t="s">
        <v>204</v>
      </c>
      <c r="C132" s="303"/>
      <c r="D132" s="199"/>
      <c r="E132" s="198">
        <f>SUM(E130:E131)</f>
        <v>114.97916666666667</v>
      </c>
    </row>
    <row r="133" spans="2:5" ht="15">
      <c r="B133" s="123"/>
      <c r="C133" s="150"/>
      <c r="D133" s="72"/>
      <c r="E133" s="164"/>
    </row>
    <row r="134" spans="2:5">
      <c r="E134" s="49"/>
    </row>
  </sheetData>
  <mergeCells count="35">
    <mergeCell ref="B123:C123"/>
    <mergeCell ref="B124:C124"/>
    <mergeCell ref="B125:C125"/>
    <mergeCell ref="B128:E128"/>
    <mergeCell ref="B132:C132"/>
    <mergeCell ref="B118:C118"/>
    <mergeCell ref="B119:C119"/>
    <mergeCell ref="B120:C120"/>
    <mergeCell ref="B121:C121"/>
    <mergeCell ref="B122:C122"/>
    <mergeCell ref="B69:E69"/>
    <mergeCell ref="B79:E79"/>
    <mergeCell ref="B97:E97"/>
    <mergeCell ref="B105:E105"/>
    <mergeCell ref="B117:E117"/>
    <mergeCell ref="C24:E24"/>
    <mergeCell ref="C25:E25"/>
    <mergeCell ref="C26:E26"/>
    <mergeCell ref="B29:E29"/>
    <mergeCell ref="B40:E40"/>
    <mergeCell ref="B19:E19"/>
    <mergeCell ref="B20:E20"/>
    <mergeCell ref="C21:E21"/>
    <mergeCell ref="C22:E22"/>
    <mergeCell ref="C23:E23"/>
    <mergeCell ref="C9:E9"/>
    <mergeCell ref="C10:E10"/>
    <mergeCell ref="C11:E11"/>
    <mergeCell ref="C12:E12"/>
    <mergeCell ref="B14:E14"/>
    <mergeCell ref="B1:E1"/>
    <mergeCell ref="B2:E2"/>
    <mergeCell ref="C4:E4"/>
    <mergeCell ref="C5:E5"/>
    <mergeCell ref="C6:E6"/>
  </mergeCells>
  <pageMargins left="0.78749999999999998" right="0.78749999999999998" top="0.78749999999999998" bottom="0.78749999999999998" header="0.511811023622047" footer="0.511811023622047"/>
  <pageSetup paperSize="9" scale="60" orientation="portrait" horizontalDpi="300" verticalDpi="300" r:id="rId1"/>
  <rowBreaks count="1" manualBreakCount="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137"/>
  <sheetViews>
    <sheetView showGridLines="0" zoomScaleNormal="100" workbookViewId="0">
      <selection activeCell="C132" sqref="C132"/>
    </sheetView>
  </sheetViews>
  <sheetFormatPr defaultColWidth="8.5703125" defaultRowHeight="12.75"/>
  <cols>
    <col min="1" max="1" width="6.140625" customWidth="1"/>
    <col min="2" max="2" width="73.140625" customWidth="1"/>
    <col min="3" max="3" width="15.28515625" customWidth="1"/>
    <col min="4" max="4" width="14.42578125" customWidth="1"/>
    <col min="5" max="5" width="12" customWidth="1"/>
    <col min="6" max="6" width="12.28515625" customWidth="1"/>
    <col min="7" max="8" width="10.7109375" customWidth="1"/>
  </cols>
  <sheetData>
    <row r="1" spans="2:6" ht="23.25">
      <c r="B1" s="286" t="s">
        <v>0</v>
      </c>
      <c r="C1" s="286"/>
      <c r="D1" s="286"/>
      <c r="E1" s="286"/>
    </row>
    <row r="2" spans="2:6" ht="16.7" customHeight="1">
      <c r="B2" s="287" t="s">
        <v>89</v>
      </c>
      <c r="C2" s="287"/>
      <c r="D2" s="287"/>
      <c r="E2" s="287"/>
    </row>
    <row r="3" spans="2:6" ht="14.25">
      <c r="B3" s="52"/>
      <c r="C3" s="52"/>
      <c r="D3" s="52"/>
      <c r="E3" s="2"/>
    </row>
    <row r="4" spans="2:6" ht="14.25">
      <c r="B4" s="53" t="s">
        <v>90</v>
      </c>
      <c r="C4" s="304" t="s">
        <v>266</v>
      </c>
      <c r="D4" s="304"/>
      <c r="E4" s="304"/>
      <c r="F4" s="304"/>
    </row>
    <row r="5" spans="2:6" ht="14.25">
      <c r="B5" s="53" t="s">
        <v>91</v>
      </c>
      <c r="C5" s="305" t="s">
        <v>232</v>
      </c>
      <c r="D5" s="305"/>
      <c r="E5" s="305"/>
      <c r="F5" s="305"/>
    </row>
    <row r="6" spans="2:6" ht="14.25">
      <c r="B6" s="53" t="s">
        <v>92</v>
      </c>
      <c r="C6" s="306" t="s">
        <v>231</v>
      </c>
      <c r="D6" s="307"/>
      <c r="E6" s="307"/>
      <c r="F6" s="307"/>
    </row>
    <row r="7" spans="2:6" ht="14.25">
      <c r="B7" s="53"/>
      <c r="C7" s="165"/>
      <c r="D7" s="165"/>
      <c r="E7" s="166"/>
      <c r="F7" s="167"/>
    </row>
    <row r="8" spans="2:6" ht="15">
      <c r="B8" s="54" t="s">
        <v>93</v>
      </c>
      <c r="C8" s="168"/>
      <c r="D8" s="169"/>
      <c r="E8" s="166"/>
      <c r="F8" s="167"/>
    </row>
    <row r="9" spans="2:6" ht="15.75">
      <c r="B9" s="57" t="s">
        <v>94</v>
      </c>
      <c r="C9" s="308" t="s">
        <v>231</v>
      </c>
      <c r="D9" s="308"/>
      <c r="E9" s="308"/>
      <c r="F9" s="308"/>
    </row>
    <row r="10" spans="2:6" ht="15.75">
      <c r="B10" s="57" t="s">
        <v>95</v>
      </c>
      <c r="C10" s="290" t="s">
        <v>96</v>
      </c>
      <c r="D10" s="290"/>
      <c r="E10" s="290"/>
      <c r="F10" s="290"/>
    </row>
    <row r="11" spans="2:6" ht="15.75">
      <c r="B11" s="58" t="s">
        <v>97</v>
      </c>
      <c r="C11" s="290" t="s">
        <v>263</v>
      </c>
      <c r="D11" s="290"/>
      <c r="E11" s="290"/>
      <c r="F11" s="290"/>
    </row>
    <row r="12" spans="2:6" ht="15.75">
      <c r="B12" s="57" t="s">
        <v>98</v>
      </c>
      <c r="C12" s="290">
        <v>12</v>
      </c>
      <c r="D12" s="290"/>
      <c r="E12" s="290"/>
      <c r="F12" s="290"/>
    </row>
    <row r="13" spans="2:6" ht="14.25">
      <c r="B13" s="59"/>
      <c r="C13" s="170"/>
      <c r="D13" s="171"/>
      <c r="E13" s="166"/>
      <c r="F13" s="167"/>
    </row>
    <row r="14" spans="2:6" ht="14.25" customHeight="1">
      <c r="B14" s="309" t="s">
        <v>99</v>
      </c>
      <c r="C14" s="309"/>
      <c r="D14" s="309"/>
      <c r="E14" s="309"/>
      <c r="F14" s="309"/>
    </row>
    <row r="15" spans="2:6" ht="57">
      <c r="B15" s="62" t="s">
        <v>100</v>
      </c>
      <c r="C15" s="62" t="s">
        <v>101</v>
      </c>
      <c r="D15" s="62" t="s">
        <v>205</v>
      </c>
      <c r="E15" s="62" t="s">
        <v>206</v>
      </c>
      <c r="F15" s="62" t="s">
        <v>207</v>
      </c>
    </row>
    <row r="16" spans="2:6" ht="60">
      <c r="B16" s="63" t="s">
        <v>208</v>
      </c>
      <c r="C16" s="64" t="s">
        <v>209</v>
      </c>
      <c r="D16" s="65">
        <f>Resumo!E31</f>
        <v>5</v>
      </c>
      <c r="E16" s="65">
        <f>Resumo!E27</f>
        <v>27</v>
      </c>
      <c r="F16" s="65">
        <f>Resumo!E30</f>
        <v>9</v>
      </c>
    </row>
    <row r="17" spans="2:6" ht="15">
      <c r="B17" s="66"/>
      <c r="C17" s="67"/>
      <c r="D17" s="56"/>
      <c r="E17" s="2"/>
    </row>
    <row r="18" spans="2:6" ht="15">
      <c r="B18" s="66"/>
      <c r="C18" s="67"/>
      <c r="D18" s="56"/>
      <c r="E18" s="2"/>
    </row>
    <row r="19" spans="2:6" ht="16.7" customHeight="1">
      <c r="B19" s="309" t="s">
        <v>105</v>
      </c>
      <c r="C19" s="309"/>
      <c r="D19" s="309"/>
      <c r="E19" s="309"/>
      <c r="F19" s="309"/>
    </row>
    <row r="20" spans="2:6" ht="16.7" customHeight="1">
      <c r="B20" s="293" t="s">
        <v>106</v>
      </c>
      <c r="C20" s="293"/>
      <c r="D20" s="293"/>
      <c r="E20" s="293"/>
      <c r="F20" s="293"/>
    </row>
    <row r="21" spans="2:6" ht="15.75">
      <c r="B21" s="68" t="s">
        <v>107</v>
      </c>
      <c r="C21" s="295" t="s">
        <v>108</v>
      </c>
      <c r="D21" s="295"/>
      <c r="E21" s="295"/>
      <c r="F21" s="295"/>
    </row>
    <row r="22" spans="2:6" ht="15.75">
      <c r="B22" s="68" t="s">
        <v>109</v>
      </c>
      <c r="C22" s="295" t="s">
        <v>110</v>
      </c>
      <c r="D22" s="295"/>
      <c r="E22" s="295"/>
      <c r="F22" s="295"/>
    </row>
    <row r="23" spans="2:6" ht="15.75">
      <c r="B23" s="69" t="s">
        <v>111</v>
      </c>
      <c r="C23" s="296">
        <v>2859.58</v>
      </c>
      <c r="D23" s="296"/>
      <c r="E23" s="296"/>
      <c r="F23" s="296"/>
    </row>
    <row r="24" spans="2:6" ht="15.75">
      <c r="B24" s="69" t="s">
        <v>112</v>
      </c>
      <c r="C24" s="295" t="s">
        <v>113</v>
      </c>
      <c r="D24" s="295"/>
      <c r="E24" s="295"/>
      <c r="F24" s="295"/>
    </row>
    <row r="25" spans="2:6" ht="15.75">
      <c r="B25" s="69" t="s">
        <v>114</v>
      </c>
      <c r="C25" s="295" t="s">
        <v>265</v>
      </c>
      <c r="D25" s="295"/>
      <c r="E25" s="295"/>
      <c r="F25" s="295"/>
    </row>
    <row r="26" spans="2:6" ht="15.75">
      <c r="B26" s="69" t="s">
        <v>115</v>
      </c>
      <c r="C26" s="295" t="s">
        <v>264</v>
      </c>
      <c r="D26" s="295"/>
      <c r="E26" s="295"/>
      <c r="F26" s="295"/>
    </row>
    <row r="27" spans="2:6" ht="15">
      <c r="B27" s="70"/>
      <c r="C27" s="71"/>
      <c r="D27" s="72"/>
      <c r="E27" s="2"/>
    </row>
    <row r="28" spans="2:6" ht="42.75">
      <c r="B28" s="172" t="s">
        <v>116</v>
      </c>
      <c r="C28" s="173" t="s">
        <v>117</v>
      </c>
      <c r="D28" s="173" t="s">
        <v>210</v>
      </c>
      <c r="E28" s="173" t="s">
        <v>211</v>
      </c>
      <c r="F28" s="173" t="s">
        <v>212</v>
      </c>
    </row>
    <row r="29" spans="2:6" ht="16.7" customHeight="1">
      <c r="B29" s="309" t="s">
        <v>118</v>
      </c>
      <c r="C29" s="309"/>
      <c r="D29" s="309"/>
      <c r="E29" s="309"/>
      <c r="F29" s="309"/>
    </row>
    <row r="30" spans="2:6" ht="28.5">
      <c r="B30" s="75" t="s">
        <v>119</v>
      </c>
      <c r="C30" s="76" t="s">
        <v>120</v>
      </c>
      <c r="D30" s="77" t="s">
        <v>67</v>
      </c>
      <c r="E30" s="77" t="s">
        <v>67</v>
      </c>
      <c r="F30" s="77" t="s">
        <v>67</v>
      </c>
    </row>
    <row r="31" spans="2:6" ht="15">
      <c r="B31" s="78" t="s">
        <v>213</v>
      </c>
      <c r="C31" s="79">
        <f>C23</f>
        <v>2859.58</v>
      </c>
      <c r="D31" s="80">
        <f>C31</f>
        <v>2859.58</v>
      </c>
      <c r="E31" s="80">
        <f>C31</f>
        <v>2859.58</v>
      </c>
      <c r="F31" s="80">
        <f>C31</f>
        <v>2859.58</v>
      </c>
    </row>
    <row r="32" spans="2:6" ht="15">
      <c r="B32" s="78" t="s">
        <v>214</v>
      </c>
      <c r="C32" s="81">
        <v>0.3</v>
      </c>
      <c r="D32" s="82">
        <f>D31*C32</f>
        <v>857.87399999999991</v>
      </c>
      <c r="E32" s="82">
        <f>E31*C32</f>
        <v>857.87399999999991</v>
      </c>
      <c r="F32" s="82">
        <f>F31*C32</f>
        <v>857.87399999999991</v>
      </c>
    </row>
    <row r="33" spans="2:6" ht="15">
      <c r="B33" s="78" t="s">
        <v>123</v>
      </c>
      <c r="C33" s="83"/>
      <c r="D33" s="82"/>
      <c r="E33" s="82"/>
      <c r="F33" s="82"/>
    </row>
    <row r="34" spans="2:6" ht="15">
      <c r="B34" s="78" t="s">
        <v>124</v>
      </c>
      <c r="C34" s="81">
        <v>0.2</v>
      </c>
      <c r="D34" s="82">
        <v>0</v>
      </c>
      <c r="E34" s="82">
        <v>0</v>
      </c>
      <c r="F34" s="82">
        <f>(F31+F32)*(7/12)*C34</f>
        <v>433.70296666666667</v>
      </c>
    </row>
    <row r="35" spans="2:6" ht="15">
      <c r="B35" s="78" t="s">
        <v>125</v>
      </c>
      <c r="C35" s="81">
        <v>1.2</v>
      </c>
      <c r="D35" s="82">
        <v>0</v>
      </c>
      <c r="E35" s="82">
        <v>0</v>
      </c>
      <c r="F35" s="82">
        <f>(F31+F32)*(1/12)*C35</f>
        <v>371.74539999999996</v>
      </c>
    </row>
    <row r="36" spans="2:6" ht="15">
      <c r="B36" s="85" t="s">
        <v>126</v>
      </c>
      <c r="C36" s="86"/>
      <c r="D36" s="82">
        <v>0</v>
      </c>
      <c r="E36" s="82">
        <v>0</v>
      </c>
      <c r="F36" s="82">
        <v>0</v>
      </c>
    </row>
    <row r="37" spans="2:6" ht="15">
      <c r="B37" s="78" t="s">
        <v>127</v>
      </c>
      <c r="C37" s="87"/>
      <c r="D37" s="82">
        <v>0</v>
      </c>
      <c r="E37" s="82">
        <v>0</v>
      </c>
      <c r="F37" s="82">
        <v>0</v>
      </c>
    </row>
    <row r="38" spans="2:6" ht="14.25">
      <c r="B38" s="88" t="s">
        <v>63</v>
      </c>
      <c r="C38" s="89"/>
      <c r="D38" s="90">
        <f>SUM(D31:D37)</f>
        <v>3717.4539999999997</v>
      </c>
      <c r="E38" s="90">
        <f>SUM(E31:E37)</f>
        <v>3717.4539999999997</v>
      </c>
      <c r="F38" s="90">
        <f>SUM(F31:F37)</f>
        <v>4522.9023666666662</v>
      </c>
    </row>
    <row r="39" spans="2:6" ht="15">
      <c r="B39" s="70"/>
      <c r="C39" s="71"/>
      <c r="D39" s="72"/>
      <c r="E39" s="2"/>
    </row>
    <row r="40" spans="2:6" ht="16.7" customHeight="1">
      <c r="B40" s="309" t="s">
        <v>128</v>
      </c>
      <c r="C40" s="309"/>
      <c r="D40" s="309"/>
      <c r="E40" s="309"/>
      <c r="F40" s="309"/>
    </row>
    <row r="41" spans="2:6" ht="14.25">
      <c r="B41" s="91" t="s">
        <v>129</v>
      </c>
      <c r="C41" s="92" t="s">
        <v>130</v>
      </c>
      <c r="D41" s="92" t="s">
        <v>67</v>
      </c>
      <c r="E41" s="92" t="s">
        <v>67</v>
      </c>
      <c r="F41" s="92" t="s">
        <v>67</v>
      </c>
    </row>
    <row r="42" spans="2:6" ht="15">
      <c r="B42" s="78" t="s">
        <v>131</v>
      </c>
      <c r="C42" s="93">
        <f>1/12</f>
        <v>8.3333333333333329E-2</v>
      </c>
      <c r="D42" s="94">
        <f>C42*D38</f>
        <v>309.78783333333331</v>
      </c>
      <c r="E42" s="94">
        <f>C42*E38</f>
        <v>309.78783333333331</v>
      </c>
      <c r="F42" s="94">
        <f>C42*F38</f>
        <v>376.9085305555555</v>
      </c>
    </row>
    <row r="43" spans="2:6" ht="45">
      <c r="B43" s="191" t="s">
        <v>250</v>
      </c>
      <c r="C43" s="93">
        <f>C42/3</f>
        <v>2.7777777777777776E-2</v>
      </c>
      <c r="D43" s="94">
        <f>C43*D38</f>
        <v>103.2626111111111</v>
      </c>
      <c r="E43" s="94">
        <f>C43*E38</f>
        <v>103.2626111111111</v>
      </c>
      <c r="F43" s="94">
        <f>C43*F38</f>
        <v>125.63617685185183</v>
      </c>
    </row>
    <row r="44" spans="2:6" ht="14.25">
      <c r="B44" s="95" t="s">
        <v>63</v>
      </c>
      <c r="C44" s="96">
        <f>SUM(C42:C43)</f>
        <v>0.1111111111111111</v>
      </c>
      <c r="D44" s="97">
        <f>SUM(D42:D43)</f>
        <v>413.05044444444439</v>
      </c>
      <c r="E44" s="97">
        <f>SUM(E42:E43)</f>
        <v>413.05044444444439</v>
      </c>
      <c r="F44" s="97">
        <f>SUM(F42:F43)</f>
        <v>502.54470740740732</v>
      </c>
    </row>
    <row r="45" spans="2:6" ht="14.25">
      <c r="B45" s="98" t="s">
        <v>132</v>
      </c>
      <c r="C45" s="92" t="s">
        <v>130</v>
      </c>
      <c r="D45" s="92" t="s">
        <v>67</v>
      </c>
      <c r="E45" s="92" t="s">
        <v>67</v>
      </c>
      <c r="F45" s="92" t="s">
        <v>67</v>
      </c>
    </row>
    <row r="46" spans="2:6" ht="15">
      <c r="B46" s="78" t="s">
        <v>133</v>
      </c>
      <c r="C46" s="93">
        <v>0.2</v>
      </c>
      <c r="D46" s="99">
        <f>C46*(D38+D44)</f>
        <v>826.10088888888879</v>
      </c>
      <c r="E46" s="99">
        <f>C46*(E38+E44)</f>
        <v>826.10088888888879</v>
      </c>
      <c r="F46" s="99">
        <f>C46*(F38+F44)</f>
        <v>1005.0894148148147</v>
      </c>
    </row>
    <row r="47" spans="2:6" ht="15">
      <c r="B47" s="78" t="s">
        <v>134</v>
      </c>
      <c r="C47" s="93">
        <v>2.5000000000000001E-2</v>
      </c>
      <c r="D47" s="99">
        <f>C47*(D38+D44)</f>
        <v>103.2626111111111</v>
      </c>
      <c r="E47" s="99">
        <f>C47*(E38+E44)</f>
        <v>103.2626111111111</v>
      </c>
      <c r="F47" s="99">
        <f>C47*(F38+F44)</f>
        <v>125.63617685185184</v>
      </c>
    </row>
    <row r="48" spans="2:6" ht="15">
      <c r="B48" s="78" t="s">
        <v>135</v>
      </c>
      <c r="C48" s="93">
        <v>0.03</v>
      </c>
      <c r="D48" s="99">
        <f>C48*(D38+D44)</f>
        <v>123.91513333333332</v>
      </c>
      <c r="E48" s="99">
        <f>C48*(E38+E44)</f>
        <v>123.91513333333332</v>
      </c>
      <c r="F48" s="99">
        <f>C48*(F38+F44)</f>
        <v>150.7634122222222</v>
      </c>
    </row>
    <row r="49" spans="2:6" ht="15">
      <c r="B49" s="78" t="s">
        <v>136</v>
      </c>
      <c r="C49" s="93">
        <v>1.4999999999999999E-2</v>
      </c>
      <c r="D49" s="99">
        <f>C49*(D38+D44)</f>
        <v>61.957566666666658</v>
      </c>
      <c r="E49" s="99">
        <f>C49*(E38+E44)</f>
        <v>61.957566666666658</v>
      </c>
      <c r="F49" s="99">
        <f>C49*(F38+F44)</f>
        <v>75.3817061111111</v>
      </c>
    </row>
    <row r="50" spans="2:6" ht="15">
      <c r="B50" s="78" t="s">
        <v>137</v>
      </c>
      <c r="C50" s="93">
        <v>0.01</v>
      </c>
      <c r="D50" s="99">
        <f>C50*(D38+D44)</f>
        <v>41.305044444444441</v>
      </c>
      <c r="E50" s="99">
        <f>C50*(E38+E44)</f>
        <v>41.305044444444441</v>
      </c>
      <c r="F50" s="99">
        <f>C50*(F38+F44)</f>
        <v>50.254470740740736</v>
      </c>
    </row>
    <row r="51" spans="2:6" ht="15">
      <c r="B51" s="78" t="s">
        <v>138</v>
      </c>
      <c r="C51" s="93">
        <v>6.0000000000000001E-3</v>
      </c>
      <c r="D51" s="99">
        <f>C51*(D38+D44)</f>
        <v>24.783026666666665</v>
      </c>
      <c r="E51" s="99">
        <f>C51*(E38+E44)</f>
        <v>24.783026666666665</v>
      </c>
      <c r="F51" s="99">
        <f>C51*(F38+F44)</f>
        <v>30.152682444444441</v>
      </c>
    </row>
    <row r="52" spans="2:6" ht="15">
      <c r="B52" s="78" t="s">
        <v>139</v>
      </c>
      <c r="C52" s="93">
        <v>2E-3</v>
      </c>
      <c r="D52" s="99">
        <f>C52*(D38+D44)</f>
        <v>8.2610088888888882</v>
      </c>
      <c r="E52" s="99">
        <f>C52*(E38+E44)</f>
        <v>8.2610088888888882</v>
      </c>
      <c r="F52" s="99">
        <f>C52*(F38+F44)</f>
        <v>10.050894148148148</v>
      </c>
    </row>
    <row r="53" spans="2:6" ht="15">
      <c r="B53" s="78" t="s">
        <v>140</v>
      </c>
      <c r="C53" s="93">
        <v>0.08</v>
      </c>
      <c r="D53" s="99">
        <f>C53*(D38+D44)</f>
        <v>330.44035555555553</v>
      </c>
      <c r="E53" s="99">
        <f>C53*(E38+E44)</f>
        <v>330.44035555555553</v>
      </c>
      <c r="F53" s="99">
        <f>C53*(F38+F44)</f>
        <v>402.03576592592589</v>
      </c>
    </row>
    <row r="54" spans="2:6" ht="14.25">
      <c r="B54" s="95" t="s">
        <v>63</v>
      </c>
      <c r="C54" s="96">
        <f>SUM(C46:C53)</f>
        <v>0.36800000000000005</v>
      </c>
      <c r="D54" s="100">
        <f>SUM(D46:D53)</f>
        <v>1520.0256355555557</v>
      </c>
      <c r="E54" s="100">
        <f>SUM(E46:E53)</f>
        <v>1520.0256355555557</v>
      </c>
      <c r="F54" s="100">
        <f>SUM(F46:F53)</f>
        <v>1849.3645232592594</v>
      </c>
    </row>
    <row r="55" spans="2:6" ht="28.5">
      <c r="B55" s="101" t="s">
        <v>141</v>
      </c>
      <c r="C55" s="102" t="s">
        <v>120</v>
      </c>
      <c r="D55" s="92" t="s">
        <v>67</v>
      </c>
      <c r="E55" s="92" t="s">
        <v>67</v>
      </c>
      <c r="F55" s="92" t="s">
        <v>67</v>
      </c>
    </row>
    <row r="56" spans="2:6" ht="15">
      <c r="B56" s="78" t="s">
        <v>215</v>
      </c>
      <c r="C56" s="174">
        <v>5.5</v>
      </c>
      <c r="D56" s="212">
        <f>IF((C56*26*2)-(D31*0.06)&lt;0,0,(C56*26*2)-(D31*0.06))</f>
        <v>114.42520000000002</v>
      </c>
      <c r="E56" s="212">
        <f>IF((C56*15*2)-(E31*0.06)&lt;0,0,(C56*15*2)-(E31*0.06))</f>
        <v>0</v>
      </c>
      <c r="F56" s="212">
        <f>IF((C56*15*2)-(F31*0.06)&lt;0,0,(C56*15*2)-(F31*0.06))</f>
        <v>0</v>
      </c>
    </row>
    <row r="57" spans="2:6" ht="15">
      <c r="B57" s="78" t="s">
        <v>216</v>
      </c>
      <c r="C57" s="104">
        <f>'Memória de Cálculo'!C6</f>
        <v>49.63</v>
      </c>
      <c r="D57" s="175">
        <f>'Memória de Cálculo'!E6</f>
        <v>1264.5724</v>
      </c>
      <c r="E57" s="175">
        <f>'Memória de Cálculo'!E7</f>
        <v>729.56100000000004</v>
      </c>
      <c r="F57" s="175">
        <f>'Memória de Cálculo'!E8</f>
        <v>729.56100000000004</v>
      </c>
    </row>
    <row r="58" spans="2:6" ht="15">
      <c r="B58" s="106" t="s">
        <v>217</v>
      </c>
      <c r="C58" s="107">
        <v>171.87</v>
      </c>
      <c r="D58" s="108">
        <f>C58</f>
        <v>171.87</v>
      </c>
      <c r="E58" s="108">
        <f>C58</f>
        <v>171.87</v>
      </c>
      <c r="F58" s="108">
        <f>C58</f>
        <v>171.87</v>
      </c>
    </row>
    <row r="59" spans="2:6" ht="15">
      <c r="B59" s="78" t="s">
        <v>218</v>
      </c>
      <c r="C59" s="107">
        <v>11.34</v>
      </c>
      <c r="D59" s="176">
        <f>C59</f>
        <v>11.34</v>
      </c>
      <c r="E59" s="176">
        <f>C59</f>
        <v>11.34</v>
      </c>
      <c r="F59" s="176">
        <f>C59</f>
        <v>11.34</v>
      </c>
    </row>
    <row r="60" spans="2:6" ht="15">
      <c r="B60" s="78" t="s">
        <v>219</v>
      </c>
      <c r="C60" s="213">
        <v>19.899999999999999</v>
      </c>
      <c r="D60" s="176">
        <f>C60</f>
        <v>19.899999999999999</v>
      </c>
      <c r="E60" s="176">
        <f>C60</f>
        <v>19.899999999999999</v>
      </c>
      <c r="F60" s="176">
        <f>C60</f>
        <v>19.899999999999999</v>
      </c>
    </row>
    <row r="61" spans="2:6" ht="15">
      <c r="B61" s="78" t="s">
        <v>220</v>
      </c>
      <c r="C61" s="177">
        <v>19.04</v>
      </c>
      <c r="D61" s="110">
        <f>C61</f>
        <v>19.04</v>
      </c>
      <c r="E61" s="110">
        <f>C61</f>
        <v>19.04</v>
      </c>
      <c r="F61" s="110">
        <f>C61</f>
        <v>19.04</v>
      </c>
    </row>
    <row r="62" spans="2:6" ht="14.25">
      <c r="B62" s="95" t="s">
        <v>63</v>
      </c>
      <c r="C62" s="111"/>
      <c r="D62" s="112">
        <f>SUM(D56:D61)</f>
        <v>1601.1476</v>
      </c>
      <c r="E62" s="112">
        <f>SUM(E56:E61)</f>
        <v>951.71100000000001</v>
      </c>
      <c r="F62" s="112">
        <f>SUM(F56:F61)</f>
        <v>951.71100000000001</v>
      </c>
    </row>
    <row r="63" spans="2:6" ht="14.25">
      <c r="B63" s="113" t="s">
        <v>148</v>
      </c>
      <c r="C63" s="114" t="s">
        <v>130</v>
      </c>
      <c r="D63" s="77" t="s">
        <v>67</v>
      </c>
      <c r="E63" s="77" t="s">
        <v>67</v>
      </c>
      <c r="F63" s="77" t="s">
        <v>67</v>
      </c>
    </row>
    <row r="64" spans="2:6" ht="15">
      <c r="B64" s="115" t="s">
        <v>149</v>
      </c>
      <c r="C64" s="116">
        <f>C44</f>
        <v>0.1111111111111111</v>
      </c>
      <c r="D64" s="117">
        <f>D44</f>
        <v>413.05044444444439</v>
      </c>
      <c r="E64" s="117">
        <f>E44</f>
        <v>413.05044444444439</v>
      </c>
      <c r="F64" s="117">
        <f>F44</f>
        <v>502.54470740740732</v>
      </c>
    </row>
    <row r="65" spans="2:7" ht="15">
      <c r="B65" s="118" t="s">
        <v>150</v>
      </c>
      <c r="C65" s="119">
        <f>C54</f>
        <v>0.36800000000000005</v>
      </c>
      <c r="D65" s="94">
        <f>D54</f>
        <v>1520.0256355555557</v>
      </c>
      <c r="E65" s="94">
        <f>E54</f>
        <v>1520.0256355555557</v>
      </c>
      <c r="F65" s="94">
        <f>F54</f>
        <v>1849.3645232592594</v>
      </c>
    </row>
    <row r="66" spans="2:7" ht="15">
      <c r="B66" s="118" t="s">
        <v>151</v>
      </c>
      <c r="C66" s="120">
        <v>0</v>
      </c>
      <c r="D66" s="94">
        <f>D62</f>
        <v>1601.1476</v>
      </c>
      <c r="E66" s="94">
        <f>E62</f>
        <v>951.71100000000001</v>
      </c>
      <c r="F66" s="94">
        <f>F62</f>
        <v>951.71100000000001</v>
      </c>
    </row>
    <row r="67" spans="2:7" ht="14.25">
      <c r="B67" s="88" t="s">
        <v>63</v>
      </c>
      <c r="C67" s="121"/>
      <c r="D67" s="122">
        <f>SUM(D64:D66)</f>
        <v>3534.2236800000001</v>
      </c>
      <c r="E67" s="122">
        <f>SUM(E64:E66)</f>
        <v>2884.7870800000001</v>
      </c>
      <c r="F67" s="122">
        <f>SUM(F64:F66)</f>
        <v>3303.6202306666664</v>
      </c>
    </row>
    <row r="68" spans="2:7" ht="14.25">
      <c r="B68" s="123"/>
      <c r="C68" s="72"/>
      <c r="D68" s="72"/>
      <c r="E68" s="2"/>
    </row>
    <row r="69" spans="2:7" ht="16.7" customHeight="1">
      <c r="B69" s="309" t="s">
        <v>152</v>
      </c>
      <c r="C69" s="309"/>
      <c r="D69" s="309"/>
      <c r="E69" s="309"/>
      <c r="F69" s="309"/>
    </row>
    <row r="70" spans="2:7" ht="14.25">
      <c r="B70" s="178" t="s">
        <v>153</v>
      </c>
      <c r="C70" s="179" t="s">
        <v>130</v>
      </c>
      <c r="D70" s="180" t="s">
        <v>67</v>
      </c>
      <c r="E70" s="180" t="s">
        <v>67</v>
      </c>
      <c r="F70" s="180" t="s">
        <v>67</v>
      </c>
    </row>
    <row r="71" spans="2:7" ht="27.75">
      <c r="B71" s="78" t="s">
        <v>154</v>
      </c>
      <c r="C71" s="127">
        <f>1/12*0.05</f>
        <v>4.1666666666666666E-3</v>
      </c>
      <c r="D71" s="94">
        <f>C71*D38</f>
        <v>15.489391666666664</v>
      </c>
      <c r="E71" s="94">
        <f>C71*E38</f>
        <v>15.489391666666664</v>
      </c>
      <c r="F71" s="94">
        <f>C71*F38</f>
        <v>18.845426527777775</v>
      </c>
    </row>
    <row r="72" spans="2:7" ht="15">
      <c r="B72" s="128" t="s">
        <v>155</v>
      </c>
      <c r="C72" s="127">
        <f>C53*C71</f>
        <v>3.3333333333333332E-4</v>
      </c>
      <c r="D72" s="94">
        <f>C72*D38</f>
        <v>1.2391513333333333</v>
      </c>
      <c r="E72" s="94">
        <f>C72*E38</f>
        <v>1.2391513333333333</v>
      </c>
      <c r="F72" s="94">
        <f>C72*F38</f>
        <v>1.507634122222222</v>
      </c>
    </row>
    <row r="73" spans="2:7" ht="15">
      <c r="B73" s="78" t="s">
        <v>156</v>
      </c>
      <c r="C73" s="127">
        <v>0</v>
      </c>
      <c r="D73" s="94">
        <f>C73*D38</f>
        <v>0</v>
      </c>
      <c r="E73" s="94">
        <f>C73*E38</f>
        <v>0</v>
      </c>
      <c r="F73" s="94">
        <f>C73*F38</f>
        <v>0</v>
      </c>
    </row>
    <row r="74" spans="2:7" ht="27.75">
      <c r="B74" s="78" t="s">
        <v>157</v>
      </c>
      <c r="C74" s="127">
        <f>1/30*7/12</f>
        <v>1.9444444444444445E-2</v>
      </c>
      <c r="D74" s="94">
        <f>C74*D38</f>
        <v>72.283827777777773</v>
      </c>
      <c r="E74" s="94">
        <f>C74*E38</f>
        <v>72.283827777777773</v>
      </c>
      <c r="F74" s="94">
        <f>C74*F38</f>
        <v>87.945323796296293</v>
      </c>
    </row>
    <row r="75" spans="2:7" ht="30">
      <c r="B75" s="78" t="s">
        <v>158</v>
      </c>
      <c r="C75" s="127">
        <f>C54*C74</f>
        <v>7.1555555555555565E-3</v>
      </c>
      <c r="D75" s="94">
        <f>C75*D38</f>
        <v>26.600448622222224</v>
      </c>
      <c r="E75" s="94">
        <f>C75*E38</f>
        <v>26.600448622222224</v>
      </c>
      <c r="F75" s="94">
        <f>C75*F38</f>
        <v>32.36387915703704</v>
      </c>
      <c r="G75" s="129"/>
    </row>
    <row r="76" spans="2:7" ht="30">
      <c r="B76" s="78" t="s">
        <v>159</v>
      </c>
      <c r="C76" s="130">
        <f>0.08*0.4*0.9*(1+1/12+1/12+1/3*1/12)</f>
        <v>3.4399999999999993E-2</v>
      </c>
      <c r="D76" s="94">
        <f>C76*D38</f>
        <v>127.88041759999996</v>
      </c>
      <c r="E76" s="94">
        <f>C76*E38</f>
        <v>127.88041759999996</v>
      </c>
      <c r="F76" s="94">
        <f>C76*F38</f>
        <v>155.58784141333328</v>
      </c>
    </row>
    <row r="77" spans="2:7" ht="14.25">
      <c r="B77" s="88" t="s">
        <v>63</v>
      </c>
      <c r="C77" s="131">
        <f>SUM(C71:C76)</f>
        <v>6.5500000000000003E-2</v>
      </c>
      <c r="D77" s="122">
        <f>SUM(D71:D76)</f>
        <v>243.49323699999997</v>
      </c>
      <c r="E77" s="122">
        <f>SUM(E71:E76)</f>
        <v>243.49323699999997</v>
      </c>
      <c r="F77" s="122">
        <f>SUM(F71:F76)</f>
        <v>296.25010501666662</v>
      </c>
    </row>
    <row r="78" spans="2:7">
      <c r="B78" s="132"/>
      <c r="C78" s="133"/>
      <c r="D78" s="133"/>
      <c r="E78" s="2"/>
    </row>
    <row r="79" spans="2:7" ht="16.7" customHeight="1">
      <c r="B79" s="309" t="s">
        <v>160</v>
      </c>
      <c r="C79" s="309"/>
      <c r="D79" s="309"/>
      <c r="E79" s="309"/>
      <c r="F79" s="309"/>
    </row>
    <row r="80" spans="2:7" ht="14.25">
      <c r="B80" s="181" t="s">
        <v>161</v>
      </c>
      <c r="C80" s="182" t="s">
        <v>130</v>
      </c>
      <c r="D80" s="183" t="s">
        <v>67</v>
      </c>
      <c r="E80" s="183" t="s">
        <v>67</v>
      </c>
      <c r="F80" s="183" t="s">
        <v>67</v>
      </c>
    </row>
    <row r="81" spans="2:6" ht="15">
      <c r="B81" s="78" t="s">
        <v>162</v>
      </c>
      <c r="C81" s="93">
        <f>1/12</f>
        <v>8.3333333333333329E-2</v>
      </c>
      <c r="D81" s="99">
        <f>C81*(D38+D67+D77)</f>
        <v>624.59757641666658</v>
      </c>
      <c r="E81" s="99">
        <f>C81*(E38+E67+E77)</f>
        <v>570.47785974999988</v>
      </c>
      <c r="F81" s="99">
        <f>C81*(F38+F67+F77)</f>
        <v>676.89772519583323</v>
      </c>
    </row>
    <row r="82" spans="2:6" ht="15">
      <c r="B82" s="78" t="s">
        <v>163</v>
      </c>
      <c r="C82" s="136">
        <f>'Memória de Cálculo'!B13</f>
        <v>8.2000000000000007E-3</v>
      </c>
      <c r="D82" s="99">
        <f>C82*(D38+D67+D77)</f>
        <v>61.460401519400001</v>
      </c>
      <c r="E82" s="99">
        <f>C82*(E38+E67+E77)</f>
        <v>56.135021399400003</v>
      </c>
      <c r="F82" s="99">
        <f>C82*(F38+F67+F77)</f>
        <v>66.60673615927</v>
      </c>
    </row>
    <row r="83" spans="2:6" ht="15">
      <c r="B83" s="78" t="s">
        <v>164</v>
      </c>
      <c r="C83" s="136">
        <f>'Memória de Cálculo'!B17</f>
        <v>3.2100444444444441E-4</v>
      </c>
      <c r="D83" s="99">
        <f>C83*(D38+D67+D77)</f>
        <v>2.4059831762277417</v>
      </c>
      <c r="E83" s="99">
        <f>C83*(E38+E67+E77)</f>
        <v>2.197511141242853</v>
      </c>
      <c r="F83" s="99">
        <f>C83*(F38+F67+F77)</f>
        <v>2.6074461386663601</v>
      </c>
    </row>
    <row r="84" spans="2:6" ht="15">
      <c r="B84" s="78" t="s">
        <v>165</v>
      </c>
      <c r="C84" s="136">
        <f>'Memória de Cálculo'!B21</f>
        <v>1.5305423328660365E-2</v>
      </c>
      <c r="D84" s="99">
        <f>C84*(D38+D67+D77)</f>
        <v>114.71676380534849</v>
      </c>
      <c r="E84" s="99">
        <f>C84*(E38+E67+E77)</f>
        <v>104.77686171722262</v>
      </c>
      <c r="F84" s="99">
        <f>C84*(F38+F67+F77)</f>
        <v>124.32247481195327</v>
      </c>
    </row>
    <row r="85" spans="2:6" ht="15">
      <c r="B85" s="78" t="s">
        <v>166</v>
      </c>
      <c r="C85" s="93">
        <f>'Memória de Cálculo'!B25</f>
        <v>1.2037132799999999E-3</v>
      </c>
      <c r="D85" s="99">
        <f>C85*(D38+D67+D77)</f>
        <v>9.0220367686626766</v>
      </c>
      <c r="E85" s="99">
        <f>C85*(E38+E67+E77)</f>
        <v>8.2403013087246286</v>
      </c>
      <c r="F85" s="99">
        <f>C85*(F38+F67+F77)</f>
        <v>9.777489372240181</v>
      </c>
    </row>
    <row r="86" spans="2:6" ht="15">
      <c r="B86" s="78" t="s">
        <v>167</v>
      </c>
      <c r="C86" s="136">
        <v>0</v>
      </c>
      <c r="D86" s="99">
        <f>C86*(D38+D67+D77)</f>
        <v>0</v>
      </c>
      <c r="E86" s="99">
        <f>C86*(E38+E67+E77)</f>
        <v>0</v>
      </c>
      <c r="F86" s="99">
        <f>C86*(F38+F67+F77)</f>
        <v>0</v>
      </c>
    </row>
    <row r="87" spans="2:6" ht="14.25">
      <c r="B87" s="88" t="s">
        <v>63</v>
      </c>
      <c r="C87" s="137">
        <f>SUM(C81:C86)</f>
        <v>0.10836347438643813</v>
      </c>
      <c r="D87" s="122">
        <f>SUM(D81:D86)</f>
        <v>812.20276168630551</v>
      </c>
      <c r="E87" s="122">
        <f>SUM(E81:E86)</f>
        <v>741.82755531658995</v>
      </c>
      <c r="F87" s="122">
        <f>SUM(F81:F86)</f>
        <v>880.21187167796302</v>
      </c>
    </row>
    <row r="88" spans="2:6" ht="14.25">
      <c r="B88" s="134" t="s">
        <v>168</v>
      </c>
      <c r="C88" s="135" t="s">
        <v>130</v>
      </c>
      <c r="D88" s="92" t="s">
        <v>67</v>
      </c>
      <c r="E88" s="92" t="s">
        <v>67</v>
      </c>
      <c r="F88" s="92" t="s">
        <v>67</v>
      </c>
    </row>
    <row r="89" spans="2:6" ht="30">
      <c r="B89" s="138" t="s">
        <v>221</v>
      </c>
      <c r="C89" s="139">
        <v>0.5</v>
      </c>
      <c r="D89" s="140">
        <v>0</v>
      </c>
      <c r="E89" s="140">
        <f>(E38/220)*15*1.5</f>
        <v>380.19415909090907</v>
      </c>
      <c r="F89" s="140">
        <f>(F38/220)*15*1.5</f>
        <v>462.56956022727263</v>
      </c>
    </row>
    <row r="90" spans="2:6" ht="14.25">
      <c r="B90" s="88" t="s">
        <v>63</v>
      </c>
      <c r="C90" s="137"/>
      <c r="D90" s="122">
        <f>SUM(D89:D89)</f>
        <v>0</v>
      </c>
      <c r="E90" s="122">
        <f>SUM(E89:E89)</f>
        <v>380.19415909090907</v>
      </c>
      <c r="F90" s="122">
        <f>SUM(F89:F89)</f>
        <v>462.56956022727263</v>
      </c>
    </row>
    <row r="91" spans="2:6" ht="14.25">
      <c r="B91" s="141"/>
      <c r="C91" s="142"/>
      <c r="D91" s="72"/>
      <c r="E91" s="72"/>
    </row>
    <row r="92" spans="2:6" ht="14.25">
      <c r="B92" s="124" t="s">
        <v>170</v>
      </c>
      <c r="C92" s="125" t="s">
        <v>130</v>
      </c>
      <c r="D92" s="126" t="s">
        <v>67</v>
      </c>
      <c r="E92" s="126" t="s">
        <v>67</v>
      </c>
      <c r="F92" s="126" t="s">
        <v>67</v>
      </c>
    </row>
    <row r="93" spans="2:6" ht="15">
      <c r="B93" s="138" t="s">
        <v>171</v>
      </c>
      <c r="C93" s="139">
        <f>C87</f>
        <v>0.10836347438643813</v>
      </c>
      <c r="D93" s="140">
        <f>D87</f>
        <v>812.20276168630551</v>
      </c>
      <c r="E93" s="140">
        <f>E87</f>
        <v>741.82755531658995</v>
      </c>
      <c r="F93" s="140">
        <f>F87</f>
        <v>880.21187167796302</v>
      </c>
    </row>
    <row r="94" spans="2:6" ht="15">
      <c r="B94" s="143" t="s">
        <v>172</v>
      </c>
      <c r="C94" s="139">
        <f>C89</f>
        <v>0.5</v>
      </c>
      <c r="D94" s="140">
        <f>D90</f>
        <v>0</v>
      </c>
      <c r="E94" s="140">
        <f>E90</f>
        <v>380.19415909090907</v>
      </c>
      <c r="F94" s="140">
        <f>F90</f>
        <v>462.56956022727263</v>
      </c>
    </row>
    <row r="95" spans="2:6" ht="14.25">
      <c r="B95" s="88" t="s">
        <v>63</v>
      </c>
      <c r="C95" s="144"/>
      <c r="D95" s="122">
        <f>SUM(D93:D94)</f>
        <v>812.20276168630551</v>
      </c>
      <c r="E95" s="122">
        <f>SUM(E93:E94)</f>
        <v>1122.0217144074991</v>
      </c>
      <c r="F95" s="122">
        <f>SUM(F93:F94)</f>
        <v>1342.7814319052356</v>
      </c>
    </row>
    <row r="96" spans="2:6">
      <c r="B96" s="132"/>
      <c r="C96" s="145"/>
      <c r="D96" s="133"/>
      <c r="E96" s="2"/>
    </row>
    <row r="97" spans="2:8" ht="16.7" customHeight="1">
      <c r="B97" s="309" t="s">
        <v>173</v>
      </c>
      <c r="C97" s="309"/>
      <c r="D97" s="309"/>
      <c r="E97" s="309"/>
      <c r="F97" s="309"/>
    </row>
    <row r="98" spans="2:8" ht="14.25">
      <c r="B98" s="124" t="s">
        <v>174</v>
      </c>
      <c r="C98" s="125" t="s">
        <v>222</v>
      </c>
      <c r="D98" s="126" t="s">
        <v>67</v>
      </c>
      <c r="E98" s="126" t="s">
        <v>67</v>
      </c>
      <c r="F98" s="126" t="s">
        <v>67</v>
      </c>
    </row>
    <row r="99" spans="2:8" ht="15">
      <c r="B99" s="78" t="s">
        <v>175</v>
      </c>
      <c r="C99" s="147">
        <f>Insumos!J13</f>
        <v>57.342500000000001</v>
      </c>
      <c r="D99" s="148">
        <f>C99</f>
        <v>57.342500000000001</v>
      </c>
      <c r="E99" s="148">
        <f>C99</f>
        <v>57.342500000000001</v>
      </c>
      <c r="F99" s="148">
        <f>C99</f>
        <v>57.342500000000001</v>
      </c>
    </row>
    <row r="100" spans="2:8" ht="15">
      <c r="B100" s="78" t="s">
        <v>223</v>
      </c>
      <c r="C100" s="147">
        <f>Insumos!J21</f>
        <v>12.125833333333333</v>
      </c>
      <c r="D100" s="148">
        <f>C100</f>
        <v>12.125833333333333</v>
      </c>
      <c r="E100" s="148">
        <f>C100/2</f>
        <v>6.0629166666666663</v>
      </c>
      <c r="F100" s="148">
        <f>C100/2</f>
        <v>6.0629166666666663</v>
      </c>
    </row>
    <row r="101" spans="2:8" ht="15">
      <c r="B101" s="78" t="s">
        <v>224</v>
      </c>
      <c r="C101" s="147">
        <v>0</v>
      </c>
      <c r="D101" s="94">
        <f>C101</f>
        <v>0</v>
      </c>
      <c r="E101" s="94">
        <f>C101</f>
        <v>0</v>
      </c>
      <c r="F101" s="94">
        <f>C101</f>
        <v>0</v>
      </c>
    </row>
    <row r="102" spans="2:8" ht="14.25">
      <c r="B102" s="149" t="s">
        <v>63</v>
      </c>
      <c r="C102" s="122">
        <f>SUM(C99:C101)</f>
        <v>69.468333333333334</v>
      </c>
      <c r="D102" s="122">
        <f>SUM(D99:D101)</f>
        <v>69.468333333333334</v>
      </c>
      <c r="E102" s="122">
        <f>SUM(E99:E101)</f>
        <v>63.405416666666667</v>
      </c>
      <c r="F102" s="122">
        <f>SUM(F99:F101)</f>
        <v>63.405416666666667</v>
      </c>
    </row>
    <row r="103" spans="2:8" ht="14.25">
      <c r="B103" s="123"/>
      <c r="C103" s="150"/>
      <c r="D103" s="72"/>
      <c r="E103" s="2"/>
    </row>
    <row r="104" spans="2:8" ht="16.7" customHeight="1">
      <c r="B104" s="309" t="s">
        <v>179</v>
      </c>
      <c r="C104" s="309"/>
      <c r="D104" s="309"/>
      <c r="E104" s="309"/>
      <c r="F104" s="309"/>
    </row>
    <row r="105" spans="2:8" ht="14.25">
      <c r="B105" s="75" t="s">
        <v>180</v>
      </c>
      <c r="C105" s="179" t="s">
        <v>130</v>
      </c>
      <c r="D105" s="77" t="s">
        <v>67</v>
      </c>
      <c r="E105" s="77" t="s">
        <v>67</v>
      </c>
      <c r="F105" s="77" t="s">
        <v>67</v>
      </c>
    </row>
    <row r="106" spans="2:8" ht="15">
      <c r="B106" s="78" t="s">
        <v>181</v>
      </c>
      <c r="C106" s="210">
        <v>0.06</v>
      </c>
      <c r="D106" s="117">
        <f>C106*(D38+D67+D77+D95+D102)</f>
        <v>502.61052072117832</v>
      </c>
      <c r="E106" s="117">
        <f>C106*(E38+E67+E77+E95+E102)</f>
        <v>481.86968688444983</v>
      </c>
      <c r="F106" s="117">
        <f>C106*(F38+F67+F77+F95+F102)</f>
        <v>571.7375730553141</v>
      </c>
      <c r="H106" s="184"/>
    </row>
    <row r="107" spans="2:8" ht="15">
      <c r="B107" s="78" t="s">
        <v>182</v>
      </c>
      <c r="C107" s="210">
        <v>6.7900000000000002E-2</v>
      </c>
      <c r="D107" s="94">
        <f>C107*(D38+D67+D77+D95+D102+D106)</f>
        <v>602.91482697310153</v>
      </c>
      <c r="E107" s="94">
        <f>C107*(E38+E67+E77+E95+E102+E106)</f>
        <v>578.03481406368985</v>
      </c>
      <c r="F107" s="94">
        <f>C107*(F38+F67+F77+F95+F102+F106)</f>
        <v>685.83733471805294</v>
      </c>
      <c r="H107" s="184"/>
    </row>
    <row r="108" spans="2:8" ht="15">
      <c r="B108" s="78" t="s">
        <v>225</v>
      </c>
      <c r="C108" s="127">
        <f>SUM(C109:C113)</f>
        <v>8.6499999999999994E-2</v>
      </c>
      <c r="D108" s="94">
        <f>((D38+D67+D77+D95+D102+D106+D107)/(1-C108))*C108</f>
        <v>897.89247576929824</v>
      </c>
      <c r="E108" s="94">
        <f>((E38+E67+E77+E95+E102+E106+E107)/(1-C108))*C108</f>
        <v>860.83985176839553</v>
      </c>
      <c r="F108" s="94">
        <f>((F38+F67+F77+F95+F102+F106+F107)/(1-C108))*C108</f>
        <v>1021.3850363187091</v>
      </c>
      <c r="H108" s="184"/>
    </row>
    <row r="109" spans="2:8" ht="15">
      <c r="B109" s="152" t="s">
        <v>226</v>
      </c>
      <c r="C109" s="127">
        <f>0.03</f>
        <v>0.03</v>
      </c>
      <c r="D109" s="153">
        <f>((D38+D67+D77+D95+D102+D106+D107)/(1-C108))*C109</f>
        <v>311.4077950644965</v>
      </c>
      <c r="E109" s="153">
        <f>((E38+E67+E77+E95+E102+E106+E107)/(1-C108))*C109</f>
        <v>298.55717402372102</v>
      </c>
      <c r="F109" s="153">
        <f>((F38+F67+F77+F95+F102+F106+F107)/(1-C108))*C109</f>
        <v>354.23758485041935</v>
      </c>
    </row>
    <row r="110" spans="2:8" ht="15">
      <c r="B110" s="152" t="s">
        <v>227</v>
      </c>
      <c r="C110" s="127">
        <f>0.0065</f>
        <v>6.4999999999999997E-3</v>
      </c>
      <c r="D110" s="153">
        <f>((D38+D67+D77+D95+D102+D106+D107)/(1-C108))*C110</f>
        <v>67.471688930640909</v>
      </c>
      <c r="E110" s="153">
        <f>((E38+E67+E77+E95+E102+E106+E107)/(1-C108))*C110</f>
        <v>64.687387705139557</v>
      </c>
      <c r="F110" s="153">
        <f>((F38+F67+F77+F95+F102+F106+F107)/(1-C108))*C110</f>
        <v>76.751476717590862</v>
      </c>
    </row>
    <row r="111" spans="2:8" ht="15">
      <c r="B111" s="152" t="s">
        <v>186</v>
      </c>
      <c r="C111" s="154"/>
      <c r="D111" s="155"/>
      <c r="E111" s="155"/>
      <c r="F111" s="155"/>
    </row>
    <row r="112" spans="2:8" ht="15">
      <c r="B112" s="152" t="s">
        <v>187</v>
      </c>
      <c r="C112" s="127">
        <v>0.05</v>
      </c>
      <c r="D112" s="153">
        <f>((D38+D67+D77+D95+D102+D106+D107)/(1-C108))*C112</f>
        <v>519.01299177416092</v>
      </c>
      <c r="E112" s="153">
        <f>((E38+E67+E77+E95+E102+E106+E107)/(1-C108))*C112</f>
        <v>497.59529003953503</v>
      </c>
      <c r="F112" s="153">
        <f>((F38+F67+F77+F95+F102+F106+F107)/(1-C108))*C112</f>
        <v>590.395974750699</v>
      </c>
    </row>
    <row r="113" spans="2:6" ht="15">
      <c r="B113" s="152" t="s">
        <v>188</v>
      </c>
      <c r="C113" s="156"/>
      <c r="D113" s="157"/>
      <c r="E113" s="157"/>
      <c r="F113" s="157"/>
    </row>
    <row r="114" spans="2:6" ht="15">
      <c r="B114" s="149" t="s">
        <v>63</v>
      </c>
      <c r="C114" s="158"/>
      <c r="D114" s="122">
        <f>SUM(D106:D108)</f>
        <v>2003.4178234635781</v>
      </c>
      <c r="E114" s="122">
        <f>SUM(E106:E108)</f>
        <v>1920.7443527165351</v>
      </c>
      <c r="F114" s="122">
        <f>SUM(F106:F108)</f>
        <v>2278.9599440920765</v>
      </c>
    </row>
    <row r="115" spans="2:6">
      <c r="B115" s="132"/>
      <c r="C115" s="145"/>
      <c r="D115" s="133"/>
      <c r="E115" s="2"/>
    </row>
    <row r="116" spans="2:6" ht="16.7" customHeight="1">
      <c r="B116" s="310" t="s">
        <v>189</v>
      </c>
      <c r="C116" s="310"/>
      <c r="D116" s="310"/>
      <c r="E116" s="310"/>
      <c r="F116" s="310"/>
    </row>
    <row r="117" spans="2:6" ht="16.7" customHeight="1">
      <c r="B117" s="311" t="s">
        <v>190</v>
      </c>
      <c r="C117" s="311"/>
      <c r="D117" s="185" t="s">
        <v>67</v>
      </c>
      <c r="E117" s="185" t="s">
        <v>67</v>
      </c>
      <c r="F117" s="185" t="s">
        <v>67</v>
      </c>
    </row>
    <row r="118" spans="2:6" ht="16.7" customHeight="1">
      <c r="B118" s="300" t="s">
        <v>191</v>
      </c>
      <c r="C118" s="300"/>
      <c r="D118" s="111">
        <f>D38</f>
        <v>3717.4539999999997</v>
      </c>
      <c r="E118" s="111">
        <f>E38</f>
        <v>3717.4539999999997</v>
      </c>
      <c r="F118" s="111">
        <f>F38</f>
        <v>4522.9023666666662</v>
      </c>
    </row>
    <row r="119" spans="2:6" ht="16.7" customHeight="1">
      <c r="B119" s="300" t="s">
        <v>192</v>
      </c>
      <c r="C119" s="300"/>
      <c r="D119" s="111">
        <f>D67</f>
        <v>3534.2236800000001</v>
      </c>
      <c r="E119" s="111">
        <f>E67</f>
        <v>2884.7870800000001</v>
      </c>
      <c r="F119" s="111">
        <f>F67</f>
        <v>3303.6202306666664</v>
      </c>
    </row>
    <row r="120" spans="2:6" ht="16.7" customHeight="1">
      <c r="B120" s="300" t="s">
        <v>193</v>
      </c>
      <c r="C120" s="300"/>
      <c r="D120" s="111">
        <f>D77</f>
        <v>243.49323699999997</v>
      </c>
      <c r="E120" s="111">
        <f>E77</f>
        <v>243.49323699999997</v>
      </c>
      <c r="F120" s="111">
        <f>F77</f>
        <v>296.25010501666662</v>
      </c>
    </row>
    <row r="121" spans="2:6" ht="16.7" customHeight="1">
      <c r="B121" s="300" t="s">
        <v>194</v>
      </c>
      <c r="C121" s="300"/>
      <c r="D121" s="111">
        <f>D95</f>
        <v>812.20276168630551</v>
      </c>
      <c r="E121" s="111">
        <f>E95</f>
        <v>1122.0217144074991</v>
      </c>
      <c r="F121" s="111">
        <f>F95</f>
        <v>1342.7814319052356</v>
      </c>
    </row>
    <row r="122" spans="2:6" ht="16.7" customHeight="1">
      <c r="B122" s="300" t="s">
        <v>195</v>
      </c>
      <c r="C122" s="300"/>
      <c r="D122" s="111">
        <f>D102</f>
        <v>69.468333333333334</v>
      </c>
      <c r="E122" s="111">
        <f>E102</f>
        <v>63.405416666666667</v>
      </c>
      <c r="F122" s="111">
        <f>F102</f>
        <v>63.405416666666667</v>
      </c>
    </row>
    <row r="123" spans="2:6" ht="16.7" customHeight="1">
      <c r="B123" s="301" t="s">
        <v>196</v>
      </c>
      <c r="C123" s="301"/>
      <c r="D123" s="160">
        <f>SUM(D118:D122)</f>
        <v>8376.8420120196388</v>
      </c>
      <c r="E123" s="160">
        <f>SUM(E118:E122)</f>
        <v>8031.1614480741646</v>
      </c>
      <c r="F123" s="160">
        <f>SUM(F118:F122)</f>
        <v>9528.9595509219016</v>
      </c>
    </row>
    <row r="124" spans="2:6" ht="16.7" customHeight="1">
      <c r="B124" s="300" t="s">
        <v>197</v>
      </c>
      <c r="C124" s="300"/>
      <c r="D124" s="111">
        <f>D114</f>
        <v>2003.4178234635781</v>
      </c>
      <c r="E124" s="111">
        <f>E114</f>
        <v>1920.7443527165351</v>
      </c>
      <c r="F124" s="111">
        <f>F114</f>
        <v>2278.9599440920765</v>
      </c>
    </row>
    <row r="125" spans="2:6" ht="15">
      <c r="B125" s="161" t="s">
        <v>198</v>
      </c>
      <c r="C125" s="162"/>
      <c r="D125" s="163">
        <f>ROUND(D118+D119+D120+D121+D122+D124,2)</f>
        <v>10380.26</v>
      </c>
      <c r="E125" s="163">
        <f>ROUND(E118+E119+E120+E121+E122+E124,2)</f>
        <v>9951.91</v>
      </c>
      <c r="F125" s="163">
        <f>ROUND(F118+F119+F120+F121+F122+F124,2)</f>
        <v>11807.92</v>
      </c>
    </row>
    <row r="126" spans="2:6" ht="15">
      <c r="B126" s="123"/>
      <c r="C126" s="150"/>
      <c r="D126" s="72"/>
      <c r="E126" s="164"/>
    </row>
    <row r="127" spans="2:6" ht="18">
      <c r="B127" s="302" t="s">
        <v>199</v>
      </c>
      <c r="C127" s="302"/>
      <c r="D127" s="302"/>
      <c r="E127" s="302"/>
    </row>
    <row r="128" spans="2:6" ht="27">
      <c r="B128" s="200" t="s">
        <v>200</v>
      </c>
      <c r="C128" s="200" t="s">
        <v>267</v>
      </c>
      <c r="D128" s="200" t="s">
        <v>268</v>
      </c>
      <c r="E128" s="200" t="s">
        <v>203</v>
      </c>
    </row>
    <row r="129" spans="2:5" ht="28.5" customHeight="1">
      <c r="B129" s="195" t="s">
        <v>230</v>
      </c>
      <c r="C129" s="201">
        <f>Resumo!E27</f>
        <v>27</v>
      </c>
      <c r="D129" s="204">
        <f>ROUND(D125,2)</f>
        <v>10380.26</v>
      </c>
      <c r="E129" s="202">
        <f>C129*D129</f>
        <v>280267.02</v>
      </c>
    </row>
    <row r="130" spans="2:5" ht="28.5" customHeight="1">
      <c r="B130" s="195" t="s">
        <v>228</v>
      </c>
      <c r="C130" s="201">
        <f>Resumo!E30</f>
        <v>9</v>
      </c>
      <c r="D130" s="204">
        <f>ROUND(E125*2,2)</f>
        <v>19903.82</v>
      </c>
      <c r="E130" s="202">
        <f>C130*D130</f>
        <v>179134.38</v>
      </c>
    </row>
    <row r="131" spans="2:5" ht="28.5" customHeight="1">
      <c r="B131" s="195" t="s">
        <v>229</v>
      </c>
      <c r="C131" s="201">
        <f>Resumo!E31</f>
        <v>5</v>
      </c>
      <c r="D131" s="204">
        <f>ROUND(F125*2,2)</f>
        <v>23615.84</v>
      </c>
      <c r="E131" s="202">
        <f>C131*D131</f>
        <v>118079.2</v>
      </c>
    </row>
    <row r="132" spans="2:5" ht="28.5" customHeight="1">
      <c r="B132" s="203" t="s">
        <v>254</v>
      </c>
      <c r="C132" s="201">
        <v>0</v>
      </c>
      <c r="D132" s="204">
        <f>ROUND(D125/220,2)</f>
        <v>47.18</v>
      </c>
      <c r="E132" s="205">
        <f t="shared" ref="E132:E134" si="0">C132*D132</f>
        <v>0</v>
      </c>
    </row>
    <row r="133" spans="2:5" ht="28.5" customHeight="1">
      <c r="B133" s="203" t="s">
        <v>255</v>
      </c>
      <c r="C133" s="217">
        <f>Resumo!E32</f>
        <v>16.666666666666668</v>
      </c>
      <c r="D133" s="204">
        <f>ROUND(E125/220,2)</f>
        <v>45.24</v>
      </c>
      <c r="E133" s="205">
        <f t="shared" si="0"/>
        <v>754.00000000000011</v>
      </c>
    </row>
    <row r="134" spans="2:5" ht="28.5" customHeight="1">
      <c r="B134" s="203" t="s">
        <v>256</v>
      </c>
      <c r="C134" s="201">
        <f>Resumo!E33</f>
        <v>6</v>
      </c>
      <c r="D134" s="204">
        <f>ROUND(F125/220,2)</f>
        <v>53.67</v>
      </c>
      <c r="E134" s="205">
        <f t="shared" si="0"/>
        <v>322.02</v>
      </c>
    </row>
    <row r="135" spans="2:5" ht="16.5" customHeight="1">
      <c r="B135" s="312" t="s">
        <v>204</v>
      </c>
      <c r="C135" s="312"/>
      <c r="D135" s="206"/>
      <c r="E135" s="202">
        <f>SUM(E129:E134)</f>
        <v>578556.62</v>
      </c>
    </row>
    <row r="136" spans="2:5" ht="15">
      <c r="B136" s="123"/>
      <c r="C136" s="150"/>
      <c r="D136" s="72"/>
      <c r="E136" s="164"/>
    </row>
    <row r="137" spans="2:5" ht="14.25">
      <c r="B137" s="192" t="s">
        <v>253</v>
      </c>
      <c r="E137" s="49"/>
    </row>
  </sheetData>
  <mergeCells count="35">
    <mergeCell ref="B122:C122"/>
    <mergeCell ref="B123:C123"/>
    <mergeCell ref="B124:C124"/>
    <mergeCell ref="B127:E127"/>
    <mergeCell ref="B135:C135"/>
    <mergeCell ref="B117:C117"/>
    <mergeCell ref="B118:C118"/>
    <mergeCell ref="B119:C119"/>
    <mergeCell ref="B120:C120"/>
    <mergeCell ref="B121:C121"/>
    <mergeCell ref="B69:F69"/>
    <mergeCell ref="B79:F79"/>
    <mergeCell ref="B97:F97"/>
    <mergeCell ref="B104:F104"/>
    <mergeCell ref="B116:F116"/>
    <mergeCell ref="C24:F24"/>
    <mergeCell ref="C25:F25"/>
    <mergeCell ref="C26:F26"/>
    <mergeCell ref="B29:F29"/>
    <mergeCell ref="B40:F40"/>
    <mergeCell ref="B19:F19"/>
    <mergeCell ref="B20:F20"/>
    <mergeCell ref="C21:F21"/>
    <mergeCell ref="C22:F22"/>
    <mergeCell ref="C23:F23"/>
    <mergeCell ref="C9:F9"/>
    <mergeCell ref="C10:F10"/>
    <mergeCell ref="C11:F11"/>
    <mergeCell ref="C12:F12"/>
    <mergeCell ref="B14:F14"/>
    <mergeCell ref="B1:E1"/>
    <mergeCell ref="B2:E2"/>
    <mergeCell ref="C4:F4"/>
    <mergeCell ref="C5:F5"/>
    <mergeCell ref="C6:F6"/>
  </mergeCells>
  <pageMargins left="0.78749999999999998" right="0.78749999999999998" top="0.78749999999999998" bottom="0.78749999999999998" header="0.511811023622047" footer="0.511811023622047"/>
  <pageSetup paperSize="9" scale="65" orientation="portrait" horizontalDpi="300" verticalDpi="300"/>
  <rowBreaks count="2" manualBreakCount="2">
    <brk id="54" max="16383" man="1"/>
    <brk id="67"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Planilhas</vt:lpstr>
      </vt:variant>
      <vt:variant>
        <vt:i4>5</vt:i4>
      </vt:variant>
      <vt:variant>
        <vt:lpstr>Intervalos Nomeados</vt:lpstr>
      </vt:variant>
      <vt:variant>
        <vt:i4>8</vt:i4>
      </vt:variant>
    </vt:vector>
  </HeadingPairs>
  <TitlesOfParts>
    <vt:vector size="13" baseType="lpstr">
      <vt:lpstr>Resumo</vt:lpstr>
      <vt:lpstr>Insumos</vt:lpstr>
      <vt:lpstr>Memória de Cálculo</vt:lpstr>
      <vt:lpstr>Horas Extras</vt:lpstr>
      <vt:lpstr>Brasília</vt:lpstr>
      <vt:lpstr>'Horas Extras'!Area_de_impressao</vt:lpstr>
      <vt:lpstr>'Memória de Cálculo'!Area_de_impressao</vt:lpstr>
      <vt:lpstr>Resumo!Area_de_impressao</vt:lpstr>
      <vt:lpstr>Resumo!Print_Area_0</vt:lpstr>
      <vt:lpstr>'Memória de Cálculo'!Print_Area_0_0</vt:lpstr>
      <vt:lpstr>Resumo!Print_Area_0_0</vt:lpstr>
      <vt:lpstr>'Memória de Cálculo'!Print_Area_0_0_0</vt:lpstr>
      <vt:lpstr>Resumo!Print_Area_0_0_0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dc:creator>
  <dc:description/>
  <cp:lastModifiedBy>Marcela Dohara</cp:lastModifiedBy>
  <cp:revision>162</cp:revision>
  <dcterms:created xsi:type="dcterms:W3CDTF">2020-01-27T09:12:42Z</dcterms:created>
  <dcterms:modified xsi:type="dcterms:W3CDTF">2025-10-31T15:50:04Z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0x010100636461C4583E7D43A6B8F46B8E022446</vt:lpwstr>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ies>
</file>