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INSS\Concentra\Diversos\35014.334990.2025-79 - VIG OST 2025 (GO, RR e DF)\"/>
    </mc:Choice>
  </mc:AlternateContent>
  <xr:revisionPtr revIDLastSave="0" documentId="8_{3F13D210-0AB2-43FA-97CB-8F6F82267425}" xr6:coauthVersionLast="47" xr6:coauthVersionMax="47" xr10:uidLastSave="{00000000-0000-0000-0000-000000000000}"/>
  <bookViews>
    <workbookView xWindow="19080" yWindow="-120" windowWidth="29040" windowHeight="15840" xr2:uid="{AF8D4E29-CFEC-440D-8123-2638ECD0B45D}"/>
  </bookViews>
  <sheets>
    <sheet name="Resumo" sheetId="1" r:id="rId1"/>
    <sheet name="Insumos" sheetId="2" r:id="rId2"/>
    <sheet name="Memória_de_Cálculo" sheetId="3" r:id="rId3"/>
    <sheet name="Hora_Extra" sheetId="4" r:id="rId4"/>
    <sheet name="Boa_Vista" sheetId="5" r:id="rId5"/>
    <sheet name="Caracaraí" sheetId="6" r:id="rId6"/>
    <sheet name="Rorainópolis" sheetId="7" r:id="rId7"/>
    <sheet name="Alto_Alegre" sheetId="8" r:id="rId8"/>
  </sheets>
  <definedNames>
    <definedName name="_xlnm.Print_Area" localSheetId="2">Memória_de_Cálculo!$A$1:$E$44</definedName>
    <definedName name="_xlnm.Print_Area" localSheetId="0">Resumo!$A$1:$H$32</definedName>
    <definedName name="Print_Area_0" localSheetId="0">Resumo!$A$1:$H$32</definedName>
    <definedName name="Print_Area_0_0" localSheetId="2">Memória_de_Cálculo!$A$1:$E$44</definedName>
    <definedName name="Print_Area_0_0" localSheetId="0">Resumo!$A$1:$H$32</definedName>
    <definedName name="Print_Area_0_0_0" localSheetId="2">Memória_de_Cálculo!$A$1:$E$44</definedName>
    <definedName name="Print_Area_0_0_0" localSheetId="0">Resumo!$A$1:$H$32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5" i="8" l="1"/>
  <c r="C134" i="8"/>
  <c r="C133" i="8"/>
  <c r="C132" i="8"/>
  <c r="C131" i="8"/>
  <c r="C130" i="8"/>
  <c r="C102" i="8"/>
  <c r="C101" i="8"/>
  <c r="C86" i="8"/>
  <c r="C82" i="8"/>
  <c r="C58" i="8"/>
  <c r="C57" i="8"/>
  <c r="C26" i="8"/>
  <c r="C25" i="8"/>
  <c r="C23" i="8"/>
  <c r="F16" i="8"/>
  <c r="E16" i="8"/>
  <c r="D16" i="8"/>
  <c r="C12" i="8"/>
  <c r="C11" i="8"/>
  <c r="C9" i="8"/>
  <c r="C6" i="8"/>
  <c r="C5" i="8"/>
  <c r="C4" i="8"/>
  <c r="C135" i="7"/>
  <c r="C134" i="7"/>
  <c r="C133" i="7"/>
  <c r="C132" i="7"/>
  <c r="C131" i="7"/>
  <c r="C130" i="7"/>
  <c r="C102" i="7"/>
  <c r="C101" i="7"/>
  <c r="C86" i="7"/>
  <c r="C58" i="7"/>
  <c r="C57" i="7"/>
  <c r="C26" i="7"/>
  <c r="C25" i="7"/>
  <c r="C23" i="7"/>
  <c r="F16" i="7"/>
  <c r="E16" i="7"/>
  <c r="D16" i="7"/>
  <c r="C12" i="7"/>
  <c r="C11" i="7"/>
  <c r="C9" i="7"/>
  <c r="C6" i="7"/>
  <c r="C5" i="7"/>
  <c r="C4" i="7"/>
  <c r="C135" i="6"/>
  <c r="C134" i="6"/>
  <c r="C133" i="6"/>
  <c r="C132" i="6"/>
  <c r="C131" i="6"/>
  <c r="C130" i="6"/>
  <c r="C102" i="6"/>
  <c r="C101" i="6"/>
  <c r="C86" i="6"/>
  <c r="C82" i="6"/>
  <c r="C81" i="6"/>
  <c r="C58" i="6"/>
  <c r="C57" i="6"/>
  <c r="C26" i="6"/>
  <c r="C25" i="6"/>
  <c r="C23" i="6"/>
  <c r="F16" i="6"/>
  <c r="E16" i="6"/>
  <c r="D16" i="6"/>
  <c r="C12" i="6"/>
  <c r="C11" i="6"/>
  <c r="C9" i="6"/>
  <c r="C6" i="6"/>
  <c r="C5" i="6"/>
  <c r="C4" i="6"/>
  <c r="C132" i="5"/>
  <c r="C131" i="5"/>
  <c r="C130" i="5"/>
  <c r="C82" i="5"/>
  <c r="C82" i="7" s="1"/>
  <c r="C57" i="5"/>
  <c r="F16" i="5"/>
  <c r="E16" i="5"/>
  <c r="D16" i="5"/>
  <c r="C86" i="4"/>
  <c r="C85" i="4"/>
  <c r="C82" i="4"/>
  <c r="C81" i="4"/>
  <c r="C26" i="4"/>
  <c r="C25" i="4"/>
  <c r="C23" i="4"/>
  <c r="C12" i="4"/>
  <c r="C11" i="4"/>
  <c r="C9" i="4"/>
  <c r="C6" i="4"/>
  <c r="C5" i="4"/>
  <c r="C4" i="4"/>
  <c r="C111" i="8"/>
  <c r="C110" i="8"/>
  <c r="C109" i="8" s="1"/>
  <c r="D94" i="8"/>
  <c r="C94" i="8"/>
  <c r="D90" i="8"/>
  <c r="C76" i="8"/>
  <c r="C74" i="8"/>
  <c r="C71" i="8"/>
  <c r="F61" i="8"/>
  <c r="E61" i="8"/>
  <c r="D61" i="8"/>
  <c r="D58" i="8"/>
  <c r="C54" i="8"/>
  <c r="C43" i="8"/>
  <c r="C42" i="8"/>
  <c r="D31" i="8"/>
  <c r="C31" i="8"/>
  <c r="C111" i="7"/>
  <c r="C110" i="7"/>
  <c r="F102" i="7"/>
  <c r="E102" i="7"/>
  <c r="D102" i="7"/>
  <c r="F101" i="7"/>
  <c r="E101" i="7"/>
  <c r="D101" i="7"/>
  <c r="C94" i="7"/>
  <c r="D90" i="7"/>
  <c r="D94" i="7" s="1"/>
  <c r="C76" i="7"/>
  <c r="C74" i="7"/>
  <c r="C72" i="7"/>
  <c r="C71" i="7"/>
  <c r="F61" i="7"/>
  <c r="E61" i="7"/>
  <c r="D61" i="7"/>
  <c r="F58" i="7"/>
  <c r="E58" i="7"/>
  <c r="D58" i="7"/>
  <c r="C54" i="7"/>
  <c r="C42" i="7"/>
  <c r="C43" i="7" s="1"/>
  <c r="C31" i="7"/>
  <c r="C111" i="6"/>
  <c r="C110" i="6"/>
  <c r="C109" i="6" s="1"/>
  <c r="F102" i="6"/>
  <c r="E102" i="6"/>
  <c r="D102" i="6"/>
  <c r="F101" i="6"/>
  <c r="E101" i="6"/>
  <c r="D101" i="6"/>
  <c r="C94" i="6"/>
  <c r="D90" i="6"/>
  <c r="D94" i="6" s="1"/>
  <c r="C76" i="6"/>
  <c r="C75" i="6"/>
  <c r="C74" i="6"/>
  <c r="C71" i="6"/>
  <c r="C65" i="6"/>
  <c r="F61" i="6"/>
  <c r="E61" i="6"/>
  <c r="D61" i="6"/>
  <c r="D59" i="6"/>
  <c r="F58" i="6"/>
  <c r="E58" i="6"/>
  <c r="D58" i="6"/>
  <c r="F56" i="6"/>
  <c r="C54" i="6"/>
  <c r="C42" i="6"/>
  <c r="F31" i="6"/>
  <c r="E31" i="6"/>
  <c r="C31" i="6"/>
  <c r="D31" i="6" s="1"/>
  <c r="C111" i="5"/>
  <c r="C110" i="5"/>
  <c r="C109" i="5"/>
  <c r="F102" i="5"/>
  <c r="E102" i="5"/>
  <c r="D102" i="5"/>
  <c r="F101" i="5"/>
  <c r="E101" i="5"/>
  <c r="D101" i="5"/>
  <c r="C94" i="5"/>
  <c r="D90" i="5"/>
  <c r="D94" i="5" s="1"/>
  <c r="C81" i="5"/>
  <c r="C76" i="5"/>
  <c r="C74" i="5"/>
  <c r="C71" i="5"/>
  <c r="C72" i="5" s="1"/>
  <c r="C65" i="5"/>
  <c r="F61" i="5"/>
  <c r="E61" i="5"/>
  <c r="D61" i="5"/>
  <c r="E60" i="5"/>
  <c r="D60" i="5"/>
  <c r="C60" i="5"/>
  <c r="F60" i="5" s="1"/>
  <c r="E59" i="5"/>
  <c r="F58" i="5"/>
  <c r="E58" i="5"/>
  <c r="D58" i="5"/>
  <c r="C54" i="5"/>
  <c r="C75" i="5" s="1"/>
  <c r="C42" i="5"/>
  <c r="F31" i="5"/>
  <c r="E31" i="5"/>
  <c r="C31" i="5"/>
  <c r="D31" i="5" s="1"/>
  <c r="C130" i="4"/>
  <c r="C110" i="4"/>
  <c r="C109" i="4"/>
  <c r="C108" i="4" s="1"/>
  <c r="E102" i="4"/>
  <c r="E122" i="4" s="1"/>
  <c r="C102" i="4"/>
  <c r="E101" i="4"/>
  <c r="D101" i="4"/>
  <c r="E100" i="4"/>
  <c r="D100" i="4"/>
  <c r="E99" i="4"/>
  <c r="D99" i="4"/>
  <c r="D102" i="4" s="1"/>
  <c r="D122" i="4" s="1"/>
  <c r="C94" i="4"/>
  <c r="D90" i="4"/>
  <c r="D94" i="4" s="1"/>
  <c r="C76" i="4"/>
  <c r="E76" i="4" s="1"/>
  <c r="C75" i="4"/>
  <c r="E75" i="4" s="1"/>
  <c r="E74" i="4"/>
  <c r="C74" i="4"/>
  <c r="C72" i="4"/>
  <c r="C77" i="4" s="1"/>
  <c r="E71" i="4"/>
  <c r="C71" i="4"/>
  <c r="E62" i="4"/>
  <c r="E66" i="4" s="1"/>
  <c r="D62" i="4"/>
  <c r="D66" i="4" s="1"/>
  <c r="C54" i="4"/>
  <c r="C65" i="4" s="1"/>
  <c r="C44" i="4"/>
  <c r="C64" i="4" s="1"/>
  <c r="C43" i="4"/>
  <c r="E43" i="4" s="1"/>
  <c r="E42" i="4"/>
  <c r="E44" i="4" s="1"/>
  <c r="C42" i="4"/>
  <c r="E38" i="4"/>
  <c r="E32" i="4"/>
  <c r="C31" i="4"/>
  <c r="D31" i="4" s="1"/>
  <c r="B29" i="3"/>
  <c r="C85" i="5" s="1"/>
  <c r="B25" i="3"/>
  <c r="C84" i="5" s="1"/>
  <c r="B21" i="3"/>
  <c r="C83" i="5" s="1"/>
  <c r="C83" i="8" s="1"/>
  <c r="E8" i="3"/>
  <c r="D8" i="3"/>
  <c r="D7" i="3"/>
  <c r="E7" i="3" s="1"/>
  <c r="E6" i="3"/>
  <c r="D6" i="3"/>
  <c r="J20" i="2"/>
  <c r="J19" i="2"/>
  <c r="J18" i="2"/>
  <c r="J17" i="2"/>
  <c r="J21" i="2" s="1"/>
  <c r="C100" i="5" s="1"/>
  <c r="J12" i="2"/>
  <c r="J11" i="2"/>
  <c r="J10" i="2"/>
  <c r="J9" i="2"/>
  <c r="J8" i="2"/>
  <c r="J7" i="2"/>
  <c r="J6" i="2"/>
  <c r="J5" i="2"/>
  <c r="J13" i="2" s="1"/>
  <c r="C99" i="5" s="1"/>
  <c r="E32" i="1"/>
  <c r="C135" i="5" s="1"/>
  <c r="E31" i="1"/>
  <c r="C134" i="5" s="1"/>
  <c r="E28" i="1"/>
  <c r="E27" i="1"/>
  <c r="D16" i="4" s="1"/>
  <c r="C129" i="4" s="1"/>
  <c r="F21" i="1"/>
  <c r="F20" i="1"/>
  <c r="F19" i="1"/>
  <c r="F18" i="1"/>
  <c r="F17" i="1"/>
  <c r="F22" i="1" s="1"/>
  <c r="E57" i="8" l="1"/>
  <c r="E57" i="6"/>
  <c r="E57" i="7"/>
  <c r="E57" i="5"/>
  <c r="C84" i="8"/>
  <c r="C84" i="6"/>
  <c r="C84" i="4"/>
  <c r="C84" i="7"/>
  <c r="C44" i="7"/>
  <c r="C64" i="7" s="1"/>
  <c r="C99" i="8"/>
  <c r="C99" i="7"/>
  <c r="F99" i="5"/>
  <c r="E99" i="5"/>
  <c r="C103" i="5"/>
  <c r="D99" i="5"/>
  <c r="D103" i="5" s="1"/>
  <c r="D123" i="5" s="1"/>
  <c r="C99" i="6"/>
  <c r="C100" i="8"/>
  <c r="C100" i="6"/>
  <c r="F100" i="5"/>
  <c r="D100" i="5"/>
  <c r="E100" i="5"/>
  <c r="C100" i="7"/>
  <c r="D32" i="4"/>
  <c r="D38" i="4" s="1"/>
  <c r="E52" i="4"/>
  <c r="E48" i="4"/>
  <c r="E46" i="4"/>
  <c r="E64" i="4"/>
  <c r="E50" i="4"/>
  <c r="F57" i="7"/>
  <c r="F57" i="6"/>
  <c r="F57" i="5"/>
  <c r="F57" i="8"/>
  <c r="F59" i="5"/>
  <c r="D71" i="6"/>
  <c r="F59" i="6"/>
  <c r="E47" i="4"/>
  <c r="E49" i="4"/>
  <c r="E51" i="4"/>
  <c r="E53" i="4"/>
  <c r="D56" i="5"/>
  <c r="D32" i="5"/>
  <c r="D38" i="5" s="1"/>
  <c r="C87" i="5"/>
  <c r="C93" i="5" s="1"/>
  <c r="F32" i="6"/>
  <c r="F35" i="6" s="1"/>
  <c r="F38" i="6" s="1"/>
  <c r="D74" i="6"/>
  <c r="F31" i="7"/>
  <c r="E31" i="7"/>
  <c r="C75" i="7"/>
  <c r="C65" i="7"/>
  <c r="D57" i="8"/>
  <c r="D57" i="6"/>
  <c r="D57" i="7"/>
  <c r="D57" i="5"/>
  <c r="E56" i="6"/>
  <c r="E32" i="6"/>
  <c r="E38" i="6"/>
  <c r="E101" i="8"/>
  <c r="D101" i="8"/>
  <c r="C83" i="4"/>
  <c r="C83" i="6"/>
  <c r="E73" i="4"/>
  <c r="E89" i="4"/>
  <c r="E90" i="4" s="1"/>
  <c r="E94" i="4" s="1"/>
  <c r="E118" i="4"/>
  <c r="F32" i="5"/>
  <c r="F35" i="5" s="1"/>
  <c r="E59" i="6"/>
  <c r="C65" i="8"/>
  <c r="C75" i="8"/>
  <c r="C87" i="6"/>
  <c r="C93" i="6" s="1"/>
  <c r="D102" i="8"/>
  <c r="F102" i="8"/>
  <c r="E102" i="8"/>
  <c r="C85" i="6"/>
  <c r="C85" i="7"/>
  <c r="C85" i="8"/>
  <c r="E72" i="4"/>
  <c r="E77" i="4" s="1"/>
  <c r="E120" i="4" s="1"/>
  <c r="E56" i="5"/>
  <c r="E32" i="5"/>
  <c r="E38" i="5"/>
  <c r="F56" i="5"/>
  <c r="D59" i="5"/>
  <c r="E72" i="5"/>
  <c r="D38" i="6"/>
  <c r="D56" i="6"/>
  <c r="D32" i="6"/>
  <c r="F34" i="6"/>
  <c r="D31" i="7"/>
  <c r="F101" i="8"/>
  <c r="C83" i="7"/>
  <c r="C43" i="5"/>
  <c r="C77" i="5"/>
  <c r="C81" i="7"/>
  <c r="C81" i="8"/>
  <c r="C43" i="6"/>
  <c r="C44" i="6"/>
  <c r="C64" i="6" s="1"/>
  <c r="C72" i="6"/>
  <c r="C77" i="7"/>
  <c r="E31" i="8"/>
  <c r="F31" i="8"/>
  <c r="C60" i="8"/>
  <c r="C60" i="6"/>
  <c r="C60" i="7"/>
  <c r="C109" i="7"/>
  <c r="D59" i="8"/>
  <c r="D56" i="8"/>
  <c r="D38" i="8"/>
  <c r="D32" i="8"/>
  <c r="C44" i="8"/>
  <c r="C64" i="8" s="1"/>
  <c r="C72" i="8"/>
  <c r="F58" i="8"/>
  <c r="E58" i="8"/>
  <c r="F89" i="6" l="1"/>
  <c r="F90" i="6" s="1"/>
  <c r="F94" i="6" s="1"/>
  <c r="F42" i="6"/>
  <c r="F71" i="6"/>
  <c r="F119" i="6"/>
  <c r="F73" i="6"/>
  <c r="F75" i="6"/>
  <c r="F74" i="6"/>
  <c r="F76" i="6"/>
  <c r="D118" i="4"/>
  <c r="D74" i="4"/>
  <c r="D71" i="4"/>
  <c r="D50" i="4"/>
  <c r="D48" i="4"/>
  <c r="D42" i="4"/>
  <c r="D44" i="4" s="1"/>
  <c r="D64" i="4" s="1"/>
  <c r="D51" i="4"/>
  <c r="D73" i="4"/>
  <c r="D53" i="4"/>
  <c r="D49" i="4"/>
  <c r="D43" i="4"/>
  <c r="D72" i="4"/>
  <c r="D75" i="4"/>
  <c r="D76" i="4"/>
  <c r="D73" i="5"/>
  <c r="D119" i="5"/>
  <c r="D71" i="5"/>
  <c r="D72" i="5"/>
  <c r="D76" i="5"/>
  <c r="D75" i="5"/>
  <c r="D74" i="5"/>
  <c r="D42" i="5"/>
  <c r="D73" i="8"/>
  <c r="D49" i="8"/>
  <c r="D71" i="8"/>
  <c r="D43" i="8"/>
  <c r="D119" i="8"/>
  <c r="D74" i="8"/>
  <c r="D51" i="8"/>
  <c r="F56" i="8"/>
  <c r="F32" i="8"/>
  <c r="F35" i="8"/>
  <c r="F38" i="8"/>
  <c r="F59" i="8"/>
  <c r="F34" i="8"/>
  <c r="C87" i="8"/>
  <c r="C93" i="8" s="1"/>
  <c r="D43" i="5"/>
  <c r="E43" i="5"/>
  <c r="E119" i="5"/>
  <c r="E74" i="5"/>
  <c r="E71" i="5"/>
  <c r="E77" i="5" s="1"/>
  <c r="E121" i="5" s="1"/>
  <c r="E89" i="5"/>
  <c r="E90" i="5" s="1"/>
  <c r="E94" i="5" s="1"/>
  <c r="E76" i="5"/>
  <c r="E73" i="5"/>
  <c r="E42" i="5"/>
  <c r="E44" i="5" s="1"/>
  <c r="E64" i="5" s="1"/>
  <c r="E89" i="6"/>
  <c r="E90" i="6" s="1"/>
  <c r="E94" i="6" s="1"/>
  <c r="E73" i="6"/>
  <c r="E42" i="6"/>
  <c r="E71" i="6"/>
  <c r="E119" i="6"/>
  <c r="E59" i="7"/>
  <c r="E38" i="7"/>
  <c r="E56" i="7"/>
  <c r="E32" i="7"/>
  <c r="E54" i="4"/>
  <c r="E65" i="4" s="1"/>
  <c r="F99" i="7"/>
  <c r="F103" i="7" s="1"/>
  <c r="F123" i="7" s="1"/>
  <c r="E99" i="7"/>
  <c r="D99" i="7"/>
  <c r="C103" i="7"/>
  <c r="C77" i="8"/>
  <c r="D72" i="8"/>
  <c r="F60" i="7"/>
  <c r="E60" i="7"/>
  <c r="D60" i="7"/>
  <c r="E38" i="8"/>
  <c r="E56" i="8"/>
  <c r="E59" i="8"/>
  <c r="E32" i="8"/>
  <c r="D72" i="6"/>
  <c r="D77" i="6" s="1"/>
  <c r="D121" i="6" s="1"/>
  <c r="E72" i="6"/>
  <c r="C77" i="6"/>
  <c r="F72" i="6"/>
  <c r="C87" i="7"/>
  <c r="C93" i="7" s="1"/>
  <c r="D119" i="6"/>
  <c r="D73" i="6"/>
  <c r="E75" i="8"/>
  <c r="D75" i="8"/>
  <c r="F56" i="7"/>
  <c r="F32" i="7"/>
  <c r="F34" i="7" s="1"/>
  <c r="F38" i="7" s="1"/>
  <c r="F35" i="7"/>
  <c r="F59" i="7"/>
  <c r="E74" i="6"/>
  <c r="D62" i="5"/>
  <c r="D66" i="5" s="1"/>
  <c r="F100" i="7"/>
  <c r="D100" i="7"/>
  <c r="E100" i="7"/>
  <c r="E100" i="6"/>
  <c r="D100" i="6"/>
  <c r="F100" i="6"/>
  <c r="E99" i="8"/>
  <c r="E103" i="8" s="1"/>
  <c r="E123" i="8" s="1"/>
  <c r="C103" i="8"/>
  <c r="F99" i="8"/>
  <c r="D99" i="8"/>
  <c r="D76" i="8"/>
  <c r="D60" i="6"/>
  <c r="D62" i="6" s="1"/>
  <c r="D66" i="6" s="1"/>
  <c r="F60" i="6"/>
  <c r="F62" i="6" s="1"/>
  <c r="F66" i="6" s="1"/>
  <c r="E60" i="6"/>
  <c r="E62" i="6" s="1"/>
  <c r="E66" i="6" s="1"/>
  <c r="E62" i="5"/>
  <c r="E66" i="5" s="1"/>
  <c r="E75" i="5"/>
  <c r="E83" i="4"/>
  <c r="C87" i="4"/>
  <c r="C93" i="4" s="1"/>
  <c r="D76" i="6"/>
  <c r="D42" i="6"/>
  <c r="D75" i="6"/>
  <c r="F100" i="8"/>
  <c r="D100" i="8"/>
  <c r="E100" i="8"/>
  <c r="E103" i="5"/>
  <c r="E123" i="5" s="1"/>
  <c r="D42" i="8"/>
  <c r="D44" i="8" s="1"/>
  <c r="D64" i="8" s="1"/>
  <c r="E60" i="8"/>
  <c r="F60" i="8"/>
  <c r="D60" i="8"/>
  <c r="D62" i="8" s="1"/>
  <c r="D66" i="8" s="1"/>
  <c r="D43" i="6"/>
  <c r="F43" i="6"/>
  <c r="E43" i="6"/>
  <c r="C44" i="5"/>
  <c r="C64" i="5" s="1"/>
  <c r="D59" i="7"/>
  <c r="D38" i="7"/>
  <c r="D56" i="7"/>
  <c r="D32" i="7"/>
  <c r="F62" i="5"/>
  <c r="F66" i="5" s="1"/>
  <c r="F38" i="5"/>
  <c r="F43" i="5" s="1"/>
  <c r="E75" i="7"/>
  <c r="E76" i="6"/>
  <c r="F34" i="5"/>
  <c r="E75" i="6"/>
  <c r="E67" i="4"/>
  <c r="C103" i="6"/>
  <c r="D99" i="6"/>
  <c r="D103" i="6" s="1"/>
  <c r="D123" i="6" s="1"/>
  <c r="F99" i="6"/>
  <c r="F103" i="6" s="1"/>
  <c r="F123" i="6" s="1"/>
  <c r="E99" i="6"/>
  <c r="F103" i="5"/>
  <c r="F123" i="5" s="1"/>
  <c r="F119" i="7" l="1"/>
  <c r="F89" i="7"/>
  <c r="F90" i="7" s="1"/>
  <c r="F94" i="7" s="1"/>
  <c r="F73" i="7"/>
  <c r="F42" i="7"/>
  <c r="F44" i="7" s="1"/>
  <c r="F64" i="7" s="1"/>
  <c r="F74" i="7"/>
  <c r="F71" i="7"/>
  <c r="F72" i="7"/>
  <c r="F76" i="7"/>
  <c r="F43" i="7"/>
  <c r="F75" i="7"/>
  <c r="E119" i="4"/>
  <c r="E82" i="4"/>
  <c r="E86" i="4"/>
  <c r="E85" i="4"/>
  <c r="E81" i="4"/>
  <c r="E84" i="4"/>
  <c r="F119" i="5"/>
  <c r="F89" i="5"/>
  <c r="F90" i="5" s="1"/>
  <c r="F94" i="5" s="1"/>
  <c r="F71" i="5"/>
  <c r="F53" i="5"/>
  <c r="F42" i="5"/>
  <c r="F44" i="5" s="1"/>
  <c r="F64" i="5" s="1"/>
  <c r="F49" i="5"/>
  <c r="F46" i="5"/>
  <c r="F50" i="5"/>
  <c r="F76" i="5"/>
  <c r="F73" i="5"/>
  <c r="F74" i="5"/>
  <c r="F75" i="5"/>
  <c r="F72" i="5"/>
  <c r="D71" i="7"/>
  <c r="D47" i="7"/>
  <c r="D76" i="7"/>
  <c r="D73" i="7"/>
  <c r="D72" i="7"/>
  <c r="D119" i="7"/>
  <c r="D74" i="7"/>
  <c r="D53" i="7"/>
  <c r="D43" i="7"/>
  <c r="D42" i="7"/>
  <c r="D44" i="7" s="1"/>
  <c r="D64" i="7" s="1"/>
  <c r="E62" i="7"/>
  <c r="E66" i="7" s="1"/>
  <c r="F89" i="8"/>
  <c r="F90" i="8" s="1"/>
  <c r="F94" i="8" s="1"/>
  <c r="F73" i="8"/>
  <c r="F50" i="8"/>
  <c r="F53" i="8"/>
  <c r="F51" i="8"/>
  <c r="F52" i="8"/>
  <c r="F119" i="8"/>
  <c r="F43" i="8"/>
  <c r="F74" i="8"/>
  <c r="F76" i="8"/>
  <c r="F42" i="8"/>
  <c r="F44" i="8" s="1"/>
  <c r="F64" i="8" s="1"/>
  <c r="F71" i="8"/>
  <c r="D77" i="5"/>
  <c r="D121" i="5" s="1"/>
  <c r="E103" i="6"/>
  <c r="E123" i="6" s="1"/>
  <c r="E62" i="8"/>
  <c r="E66" i="8" s="1"/>
  <c r="F72" i="8"/>
  <c r="E76" i="7"/>
  <c r="E73" i="7"/>
  <c r="E74" i="7"/>
  <c r="E119" i="7"/>
  <c r="E89" i="7"/>
  <c r="E90" i="7" s="1"/>
  <c r="E94" i="7" s="1"/>
  <c r="E43" i="7"/>
  <c r="E42" i="7"/>
  <c r="E71" i="7"/>
  <c r="E72" i="7"/>
  <c r="E53" i="5"/>
  <c r="D46" i="8"/>
  <c r="D48" i="8"/>
  <c r="D44" i="5"/>
  <c r="D75" i="7"/>
  <c r="D103" i="8"/>
  <c r="D123" i="8" s="1"/>
  <c r="F62" i="7"/>
  <c r="F66" i="7" s="1"/>
  <c r="F75" i="8"/>
  <c r="E119" i="8"/>
  <c r="E53" i="8"/>
  <c r="E49" i="8"/>
  <c r="E73" i="8"/>
  <c r="E48" i="8"/>
  <c r="E51" i="8"/>
  <c r="E89" i="8"/>
  <c r="E90" i="8" s="1"/>
  <c r="E94" i="8" s="1"/>
  <c r="E52" i="8"/>
  <c r="E76" i="8"/>
  <c r="E50" i="8"/>
  <c r="E47" i="8"/>
  <c r="E42" i="8"/>
  <c r="E44" i="8" s="1"/>
  <c r="E64" i="8" s="1"/>
  <c r="E71" i="8"/>
  <c r="E74" i="8"/>
  <c r="E43" i="8"/>
  <c r="E72" i="8"/>
  <c r="D103" i="7"/>
  <c r="D123" i="7" s="1"/>
  <c r="E77" i="6"/>
  <c r="E121" i="6" s="1"/>
  <c r="E49" i="5"/>
  <c r="E47" i="5"/>
  <c r="E46" i="5"/>
  <c r="D47" i="8"/>
  <c r="D77" i="8"/>
  <c r="D121" i="8" s="1"/>
  <c r="D53" i="8"/>
  <c r="D50" i="8"/>
  <c r="D52" i="8"/>
  <c r="D52" i="4"/>
  <c r="F44" i="6"/>
  <c r="D62" i="7"/>
  <c r="D66" i="7" s="1"/>
  <c r="D44" i="6"/>
  <c r="F103" i="8"/>
  <c r="F123" i="8" s="1"/>
  <c r="E103" i="7"/>
  <c r="E123" i="7" s="1"/>
  <c r="E44" i="6"/>
  <c r="E52" i="5"/>
  <c r="E48" i="5"/>
  <c r="E51" i="5"/>
  <c r="E50" i="5"/>
  <c r="F62" i="8"/>
  <c r="F66" i="8" s="1"/>
  <c r="D47" i="4"/>
  <c r="D46" i="4"/>
  <c r="D54" i="4" s="1"/>
  <c r="D65" i="4" s="1"/>
  <c r="D67" i="4" s="1"/>
  <c r="D77" i="4"/>
  <c r="D120" i="4" s="1"/>
  <c r="F77" i="6"/>
  <c r="F121" i="6" s="1"/>
  <c r="D119" i="4" l="1"/>
  <c r="D81" i="4"/>
  <c r="D85" i="4"/>
  <c r="D86" i="4"/>
  <c r="D83" i="4"/>
  <c r="D82" i="4"/>
  <c r="D84" i="4"/>
  <c r="F77" i="5"/>
  <c r="F121" i="5" s="1"/>
  <c r="F50" i="7"/>
  <c r="D46" i="7"/>
  <c r="D51" i="7"/>
  <c r="E87" i="4"/>
  <c r="E93" i="4" s="1"/>
  <c r="E95" i="4" s="1"/>
  <c r="F52" i="7"/>
  <c r="F51" i="7"/>
  <c r="D64" i="6"/>
  <c r="D48" i="6"/>
  <c r="D47" i="6"/>
  <c r="D50" i="6"/>
  <c r="D53" i="6"/>
  <c r="D46" i="6"/>
  <c r="D52" i="6"/>
  <c r="D49" i="6"/>
  <c r="D51" i="6"/>
  <c r="D64" i="5"/>
  <c r="D49" i="5"/>
  <c r="D46" i="5"/>
  <c r="D52" i="5"/>
  <c r="D47" i="5"/>
  <c r="D51" i="5"/>
  <c r="D53" i="5"/>
  <c r="D50" i="5"/>
  <c r="D48" i="5"/>
  <c r="E44" i="7"/>
  <c r="F77" i="8"/>
  <c r="F121" i="8" s="1"/>
  <c r="F47" i="8"/>
  <c r="D48" i="7"/>
  <c r="D77" i="7"/>
  <c r="D121" i="7" s="1"/>
  <c r="F48" i="5"/>
  <c r="F47" i="5"/>
  <c r="F77" i="7"/>
  <c r="F121" i="7" s="1"/>
  <c r="D54" i="8"/>
  <c r="D65" i="8" s="1"/>
  <c r="D67" i="8" s="1"/>
  <c r="F48" i="7"/>
  <c r="F53" i="7"/>
  <c r="F64" i="6"/>
  <c r="F53" i="6"/>
  <c r="F51" i="6"/>
  <c r="F52" i="6"/>
  <c r="F49" i="6"/>
  <c r="F47" i="6"/>
  <c r="F48" i="6"/>
  <c r="F46" i="6"/>
  <c r="F50" i="6"/>
  <c r="E54" i="5"/>
  <c r="E65" i="5" s="1"/>
  <c r="E67" i="5" s="1"/>
  <c r="E77" i="8"/>
  <c r="E121" i="8" s="1"/>
  <c r="E77" i="7"/>
  <c r="E121" i="7" s="1"/>
  <c r="D49" i="7"/>
  <c r="E64" i="6"/>
  <c r="E51" i="6"/>
  <c r="E52" i="6"/>
  <c r="E50" i="6"/>
  <c r="E47" i="6"/>
  <c r="E49" i="6"/>
  <c r="E53" i="6"/>
  <c r="E46" i="6"/>
  <c r="E48" i="6"/>
  <c r="E46" i="8"/>
  <c r="E54" i="8" s="1"/>
  <c r="E65" i="8" s="1"/>
  <c r="E67" i="8" s="1"/>
  <c r="F67" i="8"/>
  <c r="F48" i="8"/>
  <c r="F49" i="8"/>
  <c r="F46" i="8"/>
  <c r="F54" i="8" s="1"/>
  <c r="F65" i="8" s="1"/>
  <c r="D50" i="7"/>
  <c r="D52" i="7"/>
  <c r="F54" i="5"/>
  <c r="F65" i="5" s="1"/>
  <c r="F67" i="5" s="1"/>
  <c r="F52" i="5"/>
  <c r="F51" i="5"/>
  <c r="F47" i="7"/>
  <c r="F46" i="7"/>
  <c r="F49" i="7"/>
  <c r="E120" i="8" l="1"/>
  <c r="E84" i="8"/>
  <c r="E86" i="8"/>
  <c r="E83" i="8"/>
  <c r="E85" i="8"/>
  <c r="E82" i="8"/>
  <c r="E81" i="8"/>
  <c r="E87" i="8" s="1"/>
  <c r="E93" i="8" s="1"/>
  <c r="E95" i="8" s="1"/>
  <c r="E122" i="8" s="1"/>
  <c r="F120" i="5"/>
  <c r="F81" i="5"/>
  <c r="F85" i="5"/>
  <c r="F86" i="5"/>
  <c r="F84" i="5"/>
  <c r="F82" i="5"/>
  <c r="F83" i="5"/>
  <c r="F120" i="8"/>
  <c r="F84" i="8"/>
  <c r="F85" i="8"/>
  <c r="F81" i="8"/>
  <c r="F82" i="8"/>
  <c r="F83" i="8"/>
  <c r="F86" i="8"/>
  <c r="D67" i="5"/>
  <c r="E120" i="5"/>
  <c r="E85" i="5"/>
  <c r="E86" i="5"/>
  <c r="E81" i="5"/>
  <c r="E84" i="5"/>
  <c r="E83" i="5"/>
  <c r="E82" i="5"/>
  <c r="D54" i="6"/>
  <c r="D65" i="6" s="1"/>
  <c r="D54" i="7"/>
  <c r="D65" i="7" s="1"/>
  <c r="D67" i="7" s="1"/>
  <c r="E67" i="6"/>
  <c r="D54" i="5"/>
  <c r="D65" i="5" s="1"/>
  <c r="D67" i="6"/>
  <c r="D120" i="8"/>
  <c r="D86" i="8"/>
  <c r="D84" i="8"/>
  <c r="D81" i="8"/>
  <c r="D85" i="8"/>
  <c r="D82" i="8"/>
  <c r="D83" i="8"/>
  <c r="D87" i="4"/>
  <c r="D93" i="4" s="1"/>
  <c r="D95" i="4" s="1"/>
  <c r="F54" i="7"/>
  <c r="F65" i="7" s="1"/>
  <c r="F67" i="7" s="1"/>
  <c r="E54" i="6"/>
  <c r="E65" i="6" s="1"/>
  <c r="F54" i="6"/>
  <c r="F65" i="6" s="1"/>
  <c r="F67" i="6" s="1"/>
  <c r="E64" i="7"/>
  <c r="E48" i="7"/>
  <c r="E47" i="7"/>
  <c r="E53" i="7"/>
  <c r="E50" i="7"/>
  <c r="E49" i="7"/>
  <c r="E46" i="7"/>
  <c r="E51" i="7"/>
  <c r="E52" i="7"/>
  <c r="E121" i="4"/>
  <c r="E106" i="4"/>
  <c r="F120" i="6" l="1"/>
  <c r="F82" i="6"/>
  <c r="F81" i="6"/>
  <c r="F84" i="6"/>
  <c r="F83" i="6"/>
  <c r="F85" i="6"/>
  <c r="F86" i="6"/>
  <c r="E120" i="6"/>
  <c r="E86" i="6"/>
  <c r="E82" i="6"/>
  <c r="E83" i="6"/>
  <c r="E81" i="6"/>
  <c r="E85" i="6"/>
  <c r="E84" i="6"/>
  <c r="D120" i="5"/>
  <c r="D81" i="5"/>
  <c r="D86" i="5"/>
  <c r="D84" i="5"/>
  <c r="D82" i="5"/>
  <c r="D83" i="5"/>
  <c r="D85" i="5"/>
  <c r="E107" i="4"/>
  <c r="E109" i="4" s="1"/>
  <c r="D120" i="6"/>
  <c r="D81" i="6"/>
  <c r="D83" i="6"/>
  <c r="D85" i="6"/>
  <c r="D84" i="6"/>
  <c r="D86" i="6"/>
  <c r="D82" i="6"/>
  <c r="E123" i="4"/>
  <c r="F120" i="7"/>
  <c r="F81" i="7"/>
  <c r="F84" i="7"/>
  <c r="F83" i="7"/>
  <c r="F82" i="7"/>
  <c r="F85" i="7"/>
  <c r="F86" i="7"/>
  <c r="D87" i="8"/>
  <c r="D93" i="8" s="1"/>
  <c r="D95" i="8" s="1"/>
  <c r="F87" i="5"/>
  <c r="F93" i="5" s="1"/>
  <c r="F95" i="5" s="1"/>
  <c r="E110" i="4"/>
  <c r="E54" i="7"/>
  <c r="E65" i="7" s="1"/>
  <c r="D120" i="7"/>
  <c r="D83" i="7"/>
  <c r="D85" i="7"/>
  <c r="D86" i="7"/>
  <c r="D81" i="7"/>
  <c r="D84" i="7"/>
  <c r="D82" i="7"/>
  <c r="F87" i="8"/>
  <c r="F93" i="8" s="1"/>
  <c r="F95" i="8" s="1"/>
  <c r="E108" i="4"/>
  <c r="E114" i="4" s="1"/>
  <c r="E124" i="4" s="1"/>
  <c r="E125" i="4" s="1"/>
  <c r="D130" i="4" s="1"/>
  <c r="E130" i="4" s="1"/>
  <c r="E67" i="7"/>
  <c r="D121" i="4"/>
  <c r="D106" i="4"/>
  <c r="E87" i="5"/>
  <c r="E93" i="5" s="1"/>
  <c r="E95" i="5" s="1"/>
  <c r="E107" i="8"/>
  <c r="E124" i="8"/>
  <c r="E122" i="5" l="1"/>
  <c r="E111" i="5"/>
  <c r="E107" i="5"/>
  <c r="E110" i="5" s="1"/>
  <c r="E109" i="5"/>
  <c r="E113" i="5"/>
  <c r="E108" i="5"/>
  <c r="E120" i="7"/>
  <c r="E83" i="7"/>
  <c r="E82" i="7"/>
  <c r="E85" i="7"/>
  <c r="E86" i="7"/>
  <c r="E84" i="7"/>
  <c r="E81" i="7"/>
  <c r="D87" i="7"/>
  <c r="D93" i="7" s="1"/>
  <c r="D95" i="7" s="1"/>
  <c r="E108" i="8"/>
  <c r="E111" i="8" s="1"/>
  <c r="E110" i="8"/>
  <c r="D87" i="5"/>
  <c r="D93" i="5" s="1"/>
  <c r="D95" i="5" s="1"/>
  <c r="E87" i="6"/>
  <c r="E93" i="6" s="1"/>
  <c r="E95" i="6" s="1"/>
  <c r="F87" i="7"/>
  <c r="F93" i="7" s="1"/>
  <c r="F95" i="7" s="1"/>
  <c r="D87" i="6"/>
  <c r="D93" i="6" s="1"/>
  <c r="D95" i="6" s="1"/>
  <c r="E113" i="8"/>
  <c r="D107" i="4"/>
  <c r="D110" i="4" s="1"/>
  <c r="D122" i="8"/>
  <c r="D110" i="8"/>
  <c r="D107" i="8"/>
  <c r="D108" i="8"/>
  <c r="D113" i="8" s="1"/>
  <c r="F87" i="6"/>
  <c r="F93" i="6" s="1"/>
  <c r="F95" i="6" s="1"/>
  <c r="D123" i="4"/>
  <c r="F122" i="8"/>
  <c r="F107" i="8"/>
  <c r="F108" i="8"/>
  <c r="F113" i="8" s="1"/>
  <c r="F122" i="5"/>
  <c r="F109" i="5"/>
  <c r="F107" i="5"/>
  <c r="F110" i="5" s="1"/>
  <c r="F108" i="5"/>
  <c r="F113" i="5" s="1"/>
  <c r="E109" i="8"/>
  <c r="E115" i="8" s="1"/>
  <c r="E125" i="8" s="1"/>
  <c r="E126" i="8" s="1"/>
  <c r="E112" i="4"/>
  <c r="D131" i="8" l="1"/>
  <c r="D134" i="8"/>
  <c r="D122" i="6"/>
  <c r="D107" i="6"/>
  <c r="D109" i="6"/>
  <c r="D113" i="6"/>
  <c r="D108" i="6"/>
  <c r="E126" i="5"/>
  <c r="E124" i="5"/>
  <c r="F110" i="8"/>
  <c r="F124" i="8"/>
  <c r="D115" i="8"/>
  <c r="D125" i="8" s="1"/>
  <c r="D126" i="8" s="1"/>
  <c r="D109" i="8"/>
  <c r="F122" i="7"/>
  <c r="F107" i="7"/>
  <c r="E122" i="6"/>
  <c r="E107" i="6"/>
  <c r="D109" i="4"/>
  <c r="F111" i="8"/>
  <c r="D108" i="4"/>
  <c r="D114" i="4" s="1"/>
  <c r="D124" i="4" s="1"/>
  <c r="D125" i="4" s="1"/>
  <c r="D129" i="4" s="1"/>
  <c r="D122" i="7"/>
  <c r="D108" i="7"/>
  <c r="D107" i="7"/>
  <c r="D110" i="7" s="1"/>
  <c r="D111" i="7"/>
  <c r="F115" i="5"/>
  <c r="F125" i="5" s="1"/>
  <c r="F122" i="6"/>
  <c r="F107" i="6"/>
  <c r="F111" i="5"/>
  <c r="F124" i="5"/>
  <c r="F126" i="5"/>
  <c r="F109" i="8"/>
  <c r="F115" i="8" s="1"/>
  <c r="F125" i="8" s="1"/>
  <c r="F126" i="8" s="1"/>
  <c r="D111" i="8"/>
  <c r="D124" i="8"/>
  <c r="D122" i="5"/>
  <c r="D107" i="5"/>
  <c r="D112" i="4"/>
  <c r="E87" i="7"/>
  <c r="E93" i="7" s="1"/>
  <c r="E95" i="7" s="1"/>
  <c r="E115" i="5"/>
  <c r="E125" i="5" s="1"/>
  <c r="D133" i="8" l="1"/>
  <c r="E133" i="8" s="1"/>
  <c r="D130" i="8"/>
  <c r="F27" i="1"/>
  <c r="G27" i="1" s="1"/>
  <c r="E129" i="4"/>
  <c r="E131" i="4" s="1"/>
  <c r="D135" i="8"/>
  <c r="D132" i="8"/>
  <c r="F110" i="7"/>
  <c r="D124" i="5"/>
  <c r="F109" i="7"/>
  <c r="D135" i="5"/>
  <c r="D132" i="5"/>
  <c r="D109" i="7"/>
  <c r="F108" i="7"/>
  <c r="D131" i="5"/>
  <c r="D134" i="5"/>
  <c r="D108" i="5"/>
  <c r="F124" i="6"/>
  <c r="D126" i="7"/>
  <c r="D124" i="7"/>
  <c r="F124" i="7"/>
  <c r="D115" i="6"/>
  <c r="D125" i="6" s="1"/>
  <c r="F55" i="1"/>
  <c r="G55" i="1" s="1"/>
  <c r="H55" i="1" s="1"/>
  <c r="E134" i="8"/>
  <c r="E122" i="7"/>
  <c r="E107" i="7"/>
  <c r="E109" i="7"/>
  <c r="E110" i="7"/>
  <c r="E111" i="7"/>
  <c r="E108" i="7"/>
  <c r="E113" i="7"/>
  <c r="F115" i="7"/>
  <c r="F125" i="7" s="1"/>
  <c r="F126" i="7" s="1"/>
  <c r="D126" i="6"/>
  <c r="D124" i="6"/>
  <c r="D115" i="7"/>
  <c r="D125" i="7" s="1"/>
  <c r="E108" i="6"/>
  <c r="E109" i="6" s="1"/>
  <c r="F113" i="7"/>
  <c r="F108" i="6"/>
  <c r="D113" i="7"/>
  <c r="E124" i="6"/>
  <c r="F111" i="7"/>
  <c r="D110" i="6"/>
  <c r="D111" i="6"/>
  <c r="E131" i="8"/>
  <c r="F53" i="1"/>
  <c r="G53" i="1" s="1"/>
  <c r="H53" i="1" s="1"/>
  <c r="D135" i="7" l="1"/>
  <c r="D132" i="7"/>
  <c r="D110" i="5"/>
  <c r="D113" i="5"/>
  <c r="D109" i="5"/>
  <c r="F32" i="1"/>
  <c r="G32" i="1" s="1"/>
  <c r="E135" i="5"/>
  <c r="F113" i="6"/>
  <c r="F110" i="6"/>
  <c r="F111" i="6"/>
  <c r="F54" i="1"/>
  <c r="G54" i="1" s="1"/>
  <c r="H54" i="1" s="1"/>
  <c r="E132" i="8"/>
  <c r="D111" i="5"/>
  <c r="D115" i="5"/>
  <c r="D125" i="5" s="1"/>
  <c r="D126" i="5" s="1"/>
  <c r="E115" i="7"/>
  <c r="E125" i="7" s="1"/>
  <c r="E126" i="7" s="1"/>
  <c r="E111" i="6"/>
  <c r="E131" i="5"/>
  <c r="F29" i="1"/>
  <c r="G29" i="1" s="1"/>
  <c r="F56" i="1"/>
  <c r="G56" i="1" s="1"/>
  <c r="H56" i="1" s="1"/>
  <c r="E135" i="8"/>
  <c r="F52" i="1"/>
  <c r="G52" i="1" s="1"/>
  <c r="E130" i="8"/>
  <c r="D133" i="7"/>
  <c r="E133" i="7" s="1"/>
  <c r="D130" i="7"/>
  <c r="E115" i="6"/>
  <c r="E125" i="6" s="1"/>
  <c r="E126" i="6" s="1"/>
  <c r="E113" i="6"/>
  <c r="F31" i="1"/>
  <c r="G31" i="1" s="1"/>
  <c r="E134" i="5"/>
  <c r="E110" i="6"/>
  <c r="D130" i="6"/>
  <c r="D133" i="6"/>
  <c r="E133" i="6" s="1"/>
  <c r="E124" i="7"/>
  <c r="F109" i="6"/>
  <c r="F115" i="6" s="1"/>
  <c r="F125" i="6" s="1"/>
  <c r="F126" i="6" s="1"/>
  <c r="F30" i="1"/>
  <c r="G30" i="1" s="1"/>
  <c r="E132" i="5"/>
  <c r="D131" i="7" l="1"/>
  <c r="D134" i="7"/>
  <c r="D132" i="6"/>
  <c r="D135" i="6"/>
  <c r="H30" i="1"/>
  <c r="F36" i="1"/>
  <c r="G36" i="1" s="1"/>
  <c r="E130" i="6"/>
  <c r="E136" i="8"/>
  <c r="G57" i="1"/>
  <c r="H52" i="1"/>
  <c r="H57" i="1" s="1"/>
  <c r="H29" i="1"/>
  <c r="D133" i="5"/>
  <c r="E133" i="5" s="1"/>
  <c r="D130" i="5"/>
  <c r="H32" i="1"/>
  <c r="E132" i="7"/>
  <c r="F46" i="1"/>
  <c r="G46" i="1" s="1"/>
  <c r="H46" i="1" s="1"/>
  <c r="H31" i="1"/>
  <c r="D134" i="6"/>
  <c r="D131" i="6"/>
  <c r="F44" i="1"/>
  <c r="G44" i="1" s="1"/>
  <c r="E130" i="7"/>
  <c r="F48" i="1"/>
  <c r="G48" i="1" s="1"/>
  <c r="H48" i="1" s="1"/>
  <c r="E135" i="7"/>
  <c r="F40" i="1" l="1"/>
  <c r="G40" i="1" s="1"/>
  <c r="E135" i="6"/>
  <c r="F37" i="1"/>
  <c r="G37" i="1" s="1"/>
  <c r="E131" i="6"/>
  <c r="E136" i="6" s="1"/>
  <c r="F26" i="1"/>
  <c r="E130" i="5"/>
  <c r="E136" i="5" s="1"/>
  <c r="F39" i="1"/>
  <c r="G39" i="1" s="1"/>
  <c r="E134" i="6"/>
  <c r="F47" i="1"/>
  <c r="G47" i="1" s="1"/>
  <c r="H47" i="1" s="1"/>
  <c r="E134" i="7"/>
  <c r="H44" i="1"/>
  <c r="H49" i="1" s="1"/>
  <c r="H36" i="1"/>
  <c r="F38" i="1"/>
  <c r="G38" i="1" s="1"/>
  <c r="E132" i="6"/>
  <c r="F45" i="1"/>
  <c r="G45" i="1" s="1"/>
  <c r="H45" i="1" s="1"/>
  <c r="E131" i="7"/>
  <c r="E136" i="7" s="1"/>
  <c r="H38" i="1" l="1"/>
  <c r="G19" i="1"/>
  <c r="H19" i="1" s="1"/>
  <c r="G49" i="1"/>
  <c r="H37" i="1"/>
  <c r="H41" i="1" s="1"/>
  <c r="G18" i="1"/>
  <c r="H18" i="1" s="1"/>
  <c r="G41" i="1"/>
  <c r="H39" i="1"/>
  <c r="G20" i="1"/>
  <c r="H20" i="1" s="1"/>
  <c r="F28" i="1"/>
  <c r="G28" i="1" s="1"/>
  <c r="G26" i="1"/>
  <c r="H40" i="1"/>
  <c r="G21" i="1"/>
  <c r="H21" i="1" s="1"/>
  <c r="G33" i="1" l="1"/>
  <c r="G17" i="1"/>
  <c r="H28" i="1"/>
  <c r="H33" i="1" s="1"/>
  <c r="H17" i="1" l="1"/>
  <c r="H22" i="1" s="1"/>
  <c r="G22" i="1"/>
</calcChain>
</file>

<file path=xl/sharedStrings.xml><?xml version="1.0" encoding="utf-8"?>
<sst xmlns="http://schemas.openxmlformats.org/spreadsheetml/2006/main" count="1098" uniqueCount="266">
  <si>
    <t>PLANILHA ESTIMATIVA</t>
  </si>
  <si>
    <t>Anexo I - B do TR - Planilha de Custos e Formação de Preços para Serviços de Vigilância - GEX – Boa Vista / RR</t>
  </si>
  <si>
    <t>INSS - GERÊNCIA EXECUTIVA EM BOA VISTA / RR</t>
  </si>
  <si>
    <t>PREGÃO ELETRÔNICO Nº</t>
  </si>
  <si>
    <t>DATA DA ABERTURA:</t>
  </si>
  <si>
    <t>1 - OBJETO:</t>
  </si>
  <si>
    <t>Contratação de serviços de segurança e vigilância orgânica e patrimonial desarmada, visando atender as demandas da Superintendência Regional Norte/Centro-Oeste e Gerências Executivas vinculadas, conforme condições, quantidades e exigências estabelecidas neste instrumento convocatório.</t>
  </si>
  <si>
    <t>2 - CONDIÇÕES GERAIS</t>
  </si>
  <si>
    <t>Conforme Termo de Referência.</t>
  </si>
  <si>
    <t xml:space="preserve">  </t>
  </si>
  <si>
    <t>RESUMO GERAL</t>
  </si>
  <si>
    <t>DESCRIÇÃO</t>
  </si>
  <si>
    <t>POSTOS / HE</t>
  </si>
  <si>
    <t>VALOR MENSAL</t>
  </si>
  <si>
    <t>VALOR GLOBAL</t>
  </si>
  <si>
    <t>POSTO DE VIGILÂNCIA DESARMADA 44 HORAS SEMANAIS</t>
  </si>
  <si>
    <t>POSTO DE VIGILÂNCIA DESARMADA 12x36 DIURNO</t>
  </si>
  <si>
    <t>POSTO DE VIGILÂNCIA DESARMADA 12x36 NOTURNO</t>
  </si>
  <si>
    <t>Hora Eventual Diurna (12X36 Diurnas)</t>
  </si>
  <si>
    <t>Hora Eventual Noturna (12X36 Noturnas)</t>
  </si>
  <si>
    <t xml:space="preserve">VALOR TOTAL: </t>
  </si>
  <si>
    <t>PLANILHA 2025</t>
  </si>
  <si>
    <t>Item</t>
  </si>
  <si>
    <t>Localidade</t>
  </si>
  <si>
    <t>Descrição</t>
  </si>
  <si>
    <t>Quant.</t>
  </si>
  <si>
    <t>Valor do Posto / HE</t>
  </si>
  <si>
    <t>Valor Mensal</t>
  </si>
  <si>
    <t>Valor 12 Meses</t>
  </si>
  <si>
    <t>Boa Vista / RR</t>
  </si>
  <si>
    <t>HORA EXTRA (Sábado)</t>
  </si>
  <si>
    <t>POSTO DE VIGILÂNCIA DESARMADA 44 HORAS SEMANAIS COM HORA EXTRA</t>
  </si>
  <si>
    <t>POSTO DE VIGILÂNCIA 12x36 DIURNO</t>
  </si>
  <si>
    <t>POSTO DE VIGILÂNCIA 12x36 NOTURNO</t>
  </si>
  <si>
    <t>VALOR TOTAL:</t>
  </si>
  <si>
    <t>Valor Total</t>
  </si>
  <si>
    <t>Caracaraí / RR</t>
  </si>
  <si>
    <t>POSTO DE VIGILÂNCIA 44 HORAS SEMANAIS</t>
  </si>
  <si>
    <t>Rorainópolis / RR</t>
  </si>
  <si>
    <t>Alto Alegre / RR</t>
  </si>
  <si>
    <t>Observações:</t>
  </si>
  <si>
    <t xml:space="preserve">As horas extras e horas eventuais poderão ser utilizadas em qualquer unidade do contratante, desde que respeitado o limite estabelecido no instrumento contratual. </t>
  </si>
  <si>
    <t>As horas extras e horas eventuais só devem ser pagas quando forem utilizadas com a autorização da administração.</t>
  </si>
  <si>
    <t>CÁLCULO DOS INSUMOS</t>
  </si>
  <si>
    <t>ESTIMATIVA ANUAL DE UNIFORMES POR VIGILANTE</t>
  </si>
  <si>
    <t>ITEM</t>
  </si>
  <si>
    <t>DISCRIMINAÇÃO</t>
  </si>
  <si>
    <t>UNIDADE</t>
  </si>
  <si>
    <t>QTDE</t>
  </si>
  <si>
    <t>Preço 1 R$</t>
  </si>
  <si>
    <t>Preço 2</t>
  </si>
  <si>
    <t>Preço 3</t>
  </si>
  <si>
    <t>Média Painel de Preços</t>
  </si>
  <si>
    <t>VALOR MÉDIO</t>
  </si>
  <si>
    <t>Calça</t>
  </si>
  <si>
    <t>unid</t>
  </si>
  <si>
    <t>Camisa de mangas curtas</t>
  </si>
  <si>
    <t>Cinto de nylon</t>
  </si>
  <si>
    <t>Coturno</t>
  </si>
  <si>
    <t>par</t>
  </si>
  <si>
    <t>Meia</t>
  </si>
  <si>
    <t>Blusa de frio - japona</t>
  </si>
  <si>
    <t>Crachá</t>
  </si>
  <si>
    <t>Apito de metal com cordão</t>
  </si>
  <si>
    <t>CUSTO MENSAL DE UNIFORMES</t>
  </si>
  <si>
    <t xml:space="preserve"> MATERIAIS POR POSTO</t>
  </si>
  <si>
    <t>Preço 1</t>
  </si>
  <si>
    <t>Livro de ocorrência</t>
  </si>
  <si>
    <t>Tonfa (cassetete)</t>
  </si>
  <si>
    <t>Porta tonfa (Cassetete)</t>
  </si>
  <si>
    <t>Lanterna tática recarregável</t>
  </si>
  <si>
    <t>CUSTO MENSAL DE MATERIAIS E EQUIPAMENTOS</t>
  </si>
  <si>
    <t>Memória de Cálculo</t>
  </si>
  <si>
    <t>VALE REFEIÇÃO</t>
  </si>
  <si>
    <t>QTD DE TICKETS</t>
  </si>
  <si>
    <t>VALOR UNITÁRIO</t>
  </si>
  <si>
    <t>DESCONTO (10% valor do Auxílio)</t>
  </si>
  <si>
    <t>POSTOS 44h</t>
  </si>
  <si>
    <t>POSTOS 12x36h Diurno</t>
  </si>
  <si>
    <t>POSTOS 12x36h Noturno</t>
  </si>
  <si>
    <t>Média de faltas anuais por motivos legais</t>
  </si>
  <si>
    <r>
      <t xml:space="preserve">Ausências legais:
Fórmula da rubrica: </t>
    </r>
    <r>
      <rPr>
        <sz val="10"/>
        <color rgb="FF000000"/>
        <rFont val="Verdana"/>
        <family val="2"/>
      </rPr>
      <t>(Módulo 1 + Módulo 2 + Módulo 3) x 0,82%</t>
    </r>
    <r>
      <rPr>
        <sz val="10"/>
        <color rgb="FF000000"/>
        <rFont val="Verdana"/>
        <family val="2"/>
      </rPr>
      <t xml:space="preserve">
</t>
    </r>
    <r>
      <rPr>
        <b/>
        <sz val="10"/>
        <color rgb="FF000000"/>
        <rFont val="Verdana"/>
        <family val="2"/>
      </rPr>
      <t xml:space="preserve">Fórmula do percentual: </t>
    </r>
    <r>
      <rPr>
        <sz val="10"/>
        <color rgb="FF000000"/>
        <rFont val="Verdana"/>
        <family val="2"/>
      </rPr>
      <t>% AL = (2,96 / 30 / 12) x 100 ≈ 0,82%</t>
    </r>
    <r>
      <rPr>
        <sz val="10"/>
        <color rgb="FF000000"/>
        <rFont val="Verdana"/>
        <family val="2"/>
      </rPr>
      <t xml:space="preserve">
</t>
    </r>
    <r>
      <rPr>
        <b/>
        <sz val="10"/>
        <color rgb="FF000000"/>
        <rFont val="Verdana"/>
        <family val="2"/>
      </rPr>
      <t xml:space="preserve">
Nota 1: </t>
    </r>
    <r>
      <rPr>
        <sz val="10"/>
        <color rgb="FF000000"/>
        <rFont val="Verdana"/>
        <family val="2"/>
      </rPr>
      <t>Considerando as hipóteses em que o funcionário poderá faltar justificadamente, previstas no artigo 473 da Consolidação das Leis do Trabalho, foram estimados um total de 8 (oito) no período de doze meses, sendo eles: falecimento do cônjuge (02 dias), casamento (03 dias), para acompanhar consultas médicas e exames complementares durante o período de gravidez de sua esposa ou companheira (até 02 dias), e para acompanhar filho e até 6 (seis) anos em consulta médica (até 01).</t>
    </r>
    <r>
      <rPr>
        <sz val="10"/>
        <color rgb="FF000000"/>
        <rFont val="Verdana"/>
        <family val="2"/>
      </rPr>
      <t xml:space="preserve">
</t>
    </r>
    <r>
      <rPr>
        <b/>
        <sz val="10"/>
        <color rgb="FF000000"/>
        <rFont val="Verdana"/>
        <family val="2"/>
      </rPr>
      <t xml:space="preserve">Nota 2: </t>
    </r>
    <r>
      <rPr>
        <sz val="10"/>
        <color rgb="FF000000"/>
        <rFont val="Verdana"/>
        <family val="2"/>
      </rPr>
      <t>A média de 2,96 dias de ausências legais por ano foi extraída do Acórdão TCU nº 1.753/2008 - Plenário.</t>
    </r>
    <r>
      <rPr>
        <sz val="10"/>
        <color rgb="FF000000"/>
        <rFont val="Verdana"/>
        <family val="2"/>
      </rPr>
      <t xml:space="preserve">
</t>
    </r>
    <r>
      <rPr>
        <b/>
        <sz val="10"/>
        <color rgb="FF000000"/>
        <rFont val="Verdana"/>
        <family val="2"/>
      </rPr>
      <t xml:space="preserve">Nota 3: </t>
    </r>
    <r>
      <rPr>
        <sz val="10"/>
        <color rgb="FF000000"/>
        <rFont val="Verdana"/>
        <family val="2"/>
      </rPr>
      <t>Cabe atentar ao fato de que o somatório dos dias de afastamento legais anuais contidos na Nota 1 não correspondem à média contida na Nota 2, a qual já determina a média de dias de ausências legais.</t>
    </r>
  </si>
  <si>
    <t xml:space="preserve">% AL ≈ </t>
  </si>
  <si>
    <t>Licença Paternidade</t>
  </si>
  <si>
    <r>
      <rPr>
        <b/>
        <sz val="10"/>
        <color rgb="FF000000"/>
        <rFont val="Verdana1"/>
      </rPr>
      <t>Substituto na cobertura de Licença-Paternidade:</t>
    </r>
    <r>
      <rPr>
        <b/>
        <sz val="10"/>
        <color rgb="FF000000"/>
        <rFont val="Verdana1"/>
      </rPr>
      <t xml:space="preserve">
</t>
    </r>
    <r>
      <rPr>
        <sz val="10"/>
        <color rgb="FF000000"/>
        <rFont val="Verdana1"/>
      </rPr>
      <t xml:space="preserve">
</t>
    </r>
    <r>
      <rPr>
        <b/>
        <sz val="10"/>
        <color rgb="FF000000"/>
        <rFont val="Verdana1"/>
      </rPr>
      <t>Fórmula da rubrica:</t>
    </r>
    <r>
      <rPr>
        <sz val="10"/>
        <color rgb="FF000000"/>
        <rFont val="Verdana1"/>
      </rPr>
      <t xml:space="preserve"> (Módulo 1 + Módulo 2 + Módulo 3) x </t>
    </r>
    <r>
      <rPr>
        <b/>
        <sz val="10"/>
        <color rgb="FF000000"/>
        <rFont val="Verdana1"/>
      </rPr>
      <t>0,04%</t>
    </r>
    <r>
      <rPr>
        <b/>
        <sz val="10"/>
        <color rgb="FF000000"/>
        <rFont val="Verdana1"/>
      </rPr>
      <t xml:space="preserve">
Fórmula do percentual:</t>
    </r>
    <r>
      <rPr>
        <sz val="10"/>
        <color rgb="FF000000"/>
        <rFont val="Verdana1"/>
      </rPr>
      <t xml:space="preserve"> % LP = (20 / 30 / 12) x [estimativa de homens em respectivo serviço] x [taxa bruta de natalidade]
</t>
    </r>
    <r>
      <rPr>
        <b/>
        <sz val="10"/>
        <color rgb="FF000000"/>
        <rFont val="Verdana1"/>
      </rPr>
      <t>Onde:</t>
    </r>
    <r>
      <rPr>
        <sz val="10"/>
        <color rgb="FF000000"/>
        <rFont val="Verdana1"/>
      </rPr>
      <t xml:space="preserve"> </t>
    </r>
    <r>
      <rPr>
        <b/>
        <sz val="10"/>
        <color rgb="FF000000"/>
        <rFont val="Verdana1"/>
      </rPr>
      <t xml:space="preserve">
</t>
    </r>
    <r>
      <rPr>
        <sz val="10"/>
        <color rgb="FF000000"/>
        <rFont val="Verdana1"/>
      </rPr>
      <t>-&gt;</t>
    </r>
    <r>
      <rPr>
        <b/>
        <sz val="10"/>
        <color rgb="FF000000"/>
        <rFont val="Verdana1"/>
      </rPr>
      <t xml:space="preserve"> %LP </t>
    </r>
    <r>
      <rPr>
        <sz val="10"/>
        <color rgb="FF000000"/>
        <rFont val="Verdana1"/>
      </rPr>
      <t>= Índice que demonstra o custo estimado com a substituição na cobertura de licença paternidade.
-&gt;</t>
    </r>
    <r>
      <rPr>
        <b/>
        <sz val="10"/>
        <color rgb="FF000000"/>
        <rFont val="Verdana1"/>
      </rPr>
      <t xml:space="preserve"> [estimativa de homens em respectivo serviço] </t>
    </r>
    <r>
      <rPr>
        <sz val="10"/>
        <color rgb="FF000000"/>
        <rFont val="Verdana1"/>
      </rPr>
      <t>= Segundo dados contidos no anuário 2023 na RAIS, o número de trabalhadores no sexo masculino no estado de Roraima representa aproximadamente 53% do total de trabalhadores.
-&gt;</t>
    </r>
    <r>
      <rPr>
        <b/>
        <sz val="10"/>
        <color rgb="FF000000"/>
        <rFont val="Verdana1"/>
      </rPr>
      <t xml:space="preserve"> [taxa bruta de natalidade]</t>
    </r>
    <r>
      <rPr>
        <sz val="10"/>
        <color rgb="FF000000"/>
        <rFont val="Verdana1"/>
      </rPr>
      <t xml:space="preserve"> = Índice resultante da divisão entre o total de nascidos vivos no Brasil com a população estimada total no mesmo ano. Segundo o IBGE, essa taxa é de 12,32 por mil habitantes, ou 1,232%, para 2023.
Dessa forma, para o Estado de Roraima: % LP ≈ 0,03628</t>
    </r>
  </si>
  <si>
    <t xml:space="preserve">% LP ≈ </t>
  </si>
  <si>
    <t>Ausências por acidente de trabalho</t>
  </si>
  <si>
    <r>
      <rPr>
        <b/>
        <sz val="10"/>
        <color rgb="FF000000"/>
        <rFont val="Verdana1"/>
      </rPr>
      <t>Substituto na cobertura de Ausência por acidente de trabalho:</t>
    </r>
    <r>
      <rPr>
        <b/>
        <sz val="10"/>
        <color rgb="FF000000"/>
        <rFont val="Verdana1"/>
      </rPr>
      <t xml:space="preserve">
</t>
    </r>
    <r>
      <rPr>
        <sz val="10"/>
        <color rgb="FF000000"/>
        <rFont val="Verdana1"/>
      </rPr>
      <t xml:space="preserve">
</t>
    </r>
    <r>
      <rPr>
        <b/>
        <sz val="10"/>
        <color rgb="FF000000"/>
        <rFont val="Verdana1"/>
      </rPr>
      <t>Fórmula da rubrica:</t>
    </r>
    <r>
      <rPr>
        <sz val="10"/>
        <color rgb="FF000000"/>
        <rFont val="Verdana1"/>
      </rPr>
      <t xml:space="preserve"> (Módulo 1 + Módulo 2 + Módulo 3) x </t>
    </r>
    <r>
      <rPr>
        <b/>
        <sz val="10"/>
        <color rgb="FF000000"/>
        <rFont val="Verdana1"/>
      </rPr>
      <t>1,38%</t>
    </r>
    <r>
      <rPr>
        <b/>
        <sz val="10"/>
        <color rgb="FF000000"/>
        <rFont val="Verdana1"/>
      </rPr>
      <t xml:space="preserve">
Fórmula do percentual:</t>
    </r>
    <r>
      <rPr>
        <sz val="10"/>
        <color rgb="FF000000"/>
        <rFont val="Verdana1"/>
      </rPr>
      <t xml:space="preserve"> %AT = ((15 / 30) / 12) x (B91 concedidos / Total Trabalhadores) x 100
</t>
    </r>
    <r>
      <rPr>
        <b/>
        <sz val="10"/>
        <color rgb="FF000000"/>
        <rFont val="Verdana1"/>
      </rPr>
      <t>Onde:</t>
    </r>
    <r>
      <rPr>
        <b/>
        <sz val="10"/>
        <color rgb="FF000000"/>
        <rFont val="Verdana1"/>
      </rPr>
      <t xml:space="preserve">
</t>
    </r>
    <r>
      <rPr>
        <sz val="10"/>
        <color rgb="FF000000"/>
        <rFont val="Verdana1"/>
      </rPr>
      <t xml:space="preserve">-&gt; %AT = Índice que demonstra o custo estimado com a substituição na cobertura de ausências por acidente de trabalho.
-&gt; [(15/30) / 12] = Estimativa de 1 (uma) licença de 30 (trinta) dias por ano, considerando que os primeiros quinze dias são encargo do empregador.
</t>
    </r>
    <r>
      <rPr>
        <b/>
        <sz val="10"/>
        <color rgb="FF000000"/>
        <rFont val="Verdana1"/>
      </rPr>
      <t xml:space="preserve">B91 (auxílio-doença acidentário) concedidos </t>
    </r>
    <r>
      <rPr>
        <sz val="10"/>
        <color rgb="FF000000"/>
        <rFont val="Verdana1"/>
      </rPr>
      <t xml:space="preserve">= Dados nacionais extraídos do Observatório de Saúde e Segurança do Trabalho. Em 2023 esse número foi de 163.362 trabalhadores.
</t>
    </r>
    <r>
      <rPr>
        <b/>
        <sz val="10"/>
        <color rgb="FF000000"/>
        <rFont val="Verdana1"/>
      </rPr>
      <t>Total Trabalhadores</t>
    </r>
    <r>
      <rPr>
        <sz val="10"/>
        <color rgb="FF000000"/>
        <rFont val="Verdana1"/>
      </rPr>
      <t xml:space="preserve"> = Dados nacionais extraídos do Anuário RAIS 2024 parcial. Em 2023 esse número foi de 44.472.798.
Aplicando a fórmula, temos:
</t>
    </r>
    <r>
      <rPr>
        <b/>
        <sz val="10"/>
        <color rgb="FF000000"/>
        <rFont val="Verdana1"/>
      </rPr>
      <t>% AT</t>
    </r>
    <r>
      <rPr>
        <sz val="10"/>
        <color rgb="FF000000"/>
        <rFont val="Verdana1"/>
      </rPr>
      <t xml:space="preserve"> = (((15/30)/12)*(163.362/44.472.798)*100) x 100 ≈ 0,01530 x 100 ≈ </t>
    </r>
    <r>
      <rPr>
        <b/>
        <sz val="10"/>
        <color rgb="FF000000"/>
        <rFont val="Verdana1"/>
      </rPr>
      <t>1,53%</t>
    </r>
  </si>
  <si>
    <t xml:space="preserve">% AT ≈ </t>
  </si>
  <si>
    <t>Afastamento Maternidade</t>
  </si>
  <si>
    <r>
      <rPr>
        <b/>
        <sz val="10"/>
        <color rgb="FF000000"/>
        <rFont val="Verdana"/>
        <family val="2"/>
      </rPr>
      <t>Substituto na cobertura de Afastamento Maternidade:</t>
    </r>
    <r>
      <rPr>
        <b/>
        <sz val="10"/>
        <color rgb="FF000000"/>
        <rFont val="Verdana"/>
        <family val="2"/>
      </rPr>
      <t xml:space="preserve">
</t>
    </r>
    <r>
      <rPr>
        <sz val="10"/>
        <color rgb="FF000000"/>
        <rFont val="Verdana"/>
        <family val="2"/>
      </rPr>
      <t xml:space="preserve">
</t>
    </r>
    <r>
      <rPr>
        <b/>
        <sz val="10"/>
        <color rgb="FF000000"/>
        <rFont val="Verdana"/>
        <family val="2"/>
      </rPr>
      <t xml:space="preserve">Fórmula da rubrica: </t>
    </r>
    <r>
      <rPr>
        <sz val="10"/>
        <color rgb="FF000000"/>
        <rFont val="Verdana"/>
        <family val="2"/>
      </rPr>
      <t xml:space="preserve">(Módulo 1 + Módulo 2 + Módulo 3) x </t>
    </r>
    <r>
      <rPr>
        <b/>
        <sz val="10"/>
        <color rgb="FF000000"/>
        <rFont val="Verdana"/>
        <family val="2"/>
      </rPr>
      <t>0,11%.</t>
    </r>
    <r>
      <rPr>
        <b/>
        <sz val="10"/>
        <color rgb="FF000000"/>
        <rFont val="Verdana"/>
        <family val="2"/>
      </rPr>
      <t xml:space="preserve">
Fórmula do percentual:</t>
    </r>
    <r>
      <rPr>
        <sz val="10"/>
        <color rgb="FF000000"/>
        <rFont val="Verdana"/>
        <family val="2"/>
      </rPr>
      <t xml:space="preserve"> % AF = {[(180 / 30) / 12] x [taxa bruta de natalidade] x [estimativa de mulheres no respectivo serviço] x [percentual total de encargos sociais]} = 0,11%
</t>
    </r>
    <r>
      <rPr>
        <b/>
        <sz val="10"/>
        <color rgb="FF000000"/>
        <rFont val="Verdana"/>
        <family val="2"/>
      </rPr>
      <t>Onde:</t>
    </r>
    <r>
      <rPr>
        <b/>
        <sz val="10"/>
        <color rgb="FF000000"/>
        <rFont val="Verdana"/>
        <family val="2"/>
      </rPr>
      <t xml:space="preserve">
% AF </t>
    </r>
    <r>
      <rPr>
        <sz val="10"/>
        <color rgb="FF000000"/>
        <rFont val="Verdana"/>
        <family val="2"/>
      </rPr>
      <t xml:space="preserve">= Índice que demonstra o custo efetivo de afastamento maternidade [(180 / 30) /12] = estimativa de seis meses no ano de afastamento maternidade 
</t>
    </r>
    <r>
      <rPr>
        <b/>
        <sz val="10"/>
        <color rgb="FF000000"/>
        <rFont val="Verdana"/>
        <family val="2"/>
      </rPr>
      <t>[taxa bruta de natalidade]</t>
    </r>
    <r>
      <rPr>
        <sz val="10"/>
        <color rgb="FF000000"/>
        <rFont val="Verdana"/>
        <family val="2"/>
      </rPr>
      <t xml:space="preserve"> = mesmo índice aplicado no item 4.1.C.
</t>
    </r>
    <r>
      <rPr>
        <b/>
        <sz val="10"/>
        <color rgb="FF000000"/>
        <rFont val="Verdana"/>
        <family val="2"/>
      </rPr>
      <t xml:space="preserve">[total de encargos sociais] </t>
    </r>
    <r>
      <rPr>
        <sz val="10"/>
        <color rgb="FF000000"/>
        <rFont val="Verdana"/>
        <family val="2"/>
      </rPr>
      <t xml:space="preserve">= Somatório dos percentuais aplicados no submódulo 2.2
</t>
    </r>
  </si>
  <si>
    <t xml:space="preserve">% AF ≈ </t>
  </si>
  <si>
    <t>1. A ADMINISTRAÇÃO NÃO PODERÁ DESCLASSIFICAR PROPOSTAS QUE APRESENTEM COTAÇÕES PARA RESERVA TÉCNICA, IRPJ, CSLL, SUPERVISÃO/FISCALIZAÇÃO E RECICLAGEM/TREINAMENTO, NEM PODERÁ DESCLASSIFICAR EMPRESAS QUE APRESENTEM PLANILHAS COM COTAÇÕES INCORRETAS PARA OS ENCARGOS TRIBUTÁRIOS.</t>
  </si>
  <si>
    <r>
      <t xml:space="preserve">ADVERTE-SE, CONTUDO, QUE, DE ACORDO COM A JURISPRUDÊNCIA CONSOLIDADA DO TCU, </t>
    </r>
    <r>
      <rPr>
        <sz val="10"/>
        <color rgb="FF000000"/>
        <rFont val="Arial"/>
        <family val="2"/>
      </rPr>
      <t>É INDEVIDA A COTAÇÃO, COMO ITEM ESPECÍFICO DA PLANILHA, DE CUSTOS RELATIVOS A:</t>
    </r>
  </si>
  <si>
    <r>
      <t xml:space="preserve">A) </t>
    </r>
    <r>
      <rPr>
        <sz val="10"/>
        <color rgb="FF000000"/>
        <rFont val="Arial"/>
        <family val="2"/>
      </rPr>
      <t>RESERVA TÉCNICA, POIS JÁ ESTARIAM COMPREENDIDOS NAS FALTAS LEGAIS (ACÓRDÃOS TCU Nº 1.696/2010-2ª CÂMARA E Nº 1.319/2010-2ª CÂMARA);</t>
    </r>
  </si>
  <si>
    <r>
      <t xml:space="preserve">B) </t>
    </r>
    <r>
      <rPr>
        <sz val="10"/>
        <color rgb="FF000000"/>
        <rFont val="Arial"/>
        <family val="2"/>
      </rPr>
      <t>TREINAMENTO/RECICLAGEM/CAPACITAÇÃO OU ITEM CONGÊNERE, UMA VEZ QUE ESSES CUSTOS JÁ ESTÃO ENGLOBADOS NAS DESPESAS ADMINISTRATIVAS DA CONTRATADA, SENDO DE SUA EXCLUSIVA RESPONSABILIDADE (ACÓRDÃOS TCU Nº 592/2010-PLENÁRIO, Nº 1.696/2010-2ª CÂMARA E Nº 592/2010-PLENÁRIO);</t>
    </r>
  </si>
  <si>
    <r>
      <t xml:space="preserve">C) </t>
    </r>
    <r>
      <rPr>
        <sz val="10"/>
        <color rgb="FF000000"/>
        <rFont val="Arial"/>
        <family val="2"/>
      </rPr>
      <t>SUPERVISÃO E FISCALIZAÇÃO, UMA VEZ QUE ESSES CUSTOS JÁ ESTÃO ENGLOBADOS NAS DESPESAS ADMINISTRATIVAS DA CONTRATADA (ACÓRDÃO Nº 592/2010-PLENÁRIO);*</t>
    </r>
  </si>
  <si>
    <r>
      <t xml:space="preserve">D) </t>
    </r>
    <r>
      <rPr>
        <sz val="10"/>
        <color rgb="FF000000"/>
        <rFont val="Arial"/>
        <family val="2"/>
      </rPr>
      <t>IRPJ E CSLL, POR SE CONSTITUÍREM EM TRIBUTOS DE NATUREZA DIRETA E PERSONALÍSTICA, QUE ONERAM PESSOALMENTE O CONTRATADO, NÃO DEVEM SER REPASSADOS À CONTRATANTE, NÃO PODENDO, AINDA, SEREM COTADOS NO ITEM REFERENTE AO LUCRO E DESPESAS ADMINISTRATIVAS/OPERACIONAIS (ACÓRDÃOS TCU N° 1.595/2006 - PLENÁRIO, N° 325/2009 - PLENÁRIO E N° 2.354/2010 - 2ª CÂMARA). *</t>
    </r>
  </si>
  <si>
    <r>
      <t xml:space="preserve">DESSE MODO, </t>
    </r>
    <r>
      <rPr>
        <sz val="10"/>
        <color rgb="FF000000"/>
        <rFont val="Arial"/>
        <family val="2"/>
      </rPr>
      <t>SE A EMPRESA OS COTAR, HAVERÁ SUPRESSÃO UNILATERAL DO ITEM DA PLANILHA E DEDUÇÃO/GLOSA, NO VALOR TOTAL DO DÉBITO, QUANDO DO PAGAMENTO MENSAL OU DA REPACTUAÇÃO. A EMPRESA QUE OS TENHA COTADO INCORRETAMENTE PODERÁ CORRIGIR A PLANILHA DE CUSTOS E FORMAÇÃO DOS PREÇOS ATÉ O MOMENTO DA ACEITABILIDADE DA PROPOSTA PELO PREGOEIRO, OPORTUNIDADE NA QUAL PRECLUIRÁ SEU DIREITO A CORREÇÕES.</t>
    </r>
  </si>
  <si>
    <r>
      <t>2.</t>
    </r>
    <r>
      <rPr>
        <sz val="10"/>
        <color rgb="FF000000"/>
        <rFont val="Arial"/>
        <family val="2"/>
      </rPr>
      <t xml:space="preserve"> COTAÇÃO DE ENCARGOS TRIBUTÁRIOS - CUIDADOS E CONSEQUÊNCIAS À LUZ DA JURISPRUDÊNCIA DO TCU:</t>
    </r>
  </si>
  <si>
    <t>A EMPRESA É A ÚNICA RESPONSÁVEL PELA COTAÇÃO CORRETA DOS ENCARGOS TRIBUTÁRIOS. EM CASO DE ERRO OU COTAÇÃO INCOMPATÍVEL COM O REGIME TRIBUTÁRIO A QUE SE SUBMETE, SERÃO ADOTADAS AS ORIENTAÇÕES A SEGUIR:*</t>
  </si>
  <si>
    <r>
      <t>A)</t>
    </r>
    <r>
      <rPr>
        <sz val="10"/>
        <color rgb="FF000000"/>
        <rFont val="Arial"/>
        <family val="2"/>
      </rPr>
      <t xml:space="preserve"> </t>
    </r>
    <r>
      <rPr>
        <b/>
        <sz val="9"/>
        <color rgb="FF000000"/>
        <rFont val="Spranq eco sans"/>
      </rPr>
      <t>COTAÇÃO DE PERCENTUAL MENOR QUE O ADEQUADO</t>
    </r>
    <r>
      <rPr>
        <sz val="10"/>
        <color rgb="FF000000"/>
        <rFont val="Arial"/>
        <family val="2"/>
      </rPr>
      <t>: O PERCENTUAL SERÁ MANTIDO DURANTE TODA A EXECUÇÃO CONTRATUAL;</t>
    </r>
  </si>
  <si>
    <r>
      <t>B) COTAÇÃO DE PERCENTUAL MAIOR QUE O ADEQUADO:</t>
    </r>
    <r>
      <rPr>
        <sz val="10"/>
        <color rgb="FF000000"/>
        <rFont val="Arial"/>
        <family val="2"/>
      </rPr>
      <t xml:space="preserve"> PARA ATENDER AS ORIENTAÇÕES DOS ACÓRDÃOS TCU N° 3.037/2009-PLENÁRIO, Nº 1.696/2010 - 2ª CÂMARA, Nº 1.442/2010-2ª CÂMARA E Nº 387/2010-2ª CÂMARA, O EXCESSO SERÁ SUPRIMIDO, UNILATERALMENTE, DA PLANILHA E HAVERÁ GLOSA/DEDUÇÃO, QUANDO DO PAGAMENTO OU DA REPACTUAÇÃO, PARA FINS DE TOTAL RESSARCIMENTO DO DÉBITO.</t>
    </r>
  </si>
  <si>
    <t>DESTA FEITA, TODOS OS ENCARGOS TRIBUTÁRIOS DEVERÃO SER ADEQUADAMENTE COTADOS NA PLANILHA DE CUSTOS E FORMAÇÃO DE PREÇOS. DEVEM SER ATENDIDAS, EXEMPLIFICATIVAMENTE, AS RECOMENDAÇÕES QUE SEGUEM:</t>
  </si>
  <si>
    <t>A) UTILIZAÇÃO DA ALÍQUOTA CORRETA DO ISSQN, PARA CADA POSTO DE TRABALHO NO RESPECTIVO MUNICÍPIO;</t>
  </si>
  <si>
    <t>B) COTAÇÃO CORRETA DO PIS E DA COFINS DE ACORDO COM O REGIME TRIBUTÁRIO A QUE SE SUBMETER A EMPRESA;</t>
  </si>
  <si>
    <t xml:space="preserve">C) NÃO COTAÇÃO DAS CONTRIBUIÇÕES DE TERCEIROS (SESI, SENAI, SEBRAE, ETC.), SE A EMPRESA NÃO ESTIVER, A ESSAS, SUBMETIDA.  </t>
  </si>
  <si>
    <t>A EMPRESA QUE OS TENHA COTADO INCORRETAMENTE PODERÁ CORRIGIR A PLANILHA DE CUSTOS E FORMAÇÃO DOS PREÇOS ATÉ O MOMENTO DA ACEITABILIDADE DA PROPOSTA PELO PREGOEIRO, OPORTUNIDADE NA QUAL PRECLUIRÁ SEU DIREITO A CORREÇÕES.</t>
  </si>
  <si>
    <t>3. REGISTRE-SE QUE, AO ANALISAR A REPACTUAÇÃO E A PRORROGAÇÃO, A ADMINISTRAÇÃO DEVE VERIFICAR SE OS CUSTOS INICIALMENTE ORÇADOS CORRESPONDEM À REALIDADE DA EXECUÇÃO DO CONTRATO. DEVE, TAMBÉM, REAVALIAR TODOS OS ITENS ESTIMATIVOS APÓS A EXECUÇÃO DO PRIMEIRO ANO DO CONTRATO, PARA QUE SE CONSTATE EVENTUAL NECESSIDADE DE MODIFICAÇÃO EM SEU VALOR, OBSERVANDO O DISPOSTO NO ART. 30-A, § 1º, INC. II, DA IN 02/2008 DA SLTI MPOG;</t>
  </si>
  <si>
    <t>DESTACA-SE AINDA, O ENTENDIMENTO DO TCU SOBRE ALGUNS ITENS DAS PLANILHAS DE CUSTOS, TAIS COMO:</t>
  </si>
  <si>
    <r>
      <t xml:space="preserve">A) </t>
    </r>
    <r>
      <rPr>
        <sz val="10"/>
        <color rgb="FF000000"/>
        <rFont val="Arial"/>
        <family val="2"/>
      </rPr>
      <t>LICENÇA MATERNIDADE – CONSIDERAR APENAS O PAGAMENTO DE ENCARGOS SOCIAIS E BENEFÍCIOS INCIDENTES SOBRE A REMUNERAÇÃO PARA AUXÍLIO MATERNIDADE, UMA VEZ QUE O ÔNUS DA LICENÇA MATERNIDADE É SUPORTADO PELA PREVIDÊNCIA SOCIAL, FUNDAMENTADO NO ART.7º, INCISO XIX, DA CONSTITUIÇÃO FEDERAL (ACÓRDÃO 1753/2008 - PLENÁRIO);</t>
    </r>
  </si>
  <si>
    <r>
      <t xml:space="preserve">B) </t>
    </r>
    <r>
      <rPr>
        <sz val="10"/>
        <color rgb="FF000000"/>
        <rFont val="Arial"/>
        <family val="2"/>
      </rPr>
      <t>AVISO PRÉVIO TRABALHADO - DEVE SER PAGO APENAS NO PRIMEIRO ANO DO CONTRATO, DEVENDO SER EXCLUÍDO DA PLANILHA A PARTIR DO SEGUNDO ANO, UMA VEZ QUE SÓ HAVERÁ UMA DEMISSÃO E UMA INDENIZAÇÃO POR EMPREGADO. (ACÓRDÃO 3006/2010 – PLENÁRIO); *</t>
    </r>
  </si>
  <si>
    <r>
      <rPr>
        <b/>
        <sz val="10"/>
        <color rgb="FF000000"/>
        <rFont val="Arial"/>
        <family val="2"/>
      </rPr>
      <t>4. RUBRICA FÉRIAS do subítem 2.1.</t>
    </r>
    <r>
      <rPr>
        <b/>
        <sz val="10"/>
        <color rgb="FF000000"/>
        <rFont val="Arial"/>
        <family val="2"/>
      </rPr>
      <t xml:space="preserve">
</t>
    </r>
    <r>
      <rPr>
        <sz val="10"/>
        <color rgb="FF000000"/>
        <rFont val="Arial"/>
        <family val="2"/>
      </rPr>
      <t>Em conformidade com a IN N° 05 DE 26/05/2017 e alteração acrescentada pela IN N° 07 de 20/09/2018, e em referência a Nota 3 do Módulo 2 do Anexo VII-D, resaltamos o texto a seguir "Levando em consideração a vigência contratual prevista no art. 57 da Lei nº 8.666, de 23 de junho de 1993, a rubrica férias do subítem 2.1 tem como objetivo principal suprir a necessidade do pagamento das férias remuneradas ao final do contrato de 12 meses. Esta rubrica, quando da prorrogação contratual, torna-se custo não renovável".</t>
    </r>
  </si>
  <si>
    <r>
      <rPr>
        <b/>
        <sz val="10"/>
        <color rgb="FF000000"/>
        <rFont val="Arial"/>
        <family val="2"/>
      </rPr>
      <t>5. CUSTEIO COMPULSÓRIO PARA A APRENDIZAGEM:</t>
    </r>
    <r>
      <rPr>
        <b/>
        <sz val="10"/>
        <color rgb="FF000000"/>
        <rFont val="Arial"/>
        <family val="2"/>
      </rPr>
      <t xml:space="preserve">
</t>
    </r>
    <r>
      <rPr>
        <sz val="10"/>
        <color rgb="FF000000"/>
        <rFont val="Arial"/>
        <family val="2"/>
      </rPr>
      <t>De acordo com a NOTA n. 00082/2025/ENC.LICITAÇÕES/PEE-INSS-SEDE/PGF/AGU emitida pela PROCURADORIA FEDERAL ESPECIALIZADA JUNTO AO INSTITUTO NACIONAL DO SEGURO SOCIAL - PFE/INSS - SEDE:</t>
    </r>
  </si>
  <si>
    <t>a) - IN SEGES n.° 05/2017:
"Art. 6° A Administração não se vincula às disposições contidas em Acordos, Convenções ou Dissídios Coletivos de Trabalho que tratem de pagamento de participação dos trabalhadores nos lucros ou resultados da empresa contratada, de matéria não trabalhista, ou que estabeleçam direitos não previstos em lei, tais como valores ou índices obrigatórios de encargos sociais ou previdenciários, bem como de preços para os insumos relacionados ao exercício da atividade."</t>
  </si>
  <si>
    <t>b) Decreto n.° 9.507/2018:
"Art. 9° 
...
Parágrafo único. A administração pública não se vincula às disposições estabelecidas em acordos, dissídios ou convenções coletivas de trabalho que tratem de:
...
II - matéria não trabalhista, ou que estabeleçam direitos não previstos em lei, tais como valores ou índices obrigatórios de encargos sociais ou previdenciários; e Ill - preços para os insumos relacionados ao exercício da atividade". (grifamos)</t>
  </si>
  <si>
    <t>c) § 1° do art..135 da lei 14.133/2021:
"§ 1º A Administração não se vinculará às disposições contidas em acordos, convenções ou dissídios coletivos de trabalho que tratem de matéria não trabalhista, de pagamento de participação dos trabalhadores nos lucros ou resultados do contratado, ou que estabeleçam direitos não previstos em lei, como valores ou índices obrigatórios de encargos sociais ou previdenciários, bem como de preços para os insumos relacionados ao exercício da atividade."</t>
  </si>
  <si>
    <t>d) "Como se percebe claramente na leitura da cláusula vigésima quarta da CCT (número de regístro no MTE: GO000936/2024), este não é um custo referente a um direito trabalhista para qualquer categoria alocada diretamente, mas sim uma determinação para os empregadores para que estes possam cumprir com a exigência que a própria Lei traz sobre quota mínima para contratação de aprendizes. Se a lei determina que a empresa contrate menor aprendiz, ela terá que contratar, independente de prestar serviços ou não para a Administração Pública, pois esse é um custo relacionado ao próprio exercício da atividade desempenhada pela empresa, independentemente de para quem ela preste os serviços. Assim, ao ver desta Consultoria, esse custo não pode ser repassado para a Administração."</t>
  </si>
  <si>
    <t>e) "Isto posto, entende-se pela impossibilidade de ressarcimento pela Administração Pública dos custos relativos ao Custeio Compulsório para a Aprendizagem, consoante previsto nas Convenções Coletivas de Trabalho, eis que estas não vinculam a Administração Pública, nos termos do art. 6° da IN SEGES n.° 05/2017 e do art. 9º do Decreto n.° 9.507/2018."</t>
  </si>
  <si>
    <t>Planilha de Custos e Formação de Preços para Serviços de Vigilância - GEX – Boa Vista / RR</t>
  </si>
  <si>
    <t>Nº do Processo:</t>
  </si>
  <si>
    <t>35014.334990/2025-79</t>
  </si>
  <si>
    <t>Pregão Eletrônico nº</t>
  </si>
  <si>
    <t>__/____</t>
  </si>
  <si>
    <t>Data:</t>
  </si>
  <si>
    <t>__/__/____</t>
  </si>
  <si>
    <t>Discriminação dos Serviços (dados referentes à contratação)</t>
  </si>
  <si>
    <r>
      <t xml:space="preserve">A – </t>
    </r>
    <r>
      <rPr>
        <sz val="10"/>
        <color rgb="FF000000"/>
        <rFont val="Arial"/>
        <family val="2"/>
      </rPr>
      <t>Data de apresentação da proposta (dia/mês/ano)</t>
    </r>
  </si>
  <si>
    <r>
      <t xml:space="preserve">B – </t>
    </r>
    <r>
      <rPr>
        <sz val="10"/>
        <color rgb="FF000000"/>
        <rFont val="Arial"/>
        <family val="2"/>
      </rPr>
      <t>Município/UF</t>
    </r>
  </si>
  <si>
    <r>
      <t xml:space="preserve">C – </t>
    </r>
    <r>
      <rPr>
        <sz val="10"/>
        <color rgb="FF000000"/>
        <rFont val="Arial"/>
        <family val="2"/>
      </rPr>
      <t>Ano Acordo, Convenção ou Sentença Normativa em Dissídio Coletivo</t>
    </r>
  </si>
  <si>
    <t>2025/2025</t>
  </si>
  <si>
    <r>
      <t xml:space="preserve">D – </t>
    </r>
    <r>
      <rPr>
        <sz val="10"/>
        <color rgb="FF000000"/>
        <rFont val="Arial"/>
        <family val="2"/>
      </rPr>
      <t>Nº de meses de execução contratual</t>
    </r>
  </si>
  <si>
    <t>Identificação do Serviço</t>
  </si>
  <si>
    <t>Tipo de Serviço</t>
  </si>
  <si>
    <t>Unid. de Medida</t>
  </si>
  <si>
    <t>Horas Extras Sábado</t>
  </si>
  <si>
    <t>Horas Extras Domingo e Feriado</t>
  </si>
  <si>
    <t>Contratação de serviços de segurança e vigilância orgânica e patrimonial desarmada, visando atender as demandas das Gerência Executiva do Distrito Federal, conforme condições, quantidades e exigências estabelecidas neste instrumento convocatório.</t>
  </si>
  <si>
    <t>Hora</t>
  </si>
  <si>
    <t>Mão de obra vinculada à execução contratual</t>
  </si>
  <si>
    <t>Dados para composição dos custos referente à mão de obra</t>
  </si>
  <si>
    <r>
      <t xml:space="preserve">1 – </t>
    </r>
    <r>
      <rPr>
        <sz val="10"/>
        <color rgb="FF000000"/>
        <rFont val="Arial"/>
        <family val="2"/>
      </rPr>
      <t>Tipo de serviço (mesmo serviço com características distintas)</t>
    </r>
  </si>
  <si>
    <t>Vigilância</t>
  </si>
  <si>
    <r>
      <t xml:space="preserve">2 – </t>
    </r>
    <r>
      <rPr>
        <sz val="10"/>
        <color rgb="FF000000"/>
        <rFont val="Arial"/>
        <family val="2"/>
      </rPr>
      <t>Classificação Brasileira de Ocupações (CBO)</t>
    </r>
  </si>
  <si>
    <t>517330</t>
  </si>
  <si>
    <r>
      <t xml:space="preserve">3 – </t>
    </r>
    <r>
      <rPr>
        <sz val="10"/>
        <color rgb="FF000000"/>
        <rFont val="Arial"/>
        <family val="2"/>
      </rPr>
      <t>Salário Normativo da Categoria Profissional</t>
    </r>
  </si>
  <si>
    <r>
      <t xml:space="preserve">4 – </t>
    </r>
    <r>
      <rPr>
        <sz val="10"/>
        <color rgb="FF000000"/>
        <rFont val="Arial"/>
        <family val="2"/>
      </rPr>
      <t>Categoria profissional (vinculada à execução contratual)</t>
    </r>
  </si>
  <si>
    <t>Vigilante</t>
  </si>
  <si>
    <r>
      <t xml:space="preserve">5 – </t>
    </r>
    <r>
      <rPr>
        <sz val="10"/>
        <color rgb="FF000000"/>
        <rFont val="Arial"/>
        <family val="2"/>
      </rPr>
      <t>Data base da categoria (dia/mês/ano)</t>
    </r>
  </si>
  <si>
    <t>01 de janeiro</t>
  </si>
  <si>
    <r>
      <t xml:space="preserve">6 – </t>
    </r>
    <r>
      <rPr>
        <sz val="10"/>
        <color rgb="FF000000"/>
        <rFont val="Arial"/>
        <family val="2"/>
      </rPr>
      <t>Numero de registro da convenção coletiva no MTE:</t>
    </r>
  </si>
  <si>
    <t>RR000015/2025</t>
  </si>
  <si>
    <t>CUSTOS</t>
  </si>
  <si>
    <t>Percentuais e Valores de Referência</t>
  </si>
  <si>
    <t>MÓDULO 1: COMPOSIÇÃO DA REMUNERAÇÃO</t>
  </si>
  <si>
    <t>1 - Composição da Remuneração</t>
  </si>
  <si>
    <t>Valores/ Percentuais</t>
  </si>
  <si>
    <t xml:space="preserve">Valor (R$) </t>
  </si>
  <si>
    <t xml:space="preserve">    A – Salário Normativo</t>
  </si>
  <si>
    <t xml:space="preserve">    B - Adicional de Periculosidade</t>
  </si>
  <si>
    <t xml:space="preserve">    C - Adicional de Insalubridade</t>
  </si>
  <si>
    <t xml:space="preserve">    D - Adicional Noturno</t>
  </si>
  <si>
    <t xml:space="preserve">    E - Adicional de Hora Noturna Reduzida</t>
  </si>
  <si>
    <t xml:space="preserve">    F - Penosidade</t>
  </si>
  <si>
    <t xml:space="preserve">    G - Outros</t>
  </si>
  <si>
    <t>Total</t>
  </si>
  <si>
    <t>MÓDULO 2: ENCARGOS E BENEFÍCIOS ANUAIS, MENSAIS E DIÁRIOS</t>
  </si>
  <si>
    <t>2.1 - 13º Salário, Férias e Adicional de Férias</t>
  </si>
  <si>
    <t>Percentuais</t>
  </si>
  <si>
    <t xml:space="preserve">    A - 13º salário</t>
  </si>
  <si>
    <r>
      <t xml:space="preserve">    B - Férias e Adicional de Férias </t>
    </r>
    <r>
      <rPr>
        <sz val="10"/>
        <color rgb="FF000000"/>
        <rFont val="Arial"/>
        <family val="2"/>
      </rPr>
      <t>(O custo com o valor pago ao substituto durante as férias do empregado consta na letra "A" do submódulo 4.1),</t>
    </r>
    <r>
      <rPr>
        <sz val="11"/>
        <color rgb="FFFF0000"/>
        <rFont val="Times New Roman"/>
        <family val="1"/>
      </rPr>
      <t xml:space="preserve"> (custo não renovável: Nota 3, Módulo 2 do Anexo VII-D da IN n° 07 de 20/09/2018).</t>
    </r>
  </si>
  <si>
    <r>
      <t xml:space="preserve">2.2 - GPS, FGTS e outras contribuições </t>
    </r>
    <r>
      <rPr>
        <sz val="10"/>
        <color rgb="FF000000"/>
        <rFont val="Arial"/>
        <family val="2"/>
      </rPr>
      <t>(Incide sobre os Módulos 1 e 2.1)</t>
    </r>
  </si>
  <si>
    <t xml:space="preserve">    A - INSS</t>
  </si>
  <si>
    <t xml:space="preserve">    B - Salário Educação</t>
  </si>
  <si>
    <r>
      <t xml:space="preserve">C - SAT </t>
    </r>
    <r>
      <rPr>
        <sz val="10"/>
        <color rgb="FF000000"/>
        <rFont val="Arial"/>
        <family val="2"/>
      </rPr>
      <t>(Utilizar o RAT Ajustado conforme GFIP: RAT x FAP)</t>
    </r>
  </si>
  <si>
    <t xml:space="preserve">    D - SESI ou SESC</t>
  </si>
  <si>
    <t xml:space="preserve">    E - SENAI ou SENAC</t>
  </si>
  <si>
    <t xml:space="preserve">    F - SEBRAE</t>
  </si>
  <si>
    <t xml:space="preserve">    G - INCRA</t>
  </si>
  <si>
    <t xml:space="preserve">    F - FGTS</t>
  </si>
  <si>
    <t>2.3 - Benefícios Mensais e Diários</t>
  </si>
  <si>
    <t xml:space="preserve">    A – Transporte (Jornada igual ou superior a 6 horas)</t>
  </si>
  <si>
    <t xml:space="preserve">    B – Auxílio Alimentação (Por dia trabalhado)</t>
  </si>
  <si>
    <t xml:space="preserve">    C – Cesta Básica</t>
  </si>
  <si>
    <t xml:space="preserve">    D – Seguro de Vida</t>
  </si>
  <si>
    <t xml:space="preserve">    E – Outros</t>
  </si>
  <si>
    <t xml:space="preserve">    F – Outros</t>
  </si>
  <si>
    <t>2 - Encargos e Benefícios Anuais, Mensais e Diários</t>
  </si>
  <si>
    <t xml:space="preserve">    2.1 - 13º Salário, Férias e Adicional de Férias</t>
  </si>
  <si>
    <t xml:space="preserve">    2.2 - GPS, FGTS e outras contribuições</t>
  </si>
  <si>
    <t xml:space="preserve">    2.3 - Benefícios Mensais e Diários</t>
  </si>
  <si>
    <t>MÓDULO 3: PROVISÃO PARA RESCISÃO</t>
  </si>
  <si>
    <t>3 - Provisão para Rescisão</t>
  </si>
  <si>
    <r>
      <t>A - Aviso Prévio Indenizado</t>
    </r>
    <r>
      <rPr>
        <sz val="11"/>
        <color rgb="FFFF0000"/>
        <rFont val="Arial"/>
        <family val="2"/>
      </rPr>
      <t xml:space="preserve"> </t>
    </r>
    <r>
      <rPr>
        <sz val="10"/>
        <color rgb="FFFF0000"/>
        <rFont val="Arial"/>
        <family val="2"/>
      </rPr>
      <t>(Esta parcela deverá ser reduzida após o primeiro ano da contratação para o percentual máximo de 0,042%: Acórdão 1.186/2017-P)</t>
    </r>
  </si>
  <si>
    <t xml:space="preserve">    B - Incidência do FGTS sobre Aviso Prévio Indenizado</t>
  </si>
  <si>
    <t xml:space="preserve">    C - Multa do FGTS e contribuições sociais sobre o Aviso Prévio Indenizado</t>
  </si>
  <si>
    <r>
      <t>D - Aviso Prévio Trabalhado</t>
    </r>
    <r>
      <rPr>
        <sz val="11"/>
        <color rgb="FFFF0000"/>
        <rFont val="Arial"/>
        <family val="2"/>
      </rPr>
      <t xml:space="preserve"> </t>
    </r>
    <r>
      <rPr>
        <sz val="10"/>
        <color rgb="FFFF0000"/>
        <rFont val="Arial"/>
        <family val="2"/>
      </rPr>
      <t>(Esta parcela deverá ser reduzida após o primeiro ano da contratação para o percentual máximo de 0,194%: Acórdão 1.186/2017-P)</t>
    </r>
  </si>
  <si>
    <t xml:space="preserve">    E - Incidência de GPS, FGTS e outras contribuições (submódulo 2.2) sobre o Aviso Prévio Trabalhado</t>
  </si>
  <si>
    <t xml:space="preserve">    F - Multa do FGTS sobre o Aviso Prévio Trabalhado (Rescisões sem justa causa)</t>
  </si>
  <si>
    <t>MÓDULO 4: CUSTO DE REPOSIÇÃO DO PROFISSIONAL AUSENTE</t>
  </si>
  <si>
    <t>4.1 – Substituto nas Ausências Legais</t>
  </si>
  <si>
    <t xml:space="preserve">    A – Substituto na cobertura de Férias</t>
  </si>
  <si>
    <t xml:space="preserve">    B – Substituto na cobertura de ausências Legais</t>
  </si>
  <si>
    <t xml:space="preserve">    C - Substituto na cobertura na licença-paternidade</t>
  </si>
  <si>
    <t xml:space="preserve">    D - Substituto na cobertura na ausências por acidente de trabalho</t>
  </si>
  <si>
    <t xml:space="preserve">    E - Substituto na cobertura de afastamento maternidade</t>
  </si>
  <si>
    <t xml:space="preserve">    F - Substituto na cobertura de outras ausências (especificar)</t>
  </si>
  <si>
    <t>4.2 - Substituto na Intrajornada (Indenizada)</t>
  </si>
  <si>
    <t xml:space="preserve">    A - Substituto na cobertura de intervalo para repouso ou alimentação (Intrajornada indenizada de 1 hora, conforme CCT)</t>
  </si>
  <si>
    <t>4 - Custo de Reposição do Profissional Ausente</t>
  </si>
  <si>
    <t xml:space="preserve">    4.1 - Substituto nas ausências Legais</t>
  </si>
  <si>
    <t xml:space="preserve">    4.2 - Intrajornada indenizada</t>
  </si>
  <si>
    <t>MÓDULO 5: INSUMOS DIVERSOS</t>
  </si>
  <si>
    <t>5 - Insumos Diversos</t>
  </si>
  <si>
    <t>Valores</t>
  </si>
  <si>
    <t xml:space="preserve">    A - Uniformes</t>
  </si>
  <si>
    <t xml:space="preserve">    B - Materiais (Valor por posto)</t>
  </si>
  <si>
    <t xml:space="preserve">    C - Outros (especificar)</t>
  </si>
  <si>
    <t>MÓDULO 6: CUSTOS INDIRETOS, TRIBUTOS E LUCRO</t>
  </si>
  <si>
    <t>6 - Custos Indiretos, Tributos e Lucro</t>
  </si>
  <si>
    <t xml:space="preserve">    A - Custos Indiretos</t>
  </si>
  <si>
    <t xml:space="preserve">    B - Lucro</t>
  </si>
  <si>
    <t xml:space="preserve">    C - Tributos (Percentuais de acordo com o regime tributário da empresa)</t>
  </si>
  <si>
    <t xml:space="preserve">        C.1.1 - Tributos Federais (COFINS)</t>
  </si>
  <si>
    <t xml:space="preserve">        C.1.2 - Tributos Federais (PIS)</t>
  </si>
  <si>
    <t xml:space="preserve">        C.2 - Tributos Estaduais (especificar)</t>
  </si>
  <si>
    <t xml:space="preserve">        C.3 - Tributos Municipais (especificar)</t>
  </si>
  <si>
    <t xml:space="preserve">        C.4 - Outros Tributos (especificar)</t>
  </si>
  <si>
    <t>QUADRO RESUMO DO CUSTO POR EMPREGADO</t>
  </si>
  <si>
    <t>Mão-de-obra vinculada à execução contratual (valor por empregado)</t>
  </si>
  <si>
    <t xml:space="preserve">    A - Módulo 1 - Composição da Remuneração</t>
  </si>
  <si>
    <t xml:space="preserve">    B - Módulo 2 - Encargos e Benefícios Anuais, Mensais e Diários</t>
  </si>
  <si>
    <t xml:space="preserve">    C - Módulo 3 - Provisão para Rescisão</t>
  </si>
  <si>
    <t xml:space="preserve">    D - Módulo 4 - Custos de Reposição do Profissional Ausente</t>
  </si>
  <si>
    <t xml:space="preserve">    E - Módulo 5 - Insumos Diversos</t>
  </si>
  <si>
    <t>Subtotal (A + B + C + D + E)</t>
  </si>
  <si>
    <t xml:space="preserve">    F - Módulo 6 - Custos Indiretos, Tributos e Lucro</t>
  </si>
  <si>
    <t>SUBTOTAL PREÇO FIXO POR VIGILANTE</t>
  </si>
  <si>
    <t>VALOR DOS SERVIÇOS</t>
  </si>
  <si>
    <t>ESCALA DE TRABALHO</t>
  </si>
  <si>
    <t>QTDE DE HORAS</t>
  </si>
  <si>
    <t>PREÇO DA HORA</t>
  </si>
  <si>
    <t>SUBTOTAL (R$)</t>
  </si>
  <si>
    <t>Horas Extras trabalhadas aos sábados</t>
  </si>
  <si>
    <t>Horas Extras trabalhadas aos domingos e feriados</t>
  </si>
  <si>
    <t>TOTAL MENSAL</t>
  </si>
  <si>
    <t>Os percentuais utilizados foram utilizados com base no Caderno de Logística – PRESTAÇÃO DE SERVIÇOS DE VIGILÂNCIA PATRIMONIAL – 2014</t>
  </si>
  <si>
    <t>Posto de 44 h semanais (Qtde)</t>
  </si>
  <si>
    <t>Posto 12X36 Diurnas (Qtde)</t>
  </si>
  <si>
    <t>Posto 12X36 Noturno (Qtde)</t>
  </si>
  <si>
    <t>Posto</t>
  </si>
  <si>
    <t>44 horas semanais diurnas</t>
  </si>
  <si>
    <t>12X36 Diurnas</t>
  </si>
  <si>
    <t>12X36 Noturnas</t>
  </si>
  <si>
    <t xml:space="preserve">    E – Plano Odontológico</t>
  </si>
  <si>
    <t xml:space="preserve">    C – Equipamentos</t>
  </si>
  <si>
    <t>NUMERO DE POSTOS/HE</t>
  </si>
  <si>
    <t>PREÇO POR POSTO/HE</t>
  </si>
  <si>
    <t>I - Posto de Vigilância 44 horas semanais.</t>
  </si>
  <si>
    <t>II - Posto de Vigilância 12 (doze) x 36 (trinta e seis) horas diurno.</t>
  </si>
  <si>
    <t>II - Posto de Vigilância 12 (doze) x 36 (trinta e seis) horas noturno.</t>
  </si>
  <si>
    <t>IV - Hora Eventual Diurna (44 horas semanais)</t>
  </si>
  <si>
    <t>V - Hora Eventual Diurna (12X36 Diurnas)</t>
  </si>
  <si>
    <t>VI - Hora Eventual Noturna (12X36 Noturnas)</t>
  </si>
  <si>
    <t>* NOTAS INFORMATIVAS: VIDE MEMÓRIA DE CÁLCULO.</t>
  </si>
  <si>
    <t xml:space="preserve">    A – Salário Normativo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</si>
</sst>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quot; R$&quot;#,##0.00&quot; &quot;;&quot; R$(&quot;#,##0.00&quot;)&quot;;&quot; R$-&quot;#&quot; &quot;;@&quot; &quot;"/>
    <numFmt numFmtId="165" formatCode="#,##0.00&quot; &quot;;&quot;(&quot;#,##0.00&quot;)&quot;;&quot;-&quot;#&quot; &quot;;@&quot; &quot;"/>
    <numFmt numFmtId="166" formatCode="&quot;R$ &quot;#,##0.00"/>
    <numFmt numFmtId="167" formatCode="0.0000%"/>
    <numFmt numFmtId="168" formatCode="[$R$-416]&quot; &quot;#,##0.00;[Red]&quot;-&quot;[$R$-416]&quot; &quot;#,##0.00"/>
    <numFmt numFmtId="169" formatCode="&quot;R$ &quot;#,##0.00&quot; &quot;;[Red]&quot;(R$ &quot;#,##0.00&quot;)&quot;"/>
    <numFmt numFmtId="170" formatCode="0.00000%"/>
    <numFmt numFmtId="171" formatCode="[$R$-416]&quot; &quot;* #,##0.00&quot; &quot;;&quot;-&quot;[$R$-416]&quot; &quot;* #,##0.00&quot; &quot;;[$R$-416]&quot; &quot;* &quot;-&quot;#&quot; &quot;;&quot; &quot;@&quot; &quot;"/>
    <numFmt numFmtId="172" formatCode="&quot; &quot;[$R$-416]&quot; &quot;* #,##0.00&quot; &quot;;&quot;-&quot;[$R$-416]&quot; &quot;* #,##0.00&quot; &quot;;&quot; &quot;[$R$-416]&quot; &quot;* &quot;-&quot;#&quot; &quot;;&quot; &quot;@&quot; &quot;"/>
    <numFmt numFmtId="173" formatCode="* #,##0.00&quot; &quot;;&quot;-&quot;* #,##0.00&quot; &quot;;* &quot;-&quot;#&quot; &quot;;@&quot; &quot;"/>
    <numFmt numFmtId="174" formatCode="&quot; R$ &quot;* #,##0.00&quot; &quot;;&quot; R$ &quot;* &quot;(&quot;#,##0.00&quot;)&quot;;&quot; R$ &quot;* &quot;-&quot;#&quot; &quot;;@&quot; &quot;"/>
    <numFmt numFmtId="175" formatCode="* #,##0.00&quot; &quot;;* &quot;(&quot;#,##0.00&quot;)&quot;;* &quot;-&quot;#&quot; &quot;;@&quot; &quot;"/>
    <numFmt numFmtId="176" formatCode="&quot; &quot;* #,##0.00&quot; &quot;;&quot;-&quot;* #,##0.00&quot; &quot;;&quot; &quot;* &quot;-&quot;#&quot; &quot;;&quot; &quot;@&quot; &quot;"/>
    <numFmt numFmtId="177" formatCode="[$-416]0.00000%"/>
    <numFmt numFmtId="178" formatCode="[$R$-416]&quot; &quot;#,##0.00"/>
  </numFmts>
  <fonts count="51">
    <font>
      <sz val="10"/>
      <color rgb="FF000000"/>
      <name val="Arial"/>
      <family val="2"/>
    </font>
    <font>
      <sz val="10"/>
      <color rgb="FF000000"/>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FF0000"/>
      <name val="Calibri"/>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i/>
      <u/>
      <sz val="10"/>
      <color rgb="FF000000"/>
      <name val="Arial"/>
      <family val="2"/>
    </font>
    <font>
      <b/>
      <sz val="13"/>
      <color rgb="FF000000"/>
      <name val="Arial"/>
      <family val="2"/>
    </font>
    <font>
      <b/>
      <sz val="12"/>
      <color rgb="FF000000"/>
      <name val="Arial"/>
      <family val="2"/>
    </font>
    <font>
      <sz val="9"/>
      <color rgb="FF000000"/>
      <name val="Arial"/>
      <family val="2"/>
    </font>
    <font>
      <b/>
      <sz val="11"/>
      <color rgb="FF000000"/>
      <name val="Arial"/>
      <family val="2"/>
    </font>
    <font>
      <b/>
      <sz val="8"/>
      <color rgb="FF000000"/>
      <name val="Arial"/>
      <family val="2"/>
    </font>
    <font>
      <sz val="8"/>
      <color rgb="FF000000"/>
      <name val="Arial"/>
      <family val="2"/>
    </font>
    <font>
      <b/>
      <sz val="10"/>
      <color rgb="FF000000"/>
      <name val="Calibri"/>
      <family val="2"/>
    </font>
    <font>
      <sz val="10"/>
      <color rgb="FF000000"/>
      <name val="Calibri"/>
      <family val="2"/>
    </font>
    <font>
      <sz val="10"/>
      <color rgb="FFFF0000"/>
      <name val="Arial"/>
      <family val="2"/>
    </font>
    <font>
      <b/>
      <sz val="12"/>
      <color rgb="FF000000"/>
      <name val="Arial1"/>
    </font>
    <font>
      <sz val="8"/>
      <color rgb="FF000000"/>
      <name val="Verdana1"/>
    </font>
    <font>
      <b/>
      <sz val="10"/>
      <color rgb="FF000000"/>
      <name val="Arial1"/>
    </font>
    <font>
      <sz val="10"/>
      <color rgb="FF000000"/>
      <name val="Arial1"/>
    </font>
    <font>
      <b/>
      <sz val="10"/>
      <color rgb="FF000000"/>
      <name val="Verdana1"/>
    </font>
    <font>
      <b/>
      <sz val="10"/>
      <color rgb="FF000000"/>
      <name val="Verdana"/>
      <family val="2"/>
    </font>
    <font>
      <sz val="10"/>
      <color rgb="FF000000"/>
      <name val="Verdana"/>
      <family val="2"/>
    </font>
    <font>
      <sz val="10"/>
      <color rgb="FF000000"/>
      <name val="Verdana1"/>
    </font>
    <font>
      <b/>
      <sz val="9"/>
      <color rgb="FF000000"/>
      <name val="Spranq eco sans"/>
    </font>
    <font>
      <b/>
      <sz val="18"/>
      <color rgb="FF000000"/>
      <name val="Arial1"/>
    </font>
    <font>
      <b/>
      <sz val="11"/>
      <color rgb="FF000000"/>
      <name val="Times New Roman"/>
      <family val="1"/>
    </font>
    <font>
      <sz val="11"/>
      <color rgb="FF000000"/>
      <name val="Times New Roman"/>
      <family val="1"/>
    </font>
    <font>
      <sz val="11"/>
      <color rgb="FF339966"/>
      <name val="Times New Roman"/>
      <family val="1"/>
    </font>
    <font>
      <sz val="11"/>
      <color rgb="FF000080"/>
      <name val="Times New Roman"/>
      <family val="1"/>
    </font>
    <font>
      <sz val="11"/>
      <color rgb="FFFF0000"/>
      <name val="Times New Roman"/>
      <family val="1"/>
    </font>
    <font>
      <b/>
      <sz val="11"/>
      <color rgb="FF000080"/>
      <name val="Times New Roman"/>
      <family val="1"/>
    </font>
    <font>
      <sz val="11"/>
      <color rgb="FFFF0000"/>
      <name val="Arial"/>
      <family val="2"/>
    </font>
    <font>
      <b/>
      <sz val="10"/>
      <color rgb="FF000080"/>
      <name val="Arial1"/>
    </font>
    <font>
      <sz val="11"/>
      <color rgb="FF333333"/>
      <name val="Times New Roman"/>
      <family val="1"/>
    </font>
    <font>
      <sz val="11"/>
      <color rgb="FF808080"/>
      <name val="Times New Roman"/>
      <family val="1"/>
    </font>
    <font>
      <b/>
      <sz val="11"/>
      <color rgb="FF808080"/>
      <name val="Times New Roman"/>
      <family val="1"/>
    </font>
    <font>
      <b/>
      <sz val="11"/>
      <color rgb="FFFFFFFF"/>
      <name val="Times New Roman"/>
      <family val="1"/>
    </font>
    <font>
      <sz val="11"/>
      <color rgb="FFFFFFFF"/>
      <name val="Times New Roman"/>
      <family val="1"/>
    </font>
    <font>
      <b/>
      <sz val="11"/>
      <color rgb="FF333333"/>
      <name val="Arial"/>
      <family val="2"/>
    </font>
    <font>
      <b/>
      <sz val="14"/>
      <color rgb="FF000000"/>
      <name val="Arial"/>
      <family val="2"/>
    </font>
    <font>
      <b/>
      <sz val="10"/>
      <color rgb="FFC9211E"/>
      <name val="Arial"/>
      <family val="2"/>
    </font>
  </fonts>
  <fills count="2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AFABAB"/>
        <bgColor rgb="FFAFABAB"/>
      </patternFill>
    </fill>
    <fill>
      <patternFill patternType="solid">
        <fgColor rgb="FFD0CECE"/>
        <bgColor rgb="FFD0CECE"/>
      </patternFill>
    </fill>
    <fill>
      <patternFill patternType="solid">
        <fgColor rgb="FFB4C7E7"/>
        <bgColor rgb="FFB4C7E7"/>
      </patternFill>
    </fill>
    <fill>
      <patternFill patternType="solid">
        <fgColor rgb="FFCCFFFF"/>
        <bgColor rgb="FFCCFFFF"/>
      </patternFill>
    </fill>
    <fill>
      <patternFill patternType="solid">
        <fgColor rgb="FFC0C0C0"/>
        <bgColor rgb="FFC0C0C0"/>
      </patternFill>
    </fill>
    <fill>
      <patternFill patternType="solid">
        <fgColor rgb="FF99CCFF"/>
        <bgColor rgb="FF99CCFF"/>
      </patternFill>
    </fill>
    <fill>
      <patternFill patternType="solid">
        <fgColor rgb="FFFFFF99"/>
        <bgColor rgb="FFFFFF99"/>
      </patternFill>
    </fill>
    <fill>
      <patternFill patternType="solid">
        <fgColor rgb="FFFFF200"/>
        <bgColor rgb="FFFFF200"/>
      </patternFill>
    </fill>
    <fill>
      <patternFill patternType="solid">
        <fgColor rgb="FF00CCFF"/>
        <bgColor rgb="FF00CCFF"/>
      </patternFill>
    </fill>
    <fill>
      <patternFill patternType="solid">
        <fgColor rgb="FF00FF00"/>
        <bgColor rgb="FF00FF00"/>
      </patternFill>
    </fill>
    <fill>
      <patternFill patternType="solid">
        <fgColor rgb="FFCC99FF"/>
        <bgColor rgb="FFCC99FF"/>
      </patternFill>
    </fill>
    <fill>
      <patternFill patternType="solid">
        <fgColor rgb="FFCCCCFF"/>
        <bgColor rgb="FFCCCCFF"/>
      </patternFill>
    </fill>
    <fill>
      <patternFill patternType="solid">
        <fgColor rgb="FFFF6600"/>
        <bgColor rgb="FFFF6600"/>
      </patternFill>
    </fill>
    <fill>
      <patternFill patternType="solid">
        <fgColor rgb="FFFFCC00"/>
        <bgColor rgb="FFFFCC00"/>
      </patternFill>
    </fill>
  </fills>
  <borders count="20">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s>
  <cellStyleXfs count="26">
    <xf numFmtId="0" fontId="0" fillId="0" borderId="0"/>
    <xf numFmtId="165" fontId="1" fillId="0" borderId="0" applyFont="0" applyBorder="0" applyProtection="0"/>
    <xf numFmtId="164" fontId="1" fillId="0" borderId="0" applyFont="0" applyBorder="0" applyProtection="0"/>
    <xf numFmtId="9" fontId="1" fillId="0" borderId="0" applyFon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1" fillId="4" borderId="0" applyNumberFormat="0" applyFon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0" borderId="0" applyNumberFormat="0" applyBorder="0" applyProtection="0"/>
    <xf numFmtId="0" fontId="8" fillId="7"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3" fillId="8" borderId="0" applyNumberFormat="0" applyBorder="0" applyProtection="0"/>
    <xf numFmtId="0" fontId="1" fillId="0" borderId="0" applyNumberFormat="0" applyFont="0" applyBorder="0" applyProtection="0"/>
    <xf numFmtId="0" fontId="1" fillId="0" borderId="0" applyNumberFormat="0" applyFont="0" applyBorder="0" applyProtection="0"/>
    <xf numFmtId="0" fontId="14" fillId="8" borderId="1" applyNumberFormat="0" applyProtection="0"/>
    <xf numFmtId="0" fontId="15" fillId="0" borderId="0" applyNumberFormat="0" applyBorder="0" applyProtection="0"/>
    <xf numFmtId="168" fontId="15" fillId="0" borderId="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284">
    <xf numFmtId="0" fontId="0" fillId="0" borderId="0" xfId="0"/>
    <xf numFmtId="0" fontId="0" fillId="9" borderId="0" xfId="0" applyFill="1"/>
    <xf numFmtId="0" fontId="20" fillId="11" borderId="6" xfId="18" applyFont="1" applyFill="1" applyBorder="1" applyAlignment="1">
      <alignment horizontal="center" vertical="center"/>
    </xf>
    <xf numFmtId="0" fontId="20" fillId="11" borderId="6" xfId="18" applyFont="1" applyFill="1" applyBorder="1" applyAlignment="1">
      <alignment horizontal="center" vertical="center" wrapText="1"/>
    </xf>
    <xf numFmtId="0" fontId="21" fillId="9" borderId="6" xfId="18" applyFont="1" applyFill="1" applyBorder="1" applyAlignment="1">
      <alignment horizontal="center" vertical="center"/>
    </xf>
    <xf numFmtId="164" fontId="21" fillId="0" borderId="6" xfId="2" applyFont="1" applyFill="1" applyBorder="1" applyAlignment="1"/>
    <xf numFmtId="164" fontId="21" fillId="9" borderId="6" xfId="2" applyFont="1" applyFill="1" applyBorder="1" applyAlignment="1"/>
    <xf numFmtId="2" fontId="21" fillId="9" borderId="6" xfId="18" applyNumberFormat="1" applyFont="1" applyFill="1" applyBorder="1" applyAlignment="1">
      <alignment horizontal="center" vertical="center"/>
    </xf>
    <xf numFmtId="178" fontId="21" fillId="9" borderId="6" xfId="2" applyNumberFormat="1" applyFont="1" applyFill="1" applyBorder="1" applyAlignment="1"/>
    <xf numFmtId="0" fontId="20" fillId="10" borderId="6" xfId="18" applyFont="1" applyFill="1" applyBorder="1" applyAlignment="1">
      <alignment horizontal="center"/>
    </xf>
    <xf numFmtId="164" fontId="21" fillId="10" borderId="6" xfId="2" applyFont="1" applyFill="1" applyBorder="1" applyAlignment="1"/>
    <xf numFmtId="0" fontId="0" fillId="0" borderId="0" xfId="0" applyFill="1" applyAlignment="1"/>
    <xf numFmtId="0" fontId="22" fillId="9" borderId="6" xfId="0" applyFont="1" applyFill="1" applyBorder="1" applyAlignment="1">
      <alignment horizontal="center" vertical="center"/>
    </xf>
    <xf numFmtId="0" fontId="20" fillId="9" borderId="6" xfId="18" applyFont="1" applyFill="1" applyBorder="1" applyAlignment="1">
      <alignment horizontal="center"/>
    </xf>
    <xf numFmtId="0" fontId="0" fillId="0" borderId="0" xfId="0" applyAlignment="1">
      <alignment vertical="center"/>
    </xf>
    <xf numFmtId="171" fontId="23" fillId="9" borderId="6" xfId="0" applyNumberFormat="1" applyFont="1" applyFill="1" applyBorder="1" applyAlignment="1">
      <alignment horizontal="center" vertical="center"/>
    </xf>
    <xf numFmtId="171" fontId="23" fillId="0" borderId="6" xfId="0" applyNumberFormat="1" applyFont="1" applyBorder="1" applyAlignment="1">
      <alignment horizontal="center" vertical="center"/>
    </xf>
    <xf numFmtId="171" fontId="23" fillId="0" borderId="6" xfId="0" applyNumberFormat="1" applyFont="1" applyFill="1" applyBorder="1" applyAlignment="1">
      <alignment vertical="center"/>
    </xf>
    <xf numFmtId="172" fontId="0" fillId="0" borderId="0" xfId="0" applyNumberFormat="1" applyAlignment="1">
      <alignment vertical="center"/>
    </xf>
    <xf numFmtId="2" fontId="22" fillId="9" borderId="6" xfId="0" applyNumberFormat="1" applyFont="1" applyFill="1" applyBorder="1" applyAlignment="1">
      <alignment horizontal="center" vertical="center"/>
    </xf>
    <xf numFmtId="174" fontId="21" fillId="0" borderId="6" xfId="0" applyNumberFormat="1" applyFont="1" applyBorder="1" applyAlignment="1">
      <alignment horizontal="center" vertical="center"/>
    </xf>
    <xf numFmtId="0" fontId="22" fillId="0" borderId="6" xfId="0" applyFont="1" applyBorder="1" applyAlignment="1">
      <alignment horizontal="center" vertical="center"/>
    </xf>
    <xf numFmtId="174" fontId="20" fillId="11" borderId="6" xfId="18" applyNumberFormat="1" applyFont="1" applyFill="1" applyBorder="1" applyAlignment="1">
      <alignment horizontal="center" vertical="center"/>
    </xf>
    <xf numFmtId="176" fontId="0" fillId="0" borderId="0" xfId="0" applyNumberFormat="1" applyAlignment="1">
      <alignment vertical="center"/>
    </xf>
    <xf numFmtId="176" fontId="0" fillId="0" borderId="0" xfId="0" applyNumberFormat="1"/>
    <xf numFmtId="0" fontId="21" fillId="0" borderId="0" xfId="0" applyFont="1"/>
    <xf numFmtId="4" fontId="0" fillId="0" borderId="0" xfId="0" applyNumberFormat="1"/>
    <xf numFmtId="0" fontId="2" fillId="0" borderId="0" xfId="0" applyFont="1"/>
    <xf numFmtId="0" fontId="16" fillId="0" borderId="2" xfId="0" applyFont="1" applyFill="1" applyBorder="1" applyAlignment="1">
      <alignment horizontal="center"/>
    </xf>
    <xf numFmtId="0" fontId="17" fillId="0" borderId="3" xfId="0" applyFont="1" applyFill="1" applyBorder="1" applyAlignment="1">
      <alignment horizontal="center" vertical="center" wrapText="1"/>
    </xf>
    <xf numFmtId="0" fontId="17" fillId="9" borderId="2" xfId="0" applyFont="1" applyFill="1" applyBorder="1" applyAlignment="1">
      <alignment horizontal="center"/>
    </xf>
    <xf numFmtId="0" fontId="17" fillId="9" borderId="3" xfId="0" applyFont="1" applyFill="1" applyBorder="1" applyAlignment="1">
      <alignment horizontal="center"/>
    </xf>
    <xf numFmtId="0" fontId="2" fillId="9" borderId="4" xfId="0" applyFont="1" applyFill="1" applyBorder="1" applyAlignment="1">
      <alignment horizontal="left" vertical="center"/>
    </xf>
    <xf numFmtId="0" fontId="0" fillId="9" borderId="5" xfId="0" applyFill="1" applyBorder="1"/>
    <xf numFmtId="0" fontId="17" fillId="9" borderId="6" xfId="0" applyFont="1" applyFill="1" applyBorder="1" applyAlignment="1">
      <alignment horizontal="center"/>
    </xf>
    <xf numFmtId="0" fontId="18" fillId="9" borderId="6" xfId="0" applyFont="1" applyFill="1" applyBorder="1" applyAlignment="1">
      <alignment horizontal="left" vertical="center" wrapText="1"/>
    </xf>
    <xf numFmtId="0" fontId="19" fillId="9" borderId="6" xfId="0" applyFont="1" applyFill="1" applyBorder="1" applyAlignment="1">
      <alignment horizontal="center" vertical="center" wrapText="1"/>
    </xf>
    <xf numFmtId="0" fontId="17" fillId="10" borderId="6" xfId="18" applyFont="1" applyFill="1" applyBorder="1" applyAlignment="1">
      <alignment horizontal="center" vertical="center"/>
    </xf>
    <xf numFmtId="0" fontId="0" fillId="11" borderId="6" xfId="0" applyFill="1" applyBorder="1"/>
    <xf numFmtId="0" fontId="20" fillId="11" borderId="6" xfId="18" applyFont="1" applyFill="1" applyBorder="1" applyAlignment="1">
      <alignment horizontal="center" vertical="center"/>
    </xf>
    <xf numFmtId="0" fontId="21" fillId="9" borderId="6" xfId="18" applyFont="1" applyFill="1" applyBorder="1" applyAlignment="1">
      <alignment horizontal="left" vertical="center" wrapText="1"/>
    </xf>
    <xf numFmtId="0" fontId="20" fillId="10" borderId="6" xfId="18" applyFont="1" applyFill="1" applyBorder="1" applyAlignment="1">
      <alignment horizontal="center" vertical="center"/>
    </xf>
    <xf numFmtId="0" fontId="20" fillId="12" borderId="6" xfId="18" applyFont="1" applyFill="1" applyBorder="1" applyAlignment="1">
      <alignment horizontal="center"/>
    </xf>
    <xf numFmtId="0" fontId="22" fillId="9" borderId="6" xfId="0" applyFont="1" applyFill="1" applyBorder="1" applyAlignment="1">
      <alignment horizontal="center" vertical="center"/>
    </xf>
    <xf numFmtId="0" fontId="22" fillId="9" borderId="6" xfId="0" applyFont="1" applyFill="1" applyBorder="1" applyAlignment="1">
      <alignment horizontal="center" vertical="center" wrapText="1"/>
    </xf>
    <xf numFmtId="0" fontId="21" fillId="0" borderId="6"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1" fillId="0" borderId="6" xfId="18" applyFont="1" applyFill="1" applyBorder="1" applyAlignment="1">
      <alignment horizontal="left" vertical="center" wrapText="1"/>
    </xf>
    <xf numFmtId="0" fontId="20" fillId="11" borderId="6" xfId="18" applyFont="1" applyFill="1" applyBorder="1" applyAlignment="1">
      <alignment horizontal="center" vertical="center" wrapText="1"/>
    </xf>
    <xf numFmtId="0" fontId="0" fillId="0" borderId="6" xfId="0" applyFill="1" applyBorder="1"/>
    <xf numFmtId="0" fontId="24" fillId="0" borderId="7" xfId="0" applyFont="1" applyFill="1" applyBorder="1" applyAlignment="1">
      <alignment horizontal="left" vertical="center" wrapText="1"/>
    </xf>
    <xf numFmtId="0" fontId="0" fillId="0" borderId="6" xfId="0" applyFill="1" applyBorder="1" applyAlignment="1">
      <alignment horizontal="left" vertical="center" wrapText="1"/>
    </xf>
    <xf numFmtId="0" fontId="26" fillId="9" borderId="0" xfId="0" applyFont="1" applyFill="1" applyAlignment="1">
      <alignment horizontal="center"/>
    </xf>
    <xf numFmtId="0" fontId="26" fillId="9" borderId="0" xfId="0" applyFont="1" applyFill="1" applyAlignment="1">
      <alignment horizontal="left"/>
    </xf>
    <xf numFmtId="0" fontId="27" fillId="14" borderId="3" xfId="0" applyFont="1" applyFill="1" applyBorder="1" applyAlignment="1">
      <alignment horizontal="center" vertical="center"/>
    </xf>
    <xf numFmtId="0" fontId="27" fillId="14" borderId="3" xfId="0" applyFont="1" applyFill="1" applyBorder="1" applyAlignment="1">
      <alignment horizontal="center" wrapText="1"/>
    </xf>
    <xf numFmtId="0" fontId="27" fillId="14" borderId="3" xfId="0"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left" vertical="center"/>
    </xf>
    <xf numFmtId="0" fontId="0" fillId="0" borderId="6" xfId="10" applyFont="1" applyFill="1" applyBorder="1" applyAlignment="1">
      <alignment horizontal="center" vertical="center"/>
    </xf>
    <xf numFmtId="165" fontId="1" fillId="0" borderId="6" xfId="1" applyFill="1" applyBorder="1" applyAlignment="1"/>
    <xf numFmtId="2" fontId="27" fillId="14" borderId="6" xfId="0" applyNumberFormat="1" applyFont="1" applyFill="1" applyBorder="1" applyAlignment="1">
      <alignment horizontal="right" vertical="center"/>
    </xf>
    <xf numFmtId="0" fontId="28" fillId="9" borderId="0" xfId="0" applyFont="1" applyFill="1" applyAlignment="1">
      <alignment horizontal="left"/>
    </xf>
    <xf numFmtId="165" fontId="27" fillId="14" borderId="6" xfId="0" applyNumberFormat="1" applyFont="1" applyFill="1" applyBorder="1" applyAlignment="1">
      <alignment horizontal="right" vertical="center"/>
    </xf>
    <xf numFmtId="0" fontId="25" fillId="13" borderId="6" xfId="0" applyFont="1" applyFill="1" applyBorder="1" applyAlignment="1">
      <alignment horizontal="center"/>
    </xf>
    <xf numFmtId="0" fontId="27" fillId="13" borderId="6" xfId="0" applyFont="1" applyFill="1" applyBorder="1" applyAlignment="1">
      <alignment horizontal="center" vertical="center"/>
    </xf>
    <xf numFmtId="0" fontId="27" fillId="14" borderId="6" xfId="0" applyFont="1" applyFill="1" applyBorder="1" applyAlignment="1">
      <alignment horizontal="center" vertical="center"/>
    </xf>
    <xf numFmtId="0" fontId="19" fillId="0" borderId="0" xfId="0" applyFont="1" applyAlignment="1">
      <alignment horizontal="center"/>
    </xf>
    <xf numFmtId="0" fontId="2" fillId="0" borderId="0" xfId="0" applyFont="1" applyAlignment="1">
      <alignment horizontal="center" vertical="center"/>
    </xf>
    <xf numFmtId="166" fontId="2" fillId="0" borderId="0" xfId="2" applyNumberFormat="1" applyFont="1" applyFill="1" applyAlignment="1">
      <alignment horizontal="center" vertical="center"/>
    </xf>
    <xf numFmtId="0" fontId="2" fillId="16" borderId="6" xfId="0" applyFont="1" applyFill="1" applyBorder="1" applyAlignment="1">
      <alignment horizontal="center" vertical="center" wrapText="1"/>
    </xf>
    <xf numFmtId="0" fontId="2" fillId="0" borderId="6" xfId="0" applyFont="1" applyBorder="1" applyAlignment="1">
      <alignment horizontal="center" vertical="center" wrapText="1"/>
    </xf>
    <xf numFmtId="164" fontId="2" fillId="0" borderId="6" xfId="2" applyFont="1" applyFill="1" applyBorder="1" applyAlignment="1">
      <alignment horizontal="center" vertical="center" wrapText="1"/>
    </xf>
    <xf numFmtId="164" fontId="2" fillId="0" borderId="6" xfId="2" applyFont="1" applyFill="1" applyBorder="1" applyAlignment="1">
      <alignment horizontal="center" vertical="center"/>
    </xf>
    <xf numFmtId="0" fontId="2" fillId="0" borderId="6" xfId="0" applyFont="1" applyBorder="1" applyAlignment="1">
      <alignment horizontal="left" vertical="center" wrapText="1"/>
    </xf>
    <xf numFmtId="0" fontId="0" fillId="9" borderId="6" xfId="0" applyFill="1" applyBorder="1" applyAlignment="1">
      <alignment horizontal="center" vertical="center"/>
    </xf>
    <xf numFmtId="166" fontId="1" fillId="0" borderId="6" xfId="2" applyNumberFormat="1" applyFill="1" applyBorder="1" applyAlignment="1">
      <alignment horizontal="center" vertical="center"/>
    </xf>
    <xf numFmtId="168" fontId="1" fillId="0" borderId="6" xfId="3" applyNumberFormat="1" applyFill="1" applyBorder="1" applyAlignment="1">
      <alignment horizontal="center" vertical="center"/>
    </xf>
    <xf numFmtId="0" fontId="29" fillId="9" borderId="6" xfId="0" applyFont="1" applyFill="1" applyBorder="1"/>
    <xf numFmtId="0" fontId="0" fillId="0" borderId="0" xfId="0" applyAlignment="1">
      <alignment wrapText="1"/>
    </xf>
    <xf numFmtId="0" fontId="32" fillId="9" borderId="0" xfId="0" applyFont="1" applyFill="1"/>
    <xf numFmtId="0" fontId="2" fillId="9" borderId="6" xfId="0" applyFont="1" applyFill="1" applyBorder="1" applyAlignment="1">
      <alignment horizontal="left" vertical="center"/>
    </xf>
    <xf numFmtId="0" fontId="2" fillId="9" borderId="6" xfId="0" applyFont="1" applyFill="1" applyBorder="1"/>
    <xf numFmtId="10" fontId="0" fillId="0" borderId="0" xfId="0" applyNumberFormat="1"/>
    <xf numFmtId="0" fontId="30" fillId="0" borderId="6" xfId="0" applyFont="1" applyFill="1" applyBorder="1" applyAlignment="1">
      <alignment horizontal="left" vertical="center" wrapText="1"/>
    </xf>
    <xf numFmtId="0" fontId="2" fillId="0" borderId="0" xfId="0" applyFont="1" applyAlignment="1">
      <alignment horizontal="justify" vertical="center" wrapText="1"/>
    </xf>
    <xf numFmtId="0" fontId="19" fillId="15" borderId="6" xfId="0" applyFont="1" applyFill="1" applyBorder="1" applyAlignment="1">
      <alignment horizontal="center"/>
    </xf>
    <xf numFmtId="0" fontId="29" fillId="14" borderId="6" xfId="0" applyFont="1" applyFill="1" applyBorder="1" applyAlignment="1">
      <alignment horizontal="center" vertical="center"/>
    </xf>
    <xf numFmtId="0" fontId="30" fillId="9" borderId="6" xfId="0" applyFont="1" applyFill="1" applyBorder="1" applyAlignment="1">
      <alignment horizontal="justify" vertical="top" wrapText="1"/>
    </xf>
    <xf numFmtId="10" fontId="2" fillId="0" borderId="6" xfId="3" applyNumberFormat="1" applyFont="1" applyFill="1" applyBorder="1" applyAlignment="1">
      <alignment horizontal="left" vertical="center"/>
    </xf>
    <xf numFmtId="0" fontId="32" fillId="9" borderId="6" xfId="0" applyFont="1" applyFill="1" applyBorder="1" applyAlignment="1">
      <alignment horizontal="justify" vertical="top" wrapText="1"/>
    </xf>
    <xf numFmtId="0" fontId="2" fillId="14" borderId="6" xfId="0" applyFont="1" applyFill="1" applyBorder="1" applyAlignment="1">
      <alignment horizontal="center" vertical="center"/>
    </xf>
    <xf numFmtId="0" fontId="31" fillId="0" borderId="6" xfId="0" applyFont="1" applyFill="1" applyBorder="1" applyAlignment="1">
      <alignment horizontal="justify" vertical="top" wrapText="1"/>
    </xf>
    <xf numFmtId="10" fontId="30" fillId="0" borderId="6" xfId="3" applyNumberFormat="1" applyFont="1" applyFill="1" applyBorder="1" applyAlignment="1">
      <alignment horizontal="left" vertical="center"/>
    </xf>
    <xf numFmtId="0" fontId="0" fillId="0" borderId="0" xfId="0"/>
    <xf numFmtId="0" fontId="2" fillId="0" borderId="6" xfId="0" applyFont="1" applyFill="1" applyBorder="1" applyAlignment="1">
      <alignment horizontal="justify" vertical="center" wrapText="1"/>
    </xf>
    <xf numFmtId="0" fontId="33" fillId="0" borderId="0" xfId="0" applyFont="1" applyAlignment="1">
      <alignment horizontal="justify" vertical="center" wrapText="1"/>
    </xf>
    <xf numFmtId="0" fontId="2" fillId="0" borderId="0" xfId="0" applyFont="1" applyAlignment="1">
      <alignment horizontal="justify" vertical="center" wrapText="1"/>
    </xf>
    <xf numFmtId="0" fontId="0" fillId="0" borderId="0" xfId="0" applyAlignment="1">
      <alignment horizontal="justify" vertical="top" wrapText="1"/>
    </xf>
    <xf numFmtId="0" fontId="0" fillId="0" borderId="0" xfId="0" applyAlignment="1">
      <alignment horizontal="justify" vertical="top"/>
    </xf>
    <xf numFmtId="0" fontId="35" fillId="9" borderId="0" xfId="0" applyFont="1" applyFill="1" applyAlignment="1">
      <alignment horizontal="center" vertical="center"/>
    </xf>
    <xf numFmtId="0" fontId="0" fillId="0" borderId="0" xfId="0" applyAlignment="1">
      <alignment horizontal="center" vertical="center"/>
    </xf>
    <xf numFmtId="0" fontId="35" fillId="9" borderId="0" xfId="0" applyFont="1" applyFill="1" applyAlignment="1">
      <alignment horizontal="left" vertical="center"/>
    </xf>
    <xf numFmtId="0" fontId="35" fillId="0" borderId="0" xfId="0" applyFont="1"/>
    <xf numFmtId="0" fontId="35" fillId="0" borderId="0" xfId="0" applyFont="1" applyAlignment="1">
      <alignment horizontal="justify" vertical="center"/>
    </xf>
    <xf numFmtId="0" fontId="36" fillId="0" borderId="0" xfId="0" applyFont="1" applyAlignment="1">
      <alignment horizontal="center" vertical="center"/>
    </xf>
    <xf numFmtId="0" fontId="17" fillId="0" borderId="5" xfId="0" applyFont="1" applyBorder="1" applyAlignment="1">
      <alignment horizontal="left" vertical="center"/>
    </xf>
    <xf numFmtId="0" fontId="17" fillId="0" borderId="5" xfId="0" applyFont="1" applyBorder="1" applyAlignment="1">
      <alignment horizontal="left" vertical="center" wrapText="1"/>
    </xf>
    <xf numFmtId="0" fontId="35" fillId="0" borderId="0" xfId="0" applyFont="1" applyAlignment="1">
      <alignment horizontal="right"/>
    </xf>
    <xf numFmtId="0" fontId="35" fillId="0" borderId="0" xfId="0" applyFont="1" applyAlignment="1">
      <alignment wrapText="1"/>
    </xf>
    <xf numFmtId="0" fontId="35" fillId="0" borderId="0" xfId="0" applyFont="1" applyAlignment="1">
      <alignment horizontal="center" vertical="center"/>
    </xf>
    <xf numFmtId="0" fontId="35" fillId="19" borderId="6" xfId="0" applyFont="1" applyFill="1" applyBorder="1" applyAlignment="1">
      <alignment horizontal="center" vertical="center" wrapText="1"/>
    </xf>
    <xf numFmtId="0" fontId="36" fillId="0" borderId="6" xfId="0" applyFont="1" applyBorder="1" applyAlignment="1">
      <alignment horizontal="justify" vertical="center" wrapText="1"/>
    </xf>
    <xf numFmtId="0" fontId="36" fillId="0" borderId="6" xfId="0" applyFont="1" applyBorder="1" applyAlignment="1">
      <alignment horizontal="center" vertical="center"/>
    </xf>
    <xf numFmtId="2" fontId="36" fillId="0" borderId="6" xfId="0" applyNumberFormat="1"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center"/>
    </xf>
    <xf numFmtId="0" fontId="17" fillId="0" borderId="6" xfId="0" applyFont="1" applyBorder="1" applyAlignment="1">
      <alignment horizontal="left" vertical="center"/>
    </xf>
    <xf numFmtId="0" fontId="17" fillId="0" borderId="6" xfId="0" applyFont="1" applyBorder="1" applyAlignment="1">
      <alignment vertical="center"/>
    </xf>
    <xf numFmtId="0" fontId="35" fillId="9" borderId="0" xfId="0" applyFont="1" applyFill="1" applyAlignment="1">
      <alignment vertical="center" wrapText="1"/>
    </xf>
    <xf numFmtId="0" fontId="37" fillId="9" borderId="0" xfId="0" applyFont="1" applyFill="1" applyAlignment="1">
      <alignment vertical="center"/>
    </xf>
    <xf numFmtId="165" fontId="35" fillId="9" borderId="0" xfId="0" applyNumberFormat="1" applyFont="1" applyFill="1" applyAlignment="1">
      <alignment vertical="center"/>
    </xf>
    <xf numFmtId="0" fontId="35" fillId="9" borderId="6" xfId="0" applyFont="1" applyFill="1" applyBorder="1" applyAlignment="1">
      <alignment horizontal="center" vertical="center"/>
    </xf>
    <xf numFmtId="0" fontId="35" fillId="20" borderId="2" xfId="0" applyFont="1" applyFill="1" applyBorder="1" applyAlignment="1">
      <alignment horizontal="center" vertical="center" wrapText="1"/>
    </xf>
    <xf numFmtId="0" fontId="35" fillId="19" borderId="8" xfId="0" applyFont="1" applyFill="1" applyBorder="1" applyAlignment="1">
      <alignment vertical="center" wrapText="1"/>
    </xf>
    <xf numFmtId="165" fontId="35" fillId="19" borderId="9" xfId="1" applyFont="1" applyFill="1" applyBorder="1" applyAlignment="1">
      <alignment horizontal="center" vertical="center" wrapText="1"/>
    </xf>
    <xf numFmtId="165" fontId="35" fillId="19" borderId="10" xfId="1" applyFont="1" applyFill="1" applyBorder="1" applyAlignment="1">
      <alignment horizontal="center" vertical="center"/>
    </xf>
    <xf numFmtId="0" fontId="36" fillId="9" borderId="11" xfId="0" applyFont="1" applyFill="1" applyBorder="1" applyAlignment="1">
      <alignment vertical="center" wrapText="1"/>
    </xf>
    <xf numFmtId="166" fontId="38" fillId="0" borderId="2" xfId="3" applyNumberFormat="1" applyFont="1" applyFill="1" applyBorder="1" applyAlignment="1">
      <alignment vertical="center"/>
    </xf>
    <xf numFmtId="165" fontId="35" fillId="9" borderId="2" xfId="1" applyFont="1" applyFill="1" applyBorder="1" applyAlignment="1">
      <alignment horizontal="right" vertical="center"/>
    </xf>
    <xf numFmtId="9" fontId="36" fillId="0" borderId="9" xfId="3" applyFont="1" applyFill="1" applyBorder="1" applyAlignment="1"/>
    <xf numFmtId="165" fontId="35" fillId="0" borderId="9" xfId="1" applyFont="1" applyFill="1" applyBorder="1" applyAlignment="1"/>
    <xf numFmtId="167" fontId="36" fillId="0" borderId="9" xfId="3" applyNumberFormat="1" applyFont="1" applyFill="1" applyBorder="1" applyAlignment="1">
      <alignment vertical="center"/>
    </xf>
    <xf numFmtId="10" fontId="36" fillId="0" borderId="9" xfId="3" applyNumberFormat="1" applyFont="1" applyFill="1" applyBorder="1" applyAlignment="1">
      <alignment vertical="center"/>
    </xf>
    <xf numFmtId="10" fontId="36" fillId="0" borderId="3" xfId="3" applyNumberFormat="1" applyFont="1" applyFill="1" applyBorder="1" applyAlignment="1">
      <alignment vertical="center"/>
    </xf>
    <xf numFmtId="165" fontId="35" fillId="0" borderId="3" xfId="1" applyFont="1" applyFill="1" applyBorder="1" applyAlignment="1"/>
    <xf numFmtId="0" fontId="35" fillId="14" borderId="6" xfId="0" applyFont="1" applyFill="1" applyBorder="1" applyAlignment="1">
      <alignment horizontal="right" vertical="center" wrapText="1"/>
    </xf>
    <xf numFmtId="10" fontId="35" fillId="14" borderId="7" xfId="0" applyNumberFormat="1" applyFont="1" applyFill="1" applyBorder="1" applyAlignment="1">
      <alignment horizontal="right" vertical="center" wrapText="1"/>
    </xf>
    <xf numFmtId="168" fontId="35" fillId="14" borderId="12" xfId="0" applyNumberFormat="1" applyFont="1" applyFill="1" applyBorder="1" applyAlignment="1">
      <alignment vertical="center"/>
    </xf>
    <xf numFmtId="0" fontId="35" fillId="21" borderId="6" xfId="0" applyFont="1" applyFill="1" applyBorder="1" applyAlignment="1">
      <alignment horizontal="left" vertical="center" wrapText="1"/>
    </xf>
    <xf numFmtId="165" fontId="35" fillId="21" borderId="6" xfId="1" applyFont="1" applyFill="1" applyBorder="1" applyAlignment="1">
      <alignment horizontal="center" vertical="center"/>
    </xf>
    <xf numFmtId="10" fontId="36" fillId="9" borderId="9" xfId="3" applyNumberFormat="1" applyFont="1" applyFill="1" applyBorder="1" applyAlignment="1">
      <alignment vertical="center"/>
    </xf>
    <xf numFmtId="165" fontId="35" fillId="9" borderId="9" xfId="1" applyFont="1" applyFill="1" applyBorder="1" applyAlignment="1">
      <alignment vertical="center"/>
    </xf>
    <xf numFmtId="0" fontId="35" fillId="9" borderId="5" xfId="0" applyFont="1" applyFill="1" applyBorder="1" applyAlignment="1">
      <alignment horizontal="right" vertical="center" wrapText="1"/>
    </xf>
    <xf numFmtId="10" fontId="40" fillId="9" borderId="2" xfId="0" applyNumberFormat="1" applyFont="1" applyFill="1" applyBorder="1" applyAlignment="1">
      <alignment vertical="center"/>
    </xf>
    <xf numFmtId="165" fontId="35" fillId="9" borderId="2" xfId="0" applyNumberFormat="1" applyFont="1" applyFill="1" applyBorder="1" applyAlignment="1">
      <alignment vertical="center"/>
    </xf>
    <xf numFmtId="0" fontId="35" fillId="21" borderId="5" xfId="0" applyFont="1" applyFill="1" applyBorder="1" applyAlignment="1">
      <alignment horizontal="left" vertical="center" wrapText="1"/>
    </xf>
    <xf numFmtId="165" fontId="35" fillId="9" borderId="13" xfId="1" applyFont="1" applyFill="1" applyBorder="1" applyAlignment="1">
      <alignment vertical="center"/>
    </xf>
    <xf numFmtId="165" fontId="35" fillId="9" borderId="14" xfId="0" applyNumberFormat="1" applyFont="1" applyFill="1" applyBorder="1" applyAlignment="1">
      <alignment vertical="center"/>
    </xf>
    <xf numFmtId="0" fontId="35" fillId="21" borderId="8" xfId="0" applyFont="1" applyFill="1" applyBorder="1" applyAlignment="1">
      <alignment vertical="center" wrapText="1"/>
    </xf>
    <xf numFmtId="9" fontId="35" fillId="21" borderId="6" xfId="3" applyFont="1" applyFill="1" applyBorder="1" applyAlignment="1">
      <alignment horizontal="center" wrapText="1"/>
    </xf>
    <xf numFmtId="168" fontId="36" fillId="0" borderId="11" xfId="3" applyNumberFormat="1" applyFont="1" applyFill="1" applyBorder="1" applyAlignment="1">
      <alignment vertical="center"/>
    </xf>
    <xf numFmtId="165" fontId="35" fillId="0" borderId="9" xfId="1" applyFont="1" applyFill="1" applyBorder="1" applyAlignment="1">
      <alignment horizontal="right" vertical="center"/>
    </xf>
    <xf numFmtId="169" fontId="36" fillId="0" borderId="11" xfId="3" applyNumberFormat="1" applyFont="1" applyFill="1" applyBorder="1" applyAlignment="1">
      <alignment vertical="center"/>
    </xf>
    <xf numFmtId="170" fontId="36" fillId="0" borderId="11" xfId="3" applyNumberFormat="1" applyFont="1" applyFill="1" applyBorder="1" applyAlignment="1"/>
    <xf numFmtId="165" fontId="35" fillId="0" borderId="9" xfId="1" applyFont="1" applyFill="1" applyBorder="1" applyAlignment="1">
      <alignment vertical="center"/>
    </xf>
    <xf numFmtId="168" fontId="36" fillId="0" borderId="11" xfId="3" applyNumberFormat="1" applyFont="1" applyFill="1" applyBorder="1" applyAlignment="1"/>
    <xf numFmtId="165" fontId="35" fillId="0" borderId="3" xfId="1" applyFont="1" applyFill="1" applyBorder="1" applyAlignment="1">
      <alignment vertical="center"/>
    </xf>
    <xf numFmtId="165" fontId="35" fillId="9" borderId="6" xfId="0" applyNumberFormat="1" applyFont="1" applyFill="1" applyBorder="1" applyAlignment="1">
      <alignment vertical="center"/>
    </xf>
    <xf numFmtId="165" fontId="35" fillId="9" borderId="10" xfId="0" applyNumberFormat="1" applyFont="1" applyFill="1" applyBorder="1" applyAlignment="1">
      <alignment vertical="center"/>
    </xf>
    <xf numFmtId="0" fontId="35" fillId="19" borderId="6" xfId="0" applyFont="1" applyFill="1" applyBorder="1" applyAlignment="1">
      <alignment horizontal="left" vertical="center" wrapText="1"/>
    </xf>
    <xf numFmtId="0" fontId="35" fillId="19" borderId="10" xfId="0" applyFont="1" applyFill="1" applyBorder="1" applyAlignment="1">
      <alignment horizontal="center" vertical="center" wrapText="1"/>
    </xf>
    <xf numFmtId="0" fontId="36" fillId="9" borderId="2" xfId="0" applyFont="1" applyFill="1" applyBorder="1" applyAlignment="1">
      <alignment horizontal="left" vertical="center" wrapText="1"/>
    </xf>
    <xf numFmtId="10" fontId="38" fillId="9" borderId="14" xfId="0" applyNumberFormat="1" applyFont="1" applyFill="1" applyBorder="1" applyAlignment="1">
      <alignment horizontal="right" vertical="center" wrapText="1"/>
    </xf>
    <xf numFmtId="165" fontId="35" fillId="9" borderId="2" xfId="1" applyFont="1" applyFill="1" applyBorder="1" applyAlignment="1">
      <alignment vertical="center"/>
    </xf>
    <xf numFmtId="0" fontId="36" fillId="9" borderId="9" xfId="0" applyFont="1" applyFill="1" applyBorder="1" applyAlignment="1">
      <alignment horizontal="left" vertical="center" wrapText="1"/>
    </xf>
    <xf numFmtId="10" fontId="38" fillId="9" borderId="13" xfId="0" applyNumberFormat="1" applyFont="1" applyFill="1" applyBorder="1" applyAlignment="1">
      <alignment horizontal="right" vertical="center" wrapText="1"/>
    </xf>
    <xf numFmtId="165" fontId="35" fillId="9" borderId="3" xfId="1" applyFont="1" applyFill="1" applyBorder="1" applyAlignment="1">
      <alignment vertical="center"/>
    </xf>
    <xf numFmtId="10" fontId="35" fillId="14" borderId="4" xfId="0" applyNumberFormat="1" applyFont="1" applyFill="1" applyBorder="1" applyAlignment="1">
      <alignment horizontal="right" vertical="center" wrapText="1"/>
    </xf>
    <xf numFmtId="165" fontId="35" fillId="14" borderId="6" xfId="0" applyNumberFormat="1" applyFont="1" applyFill="1" applyBorder="1" applyAlignment="1">
      <alignment vertical="center"/>
    </xf>
    <xf numFmtId="0" fontId="35" fillId="9" borderId="0" xfId="0" applyFont="1" applyFill="1" applyAlignment="1">
      <alignment horizontal="right" vertical="center" wrapText="1"/>
    </xf>
    <xf numFmtId="0" fontId="35" fillId="19" borderId="3" xfId="0" applyFont="1" applyFill="1" applyBorder="1" applyAlignment="1">
      <alignment vertical="center" wrapText="1"/>
    </xf>
    <xf numFmtId="10" fontId="35" fillId="19" borderId="3" xfId="3" applyNumberFormat="1" applyFont="1" applyFill="1" applyBorder="1" applyAlignment="1">
      <alignment horizontal="center" vertical="center"/>
    </xf>
    <xf numFmtId="165" fontId="35" fillId="19" borderId="3" xfId="1" applyFont="1" applyFill="1" applyBorder="1" applyAlignment="1">
      <alignment horizontal="center" vertical="center"/>
    </xf>
    <xf numFmtId="10" fontId="38" fillId="9" borderId="11" xfId="3" applyNumberFormat="1" applyFont="1" applyFill="1" applyBorder="1" applyAlignment="1">
      <alignment vertical="center"/>
    </xf>
    <xf numFmtId="0" fontId="36" fillId="0" borderId="11" xfId="0" applyFont="1" applyBorder="1" applyAlignment="1">
      <alignment vertical="center" wrapText="1"/>
    </xf>
    <xf numFmtId="0" fontId="38" fillId="0" borderId="0" xfId="0" applyFont="1"/>
    <xf numFmtId="10" fontId="36" fillId="9" borderId="11" xfId="3" applyNumberFormat="1" applyFont="1" applyFill="1" applyBorder="1" applyAlignment="1">
      <alignment vertical="center"/>
    </xf>
    <xf numFmtId="10" fontId="40" fillId="14" borderId="6" xfId="0" applyNumberFormat="1" applyFont="1" applyFill="1" applyBorder="1" applyAlignment="1">
      <alignment horizontal="right" vertical="center" wrapText="1"/>
    </xf>
    <xf numFmtId="0" fontId="27" fillId="9" borderId="0" xfId="0" applyFont="1" applyFill="1" applyAlignment="1">
      <alignment horizontal="right" vertical="center" wrapText="1"/>
    </xf>
    <xf numFmtId="165" fontId="27" fillId="9" borderId="0" xfId="0" applyNumberFormat="1" applyFont="1" applyFill="1" applyAlignment="1">
      <alignment vertical="center"/>
    </xf>
    <xf numFmtId="0" fontId="35" fillId="21" borderId="3" xfId="0" applyFont="1" applyFill="1" applyBorder="1" applyAlignment="1">
      <alignment vertical="center" wrapText="1"/>
    </xf>
    <xf numFmtId="9" fontId="35" fillId="21" borderId="3" xfId="3" applyFont="1" applyFill="1" applyBorder="1" applyAlignment="1">
      <alignment horizontal="center" vertical="center"/>
    </xf>
    <xf numFmtId="165" fontId="35" fillId="21" borderId="3" xfId="1" applyFont="1" applyFill="1" applyBorder="1" applyAlignment="1">
      <alignment horizontal="center" vertical="center"/>
    </xf>
    <xf numFmtId="10" fontId="38" fillId="9" borderId="9" xfId="3" applyNumberFormat="1" applyFont="1" applyFill="1" applyBorder="1" applyAlignment="1">
      <alignment vertical="center"/>
    </xf>
    <xf numFmtId="10" fontId="40" fillId="14" borderId="6" xfId="0" applyNumberFormat="1" applyFont="1" applyFill="1" applyBorder="1" applyAlignment="1">
      <alignment vertical="center"/>
    </xf>
    <xf numFmtId="0" fontId="35" fillId="21" borderId="6" xfId="0" applyFont="1" applyFill="1" applyBorder="1" applyAlignment="1">
      <alignment vertical="center" wrapText="1"/>
    </xf>
    <xf numFmtId="9" fontId="35" fillId="21" borderId="6" xfId="3" applyFont="1" applyFill="1" applyBorder="1" applyAlignment="1">
      <alignment horizontal="center" vertical="center"/>
    </xf>
    <xf numFmtId="0" fontId="36" fillId="9" borderId="6" xfId="0" applyFont="1" applyFill="1" applyBorder="1" applyAlignment="1">
      <alignment vertical="center" wrapText="1"/>
    </xf>
    <xf numFmtId="10" fontId="38" fillId="9" borderId="6" xfId="3" applyNumberFormat="1" applyFont="1" applyFill="1" applyBorder="1" applyAlignment="1">
      <alignment vertical="center"/>
    </xf>
    <xf numFmtId="165" fontId="35" fillId="9" borderId="6" xfId="1" applyFont="1" applyFill="1" applyBorder="1" applyAlignment="1">
      <alignment vertical="center"/>
    </xf>
    <xf numFmtId="0" fontId="35" fillId="9" borderId="11" xfId="0" applyFont="1" applyFill="1" applyBorder="1" applyAlignment="1">
      <alignment horizontal="right" vertical="center" wrapText="1"/>
    </xf>
    <xf numFmtId="10" fontId="40" fillId="9" borderId="13" xfId="0" applyNumberFormat="1" applyFont="1" applyFill="1" applyBorder="1" applyAlignment="1">
      <alignment vertical="center"/>
    </xf>
    <xf numFmtId="0" fontId="35" fillId="19" borderId="6" xfId="0" applyFont="1" applyFill="1" applyBorder="1" applyAlignment="1">
      <alignment vertical="center" wrapText="1"/>
    </xf>
    <xf numFmtId="10" fontId="35" fillId="19" borderId="6" xfId="3" applyNumberFormat="1" applyFont="1" applyFill="1" applyBorder="1" applyAlignment="1">
      <alignment horizontal="center" vertical="center"/>
    </xf>
    <xf numFmtId="165" fontId="35" fillId="19" borderId="6" xfId="1" applyFont="1" applyFill="1" applyBorder="1" applyAlignment="1">
      <alignment horizontal="center" vertical="center"/>
    </xf>
    <xf numFmtId="0" fontId="36" fillId="0" borderId="6" xfId="0" applyFont="1" applyBorder="1" applyAlignment="1">
      <alignment vertical="center" wrapText="1"/>
    </xf>
    <xf numFmtId="10" fontId="35" fillId="14" borderId="6" xfId="0" applyNumberFormat="1" applyFont="1" applyFill="1" applyBorder="1" applyAlignment="1">
      <alignment horizontal="right" vertical="center" wrapText="1"/>
    </xf>
    <xf numFmtId="10" fontId="42" fillId="9" borderId="0" xfId="0" applyNumberFormat="1" applyFont="1" applyFill="1" applyAlignment="1">
      <alignment vertical="center"/>
    </xf>
    <xf numFmtId="169" fontId="38" fillId="0" borderId="11" xfId="3" applyNumberFormat="1" applyFont="1" applyFill="1" applyBorder="1" applyAlignment="1">
      <alignment vertical="center"/>
    </xf>
    <xf numFmtId="165" fontId="35" fillId="9" borderId="9" xfId="1" applyFont="1" applyFill="1" applyBorder="1" applyAlignment="1"/>
    <xf numFmtId="0" fontId="35" fillId="14" borderId="5" xfId="0" applyFont="1" applyFill="1" applyBorder="1" applyAlignment="1">
      <alignment horizontal="right" vertical="center" wrapText="1"/>
    </xf>
    <xf numFmtId="10" fontId="40" fillId="9" borderId="0" xfId="0" applyNumberFormat="1" applyFont="1" applyFill="1" applyAlignment="1">
      <alignment vertical="center"/>
    </xf>
    <xf numFmtId="173" fontId="0" fillId="0" borderId="0" xfId="0" applyNumberFormat="1"/>
    <xf numFmtId="0" fontId="43" fillId="9" borderId="11" xfId="0" applyFont="1" applyFill="1" applyBorder="1" applyAlignment="1">
      <alignment vertical="center" wrapText="1"/>
    </xf>
    <xf numFmtId="2" fontId="44" fillId="9" borderId="9" xfId="3" applyNumberFormat="1" applyFont="1" applyFill="1" applyBorder="1" applyAlignment="1">
      <alignment vertical="center"/>
    </xf>
    <xf numFmtId="10" fontId="44" fillId="9" borderId="11" xfId="3" applyNumberFormat="1" applyFont="1" applyFill="1" applyBorder="1" applyAlignment="1">
      <alignment vertical="center"/>
    </xf>
    <xf numFmtId="165" fontId="44" fillId="9" borderId="9" xfId="1" applyFont="1" applyFill="1" applyBorder="1" applyAlignment="1">
      <alignment vertical="center"/>
    </xf>
    <xf numFmtId="169" fontId="38" fillId="9" borderId="11" xfId="3" applyNumberFormat="1" applyFont="1" applyFill="1" applyBorder="1" applyAlignment="1">
      <alignment vertical="center"/>
    </xf>
    <xf numFmtId="165" fontId="36" fillId="9" borderId="9" xfId="1" applyFont="1" applyFill="1" applyBorder="1" applyAlignment="1">
      <alignment vertical="center"/>
    </xf>
    <xf numFmtId="0" fontId="37" fillId="14" borderId="5" xfId="0" applyFont="1" applyFill="1" applyBorder="1" applyAlignment="1">
      <alignment vertical="center"/>
    </xf>
    <xf numFmtId="165" fontId="35" fillId="23" borderId="3" xfId="1" applyFont="1" applyFill="1" applyBorder="1" applyAlignment="1">
      <alignment horizontal="center" vertical="center"/>
    </xf>
    <xf numFmtId="165" fontId="45" fillId="9" borderId="6" xfId="0" applyNumberFormat="1" applyFont="1" applyFill="1" applyBorder="1" applyAlignment="1">
      <alignment vertical="center"/>
    </xf>
    <xf numFmtId="0" fontId="46" fillId="2" borderId="6" xfId="0" applyFont="1" applyFill="1" applyBorder="1" applyAlignment="1">
      <alignment horizontal="left" vertical="center" wrapText="1"/>
    </xf>
    <xf numFmtId="0" fontId="47" fillId="2" borderId="6" xfId="0" applyFont="1" applyFill="1" applyBorder="1" applyAlignment="1">
      <alignment vertical="center"/>
    </xf>
    <xf numFmtId="165" fontId="46" fillId="2" borderId="6" xfId="0" applyNumberFormat="1" applyFont="1" applyFill="1" applyBorder="1" applyAlignment="1">
      <alignment vertical="center"/>
    </xf>
    <xf numFmtId="10" fontId="48" fillId="9" borderId="0" xfId="0" applyNumberFormat="1" applyFont="1" applyFill="1" applyAlignment="1">
      <alignment vertical="center"/>
    </xf>
    <xf numFmtId="0" fontId="2" fillId="15" borderId="15"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17" fillId="15" borderId="15" xfId="0" applyFont="1" applyFill="1" applyBorder="1" applyAlignment="1">
      <alignment horizontal="center" vertical="center" wrapText="1"/>
    </xf>
    <xf numFmtId="0" fontId="0" fillId="7" borderId="17" xfId="0" applyFill="1" applyBorder="1" applyAlignment="1">
      <alignment vertical="top" wrapText="1"/>
    </xf>
    <xf numFmtId="2" fontId="2" fillId="7" borderId="18" xfId="0" applyNumberFormat="1" applyFont="1" applyFill="1" applyBorder="1" applyAlignment="1">
      <alignment horizontal="center" vertical="center"/>
    </xf>
    <xf numFmtId="2" fontId="2" fillId="7" borderId="18" xfId="0" applyNumberFormat="1" applyFont="1" applyFill="1" applyBorder="1" applyAlignment="1">
      <alignment horizontal="right" vertical="center"/>
    </xf>
    <xf numFmtId="175" fontId="2" fillId="7" borderId="15" xfId="0" applyNumberFormat="1" applyFont="1" applyFill="1" applyBorder="1" applyAlignment="1">
      <alignment vertical="center"/>
    </xf>
    <xf numFmtId="0" fontId="2" fillId="7" borderId="18" xfId="0" applyFont="1" applyFill="1" applyBorder="1" applyAlignment="1">
      <alignment horizontal="center" vertical="center"/>
    </xf>
    <xf numFmtId="0" fontId="2" fillId="7" borderId="18" xfId="0" applyFont="1" applyFill="1" applyBorder="1" applyAlignment="1">
      <alignment horizontal="center" vertical="center" wrapText="1"/>
    </xf>
    <xf numFmtId="0" fontId="0" fillId="9" borderId="0" xfId="0" applyFill="1" applyAlignment="1">
      <alignment vertical="center"/>
    </xf>
    <xf numFmtId="0" fontId="34" fillId="9" borderId="0" xfId="0" applyFont="1" applyFill="1" applyAlignment="1">
      <alignment horizontal="center" vertical="center"/>
    </xf>
    <xf numFmtId="0" fontId="35" fillId="9" borderId="0" xfId="0" applyFont="1" applyFill="1" applyAlignment="1">
      <alignment horizontal="center" vertical="center" wrapText="1"/>
    </xf>
    <xf numFmtId="0" fontId="2" fillId="17"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0" fontId="35" fillId="18" borderId="6" xfId="0" applyFont="1" applyFill="1" applyBorder="1" applyAlignment="1">
      <alignment horizontal="center" vertical="center" wrapText="1"/>
    </xf>
    <xf numFmtId="0" fontId="35" fillId="19" borderId="5" xfId="0" applyFont="1" applyFill="1" applyBorder="1" applyAlignment="1">
      <alignment horizontal="center" vertical="center" wrapText="1"/>
    </xf>
    <xf numFmtId="164" fontId="35" fillId="0" borderId="6" xfId="2" applyFont="1" applyFill="1" applyBorder="1" applyAlignment="1">
      <alignment horizontal="center" vertical="center"/>
    </xf>
    <xf numFmtId="0" fontId="35" fillId="22" borderId="6" xfId="0" applyFont="1" applyFill="1" applyBorder="1" applyAlignment="1">
      <alignment horizontal="center" vertical="center" wrapText="1"/>
    </xf>
    <xf numFmtId="0" fontId="35" fillId="23" borderId="6" xfId="0" applyFont="1" applyFill="1" applyBorder="1" applyAlignment="1">
      <alignment horizontal="left" vertical="center" wrapText="1"/>
    </xf>
    <xf numFmtId="0" fontId="35" fillId="9" borderId="6" xfId="0" applyFont="1" applyFill="1" applyBorder="1" applyAlignment="1">
      <alignment horizontal="left" vertical="center" wrapText="1"/>
    </xf>
    <xf numFmtId="0" fontId="35" fillId="9" borderId="6" xfId="0" applyFont="1" applyFill="1" applyBorder="1" applyAlignment="1">
      <alignment horizontal="center" vertical="center" wrapText="1"/>
    </xf>
    <xf numFmtId="0" fontId="49" fillId="9" borderId="0" xfId="0" applyFont="1" applyFill="1" applyAlignment="1">
      <alignment horizontal="center"/>
    </xf>
    <xf numFmtId="0" fontId="2" fillId="7" borderId="19" xfId="0" applyFont="1" applyFill="1" applyBorder="1" applyAlignment="1">
      <alignment horizontal="center" vertical="center" wrapText="1"/>
    </xf>
    <xf numFmtId="0" fontId="50" fillId="0" borderId="6" xfId="0" applyFont="1" applyFill="1" applyBorder="1" applyAlignment="1">
      <alignment horizontal="left" wrapText="1"/>
    </xf>
    <xf numFmtId="0" fontId="35" fillId="20" borderId="6" xfId="0" applyFont="1" applyFill="1" applyBorder="1" applyAlignment="1">
      <alignment horizontal="center" vertical="center" wrapText="1"/>
    </xf>
    <xf numFmtId="165" fontId="35" fillId="9" borderId="6" xfId="1" applyFont="1" applyFill="1" applyBorder="1" applyAlignment="1">
      <alignment horizontal="right" vertical="center"/>
    </xf>
    <xf numFmtId="165" fontId="35" fillId="9" borderId="12" xfId="1" applyFont="1" applyFill="1" applyBorder="1" applyAlignment="1">
      <alignment horizontal="right" vertical="center"/>
    </xf>
    <xf numFmtId="9" fontId="35" fillId="0" borderId="6" xfId="3" applyFont="1" applyFill="1" applyBorder="1" applyAlignment="1"/>
    <xf numFmtId="165" fontId="35" fillId="0" borderId="6" xfId="1" applyFont="1" applyFill="1" applyBorder="1" applyAlignment="1"/>
    <xf numFmtId="165" fontId="35" fillId="0" borderId="12" xfId="1" applyFont="1" applyFill="1" applyBorder="1" applyAlignment="1"/>
    <xf numFmtId="167" fontId="35" fillId="0" borderId="6" xfId="3" applyNumberFormat="1" applyFont="1" applyFill="1" applyBorder="1" applyAlignment="1">
      <alignment vertical="center"/>
    </xf>
    <xf numFmtId="10" fontId="36" fillId="0" borderId="6" xfId="3" applyNumberFormat="1" applyFont="1" applyFill="1" applyBorder="1" applyAlignment="1">
      <alignment vertical="center"/>
    </xf>
    <xf numFmtId="10" fontId="36" fillId="9" borderId="6" xfId="3" applyNumberFormat="1" applyFont="1" applyFill="1" applyBorder="1" applyAlignment="1">
      <alignment vertical="center"/>
    </xf>
    <xf numFmtId="165" fontId="35" fillId="9" borderId="12" xfId="1" applyFont="1" applyFill="1" applyBorder="1" applyAlignment="1">
      <alignment vertical="center"/>
    </xf>
    <xf numFmtId="168" fontId="36" fillId="0" borderId="5" xfId="3" applyNumberFormat="1" applyFont="1" applyFill="1" applyBorder="1" applyAlignment="1">
      <alignment vertical="center"/>
    </xf>
    <xf numFmtId="169" fontId="36" fillId="0" borderId="5" xfId="3" applyNumberFormat="1" applyFont="1" applyFill="1" applyBorder="1" applyAlignment="1">
      <alignment vertical="center"/>
    </xf>
    <xf numFmtId="165" fontId="35" fillId="0" borderId="6" xfId="1" applyFont="1" applyFill="1" applyBorder="1" applyAlignment="1">
      <alignment horizontal="right" vertical="center"/>
    </xf>
    <xf numFmtId="170" fontId="36" fillId="0" borderId="5" xfId="3" applyNumberFormat="1" applyFont="1" applyFill="1" applyBorder="1" applyAlignment="1"/>
    <xf numFmtId="165" fontId="35" fillId="0" borderId="6" xfId="1" applyFont="1" applyFill="1" applyBorder="1" applyAlignment="1">
      <alignment vertical="center"/>
    </xf>
    <xf numFmtId="168" fontId="36" fillId="0" borderId="5" xfId="3" applyNumberFormat="1" applyFont="1" applyFill="1" applyBorder="1" applyAlignment="1"/>
    <xf numFmtId="10" fontId="38" fillId="9" borderId="6" xfId="0" applyNumberFormat="1" applyFont="1" applyFill="1" applyBorder="1" applyAlignment="1">
      <alignment horizontal="right" vertical="center" wrapText="1"/>
    </xf>
    <xf numFmtId="10" fontId="38" fillId="9" borderId="5" xfId="3" applyNumberFormat="1" applyFont="1" applyFill="1" applyBorder="1" applyAlignment="1">
      <alignment vertical="center"/>
    </xf>
    <xf numFmtId="10" fontId="36" fillId="9" borderId="5" xfId="3" applyNumberFormat="1" applyFont="1" applyFill="1" applyBorder="1" applyAlignment="1">
      <alignment vertical="center"/>
    </xf>
    <xf numFmtId="0" fontId="36" fillId="9" borderId="2" xfId="0" applyFont="1" applyFill="1" applyBorder="1" applyAlignment="1">
      <alignment vertical="center" wrapText="1"/>
    </xf>
    <xf numFmtId="0" fontId="36" fillId="0" borderId="3" xfId="0" applyFont="1" applyBorder="1" applyAlignment="1">
      <alignment vertical="center" wrapText="1"/>
    </xf>
    <xf numFmtId="169" fontId="38" fillId="0" borderId="5" xfId="3" applyNumberFormat="1" applyFont="1" applyFill="1" applyBorder="1" applyAlignment="1">
      <alignment vertical="center"/>
    </xf>
    <xf numFmtId="165" fontId="35" fillId="9" borderId="6" xfId="1" applyFont="1" applyFill="1" applyBorder="1" applyAlignment="1"/>
    <xf numFmtId="2" fontId="44" fillId="9" borderId="6" xfId="3" applyNumberFormat="1" applyFont="1" applyFill="1" applyBorder="1" applyAlignment="1">
      <alignment vertical="center"/>
    </xf>
    <xf numFmtId="10" fontId="44" fillId="9" borderId="5" xfId="3" applyNumberFormat="1" applyFont="1" applyFill="1" applyBorder="1" applyAlignment="1">
      <alignment vertical="center"/>
    </xf>
    <xf numFmtId="165" fontId="44" fillId="9" borderId="6" xfId="1" applyFont="1" applyFill="1" applyBorder="1" applyAlignment="1">
      <alignment vertical="center"/>
    </xf>
    <xf numFmtId="169" fontId="38" fillId="9" borderId="5" xfId="3" applyNumberFormat="1" applyFont="1" applyFill="1" applyBorder="1" applyAlignment="1">
      <alignment vertical="center"/>
    </xf>
    <xf numFmtId="165" fontId="36" fillId="9" borderId="6" xfId="1" applyFont="1" applyFill="1" applyBorder="1" applyAlignment="1">
      <alignment vertical="center"/>
    </xf>
    <xf numFmtId="0" fontId="2" fillId="15" borderId="6"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2" fillId="7" borderId="6" xfId="0" applyFont="1" applyFill="1" applyBorder="1" applyAlignment="1">
      <alignment horizontal="center" vertical="center"/>
    </xf>
    <xf numFmtId="175" fontId="2" fillId="7" borderId="6" xfId="0" applyNumberFormat="1" applyFont="1" applyFill="1" applyBorder="1" applyAlignment="1">
      <alignment horizontal="center" vertical="center"/>
    </xf>
    <xf numFmtId="175" fontId="2" fillId="7" borderId="6" xfId="0" applyNumberFormat="1" applyFont="1" applyFill="1" applyBorder="1" applyAlignment="1">
      <alignment vertical="center"/>
    </xf>
    <xf numFmtId="2" fontId="2" fillId="7" borderId="6" xfId="0" applyNumberFormat="1" applyFont="1" applyFill="1" applyBorder="1" applyAlignment="1">
      <alignment horizontal="center" vertical="center"/>
    </xf>
    <xf numFmtId="0" fontId="2" fillId="7" borderId="6" xfId="0" applyFont="1" applyFill="1" applyBorder="1" applyAlignment="1">
      <alignment horizontal="center" vertical="center" wrapText="1"/>
    </xf>
    <xf numFmtId="0" fontId="0" fillId="17" borderId="6" xfId="0" applyFill="1" applyBorder="1" applyAlignment="1">
      <alignment horizontal="center" vertical="center"/>
    </xf>
    <xf numFmtId="0" fontId="0" fillId="0" borderId="6" xfId="0" applyFill="1" applyBorder="1" applyAlignment="1">
      <alignment horizontal="center" vertical="center"/>
    </xf>
    <xf numFmtId="0" fontId="49" fillId="9" borderId="7" xfId="0" applyFont="1" applyFill="1" applyBorder="1" applyAlignment="1">
      <alignment horizontal="center"/>
    </xf>
    <xf numFmtId="0" fontId="2" fillId="7" borderId="6" xfId="0" applyFont="1" applyFill="1" applyBorder="1" applyAlignment="1">
      <alignment horizontal="center" vertical="center" wrapText="1"/>
    </xf>
    <xf numFmtId="9" fontId="36" fillId="0" borderId="6" xfId="3" applyFont="1" applyFill="1" applyBorder="1" applyAlignment="1"/>
    <xf numFmtId="167" fontId="36" fillId="0" borderId="6" xfId="3" applyNumberFormat="1" applyFont="1" applyFill="1" applyBorder="1" applyAlignment="1">
      <alignment vertical="center"/>
    </xf>
    <xf numFmtId="177" fontId="36" fillId="0" borderId="5" xfId="3" applyNumberFormat="1" applyFont="1" applyFill="1" applyBorder="1" applyAlignment="1">
      <alignment vertical="center"/>
    </xf>
  </cellXfs>
  <cellStyles count="26">
    <cellStyle name="Accent" xfId="4" xr:uid="{6E3DFD1E-12E7-43AB-85EA-A25D1F64C7CD}"/>
    <cellStyle name="Accent 1" xfId="5" xr:uid="{5A7D37B8-F096-4EF0-8067-C9075DBDF8C8}"/>
    <cellStyle name="Accent 2" xfId="6" xr:uid="{4D84F1CD-EE26-4792-A3D7-DCEC21B87095}"/>
    <cellStyle name="Accent 3" xfId="7" xr:uid="{D341F6EE-811B-4CDD-8E09-DB9638E03EBC}"/>
    <cellStyle name="Bad" xfId="8" xr:uid="{E9525404-9EB7-4CED-954D-E40537E87483}"/>
    <cellStyle name="Error" xfId="9" xr:uid="{039774D9-65D5-43D4-8DBD-6E467B2E0301}"/>
    <cellStyle name="Excel Built-in Explanatory Text" xfId="10" xr:uid="{4CBF95A6-CE9B-4102-A7E4-302025A10D33}"/>
    <cellStyle name="Footnote" xfId="11" xr:uid="{9CA792F5-FD2D-4F74-93CF-174BC46C8DB6}"/>
    <cellStyle name="Good" xfId="12" xr:uid="{2A4071F8-6619-4199-8BA5-ECBC2B936695}"/>
    <cellStyle name="Heading" xfId="13" xr:uid="{4C209B6A-B9AB-455B-9378-E73BDCC56C58}"/>
    <cellStyle name="Heading 1" xfId="14" xr:uid="{31481872-2C41-4BA0-A2E5-499C3D42F90D}"/>
    <cellStyle name="Heading 2" xfId="15" xr:uid="{89F5F93F-9544-4D27-B75F-578979B54207}"/>
    <cellStyle name="Hyperlink" xfId="16" xr:uid="{22B742D0-B9F9-4F7B-9804-EBEEECDB0A6F}"/>
    <cellStyle name="Moeda" xfId="2" builtinId="4" customBuiltin="1"/>
    <cellStyle name="Neutral" xfId="17" xr:uid="{5E9CA7D2-0FB2-448C-A001-878D0D0600CC}"/>
    <cellStyle name="Normal" xfId="0" builtinId="0" customBuiltin="1"/>
    <cellStyle name="Normal 2" xfId="18" xr:uid="{D20136BE-703A-4F3D-911B-4580CC85F58B}"/>
    <cellStyle name="Normal 4" xfId="19" xr:uid="{255454F5-598F-45CD-80C0-CE386A063033}"/>
    <cellStyle name="Note" xfId="20" xr:uid="{962A533B-E40C-4F01-9E91-FA16D6E94536}"/>
    <cellStyle name="Porcentagem" xfId="3" builtinId="5" customBuiltin="1"/>
    <cellStyle name="Result" xfId="21" xr:uid="{82586E7E-9386-457B-B5C9-57275D539316}"/>
    <cellStyle name="Result2" xfId="22" xr:uid="{C74D070A-645E-4276-8AA6-D1C45CF7F951}"/>
    <cellStyle name="Status" xfId="23" xr:uid="{6E8352F7-B808-4FCB-8A6D-2AB4B466480C}"/>
    <cellStyle name="Text" xfId="24" xr:uid="{A2B47EA6-A6AF-440C-8842-C696A3E53E52}"/>
    <cellStyle name="Vírgula" xfId="1" builtinId="3" customBuiltin="1"/>
    <cellStyle name="Warning" xfId="25" xr:uid="{FFAC996C-D6B3-42D8-A065-90179282DD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32FC-475E-46E8-B739-7110CAFABC10}">
  <dimension ref="A1:N61"/>
  <sheetViews>
    <sheetView tabSelected="1" workbookViewId="0">
      <selection sqref="A1:H1"/>
    </sheetView>
  </sheetViews>
  <sheetFormatPr defaultRowHeight="12.75"/>
  <cols>
    <col min="1" max="1" width="6.140625" customWidth="1"/>
    <col min="2" max="2" width="19.7109375" customWidth="1"/>
    <col min="3" max="3" width="27.28515625" customWidth="1"/>
    <col min="4" max="4" width="36.42578125" customWidth="1"/>
    <col min="5" max="5" width="6.140625" style="27" customWidth="1"/>
    <col min="6" max="8" width="16.28515625" customWidth="1"/>
    <col min="9" max="9" width="13.85546875" customWidth="1"/>
    <col min="10" max="10" width="15.5703125" customWidth="1"/>
    <col min="11" max="1022" width="8.28515625" customWidth="1"/>
    <col min="1023" max="1023" width="9.140625" customWidth="1"/>
  </cols>
  <sheetData>
    <row r="1" spans="1:14" ht="16.5">
      <c r="A1" s="28" t="s">
        <v>0</v>
      </c>
      <c r="B1" s="28"/>
      <c r="C1" s="28"/>
      <c r="D1" s="28"/>
      <c r="E1" s="28"/>
      <c r="F1" s="28"/>
      <c r="G1" s="28"/>
      <c r="H1" s="28"/>
    </row>
    <row r="2" spans="1:14" s="1" customFormat="1" ht="12.75" customHeight="1">
      <c r="A2" s="29" t="s">
        <v>1</v>
      </c>
      <c r="B2" s="29"/>
      <c r="C2" s="29"/>
      <c r="D2" s="29"/>
      <c r="E2" s="29"/>
      <c r="F2" s="29"/>
      <c r="G2" s="29"/>
      <c r="H2" s="29"/>
    </row>
    <row r="3" spans="1:14">
      <c r="A3" s="29"/>
      <c r="B3" s="29"/>
      <c r="C3" s="29"/>
      <c r="D3" s="29"/>
      <c r="E3" s="29"/>
      <c r="F3" s="29"/>
      <c r="G3" s="29"/>
      <c r="H3" s="29"/>
    </row>
    <row r="4" spans="1:14" ht="15.75">
      <c r="A4" s="30" t="s">
        <v>2</v>
      </c>
      <c r="B4" s="30"/>
      <c r="C4" s="30"/>
      <c r="D4" s="30"/>
      <c r="E4" s="30"/>
      <c r="F4" s="30"/>
      <c r="G4" s="30"/>
      <c r="H4" s="30"/>
    </row>
    <row r="5" spans="1:14" ht="15.75">
      <c r="A5" s="31" t="s">
        <v>3</v>
      </c>
      <c r="B5" s="31"/>
      <c r="C5" s="31"/>
      <c r="D5" s="31"/>
      <c r="E5" s="31"/>
      <c r="F5" s="31"/>
      <c r="G5" s="31"/>
      <c r="H5" s="31"/>
    </row>
    <row r="6" spans="1:14">
      <c r="A6" s="32" t="s">
        <v>4</v>
      </c>
      <c r="B6" s="32"/>
      <c r="C6" s="32"/>
      <c r="D6" s="32"/>
      <c r="E6" s="32"/>
      <c r="F6" s="32"/>
      <c r="G6" s="32"/>
      <c r="H6" s="32"/>
    </row>
    <row r="7" spans="1:14">
      <c r="A7" s="33"/>
      <c r="B7" s="33"/>
      <c r="C7" s="33"/>
      <c r="D7" s="33"/>
      <c r="E7" s="33"/>
      <c r="F7" s="33"/>
      <c r="G7" s="33"/>
      <c r="H7" s="33"/>
    </row>
    <row r="8" spans="1:14" ht="15.75">
      <c r="A8" s="34" t="s">
        <v>5</v>
      </c>
      <c r="B8" s="34"/>
      <c r="C8" s="34"/>
      <c r="D8" s="34"/>
      <c r="E8" s="34"/>
      <c r="F8" s="34"/>
      <c r="G8" s="34"/>
      <c r="H8" s="34"/>
    </row>
    <row r="9" spans="1:14" ht="29.1" customHeight="1">
      <c r="A9" s="35" t="s">
        <v>6</v>
      </c>
      <c r="B9" s="35"/>
      <c r="C9" s="35"/>
      <c r="D9" s="35"/>
      <c r="E9" s="35"/>
      <c r="F9" s="35"/>
      <c r="G9" s="35"/>
      <c r="H9" s="35"/>
    </row>
    <row r="10" spans="1:14">
      <c r="A10" s="35"/>
      <c r="B10" s="35"/>
      <c r="C10" s="35"/>
      <c r="D10" s="35"/>
      <c r="E10" s="35"/>
      <c r="F10" s="35"/>
      <c r="G10" s="35"/>
      <c r="H10" s="35"/>
    </row>
    <row r="11" spans="1:14" ht="15.75">
      <c r="A11" s="34" t="s">
        <v>7</v>
      </c>
      <c r="B11" s="34"/>
      <c r="C11" s="34"/>
      <c r="D11" s="34"/>
      <c r="E11" s="34"/>
      <c r="F11" s="34"/>
      <c r="G11" s="34"/>
      <c r="H11" s="34"/>
    </row>
    <row r="12" spans="1:14" ht="12.75" customHeight="1">
      <c r="A12" s="36" t="s">
        <v>8</v>
      </c>
      <c r="B12" s="36"/>
      <c r="C12" s="36"/>
      <c r="D12" s="36"/>
      <c r="E12" s="36"/>
      <c r="F12" s="36"/>
      <c r="G12" s="36"/>
      <c r="H12" s="36"/>
      <c r="N12" t="s">
        <v>9</v>
      </c>
    </row>
    <row r="13" spans="1:14">
      <c r="A13" s="36"/>
      <c r="B13" s="36"/>
      <c r="C13" s="36"/>
      <c r="D13" s="36"/>
      <c r="E13" s="36"/>
      <c r="F13" s="36"/>
      <c r="G13" s="36"/>
      <c r="H13" s="36"/>
    </row>
    <row r="14" spans="1:14">
      <c r="A14" s="36"/>
      <c r="B14" s="36"/>
      <c r="C14" s="36"/>
      <c r="D14" s="36"/>
      <c r="E14" s="36"/>
      <c r="F14" s="36"/>
      <c r="G14" s="36"/>
      <c r="H14" s="36"/>
    </row>
    <row r="15" spans="1:14" ht="15.75">
      <c r="A15" s="37" t="s">
        <v>10</v>
      </c>
      <c r="B15" s="37"/>
      <c r="C15" s="37"/>
      <c r="D15" s="37"/>
      <c r="E15" s="37"/>
      <c r="F15" s="37"/>
      <c r="G15" s="37"/>
      <c r="H15" s="37"/>
    </row>
    <row r="16" spans="1:14">
      <c r="A16" s="38"/>
      <c r="B16" s="39" t="s">
        <v>11</v>
      </c>
      <c r="C16" s="39"/>
      <c r="D16" s="39"/>
      <c r="E16" s="39"/>
      <c r="F16" s="2" t="s">
        <v>12</v>
      </c>
      <c r="G16" s="3" t="s">
        <v>13</v>
      </c>
      <c r="H16" s="3" t="s">
        <v>14</v>
      </c>
    </row>
    <row r="17" spans="1:14">
      <c r="A17" s="38"/>
      <c r="B17" s="40" t="s">
        <v>15</v>
      </c>
      <c r="C17" s="40"/>
      <c r="D17" s="40"/>
      <c r="E17" s="40"/>
      <c r="F17" s="4">
        <f>E26+E36+E44+E52</f>
        <v>8</v>
      </c>
      <c r="G17" s="5">
        <f>G28+G36+G44+G52</f>
        <v>47854.173333333332</v>
      </c>
      <c r="H17" s="6">
        <f>G17*12</f>
        <v>574250.07999999996</v>
      </c>
    </row>
    <row r="18" spans="1:14">
      <c r="A18" s="38"/>
      <c r="B18" s="40" t="s">
        <v>16</v>
      </c>
      <c r="C18" s="40"/>
      <c r="D18" s="40"/>
      <c r="E18" s="40"/>
      <c r="F18" s="4">
        <f>E29+E37+E45+E53</f>
        <v>2</v>
      </c>
      <c r="G18" s="5">
        <f>G29+G37+G45+G53</f>
        <v>22674.16</v>
      </c>
      <c r="H18" s="6">
        <f>G18*12</f>
        <v>272089.92</v>
      </c>
    </row>
    <row r="19" spans="1:14">
      <c r="A19" s="38"/>
      <c r="B19" s="40" t="s">
        <v>17</v>
      </c>
      <c r="C19" s="40"/>
      <c r="D19" s="40"/>
      <c r="E19" s="40"/>
      <c r="F19" s="4">
        <f>E30+E38+E46+E54</f>
        <v>5</v>
      </c>
      <c r="G19" s="5">
        <f>G30+G38+G46+G54</f>
        <v>66672.100000000006</v>
      </c>
      <c r="H19" s="6">
        <f>G19*12</f>
        <v>800065.20000000007</v>
      </c>
    </row>
    <row r="20" spans="1:14">
      <c r="A20" s="38"/>
      <c r="B20" s="40" t="s">
        <v>18</v>
      </c>
      <c r="C20" s="40"/>
      <c r="D20" s="40"/>
      <c r="E20" s="40"/>
      <c r="F20" s="7">
        <f>E31+E39+E47+E55</f>
        <v>16.666666666666668</v>
      </c>
      <c r="G20" s="5">
        <f>G31+G39+G47+G55</f>
        <v>429.5</v>
      </c>
      <c r="H20" s="8">
        <f>G20*12</f>
        <v>5154</v>
      </c>
    </row>
    <row r="21" spans="1:14">
      <c r="A21" s="38"/>
      <c r="B21" s="40" t="s">
        <v>19</v>
      </c>
      <c r="C21" s="40"/>
      <c r="D21" s="40"/>
      <c r="E21" s="40"/>
      <c r="F21" s="4">
        <f>E32+E40+E48+E56</f>
        <v>2</v>
      </c>
      <c r="G21" s="5">
        <f>G32+G40+G48+G56</f>
        <v>60.62</v>
      </c>
      <c r="H21" s="8">
        <f>G21*12</f>
        <v>727.43999999999994</v>
      </c>
    </row>
    <row r="22" spans="1:14">
      <c r="A22" s="38"/>
      <c r="B22" s="41" t="s">
        <v>20</v>
      </c>
      <c r="C22" s="41"/>
      <c r="D22" s="41"/>
      <c r="E22" s="41"/>
      <c r="F22" s="9">
        <f>SUM(F17:F19)</f>
        <v>15</v>
      </c>
      <c r="G22" s="10">
        <f>SUM(G17:G21)</f>
        <v>137690.55333333334</v>
      </c>
      <c r="H22" s="10">
        <f>SUM(H17:H21)</f>
        <v>1652286.6400000001</v>
      </c>
    </row>
    <row r="23" spans="1:14">
      <c r="A23" s="11"/>
      <c r="B23" s="11"/>
      <c r="C23" s="11"/>
      <c r="D23" s="11"/>
      <c r="E23" s="11"/>
      <c r="F23" s="11"/>
      <c r="G23" s="11"/>
      <c r="H23" s="11"/>
    </row>
    <row r="24" spans="1:14" ht="12.75" customHeight="1">
      <c r="A24" s="42" t="s">
        <v>21</v>
      </c>
      <c r="B24" s="42"/>
      <c r="C24" s="42"/>
      <c r="D24" s="42"/>
      <c r="E24" s="42"/>
      <c r="F24" s="42"/>
      <c r="G24" s="42"/>
      <c r="H24" s="42"/>
    </row>
    <row r="25" spans="1:14" s="14" customFormat="1" ht="15" customHeight="1">
      <c r="A25" s="12" t="s">
        <v>22</v>
      </c>
      <c r="B25" s="12" t="s">
        <v>23</v>
      </c>
      <c r="C25" s="43" t="s">
        <v>24</v>
      </c>
      <c r="D25" s="43"/>
      <c r="E25" s="12" t="s">
        <v>25</v>
      </c>
      <c r="F25" s="12" t="s">
        <v>26</v>
      </c>
      <c r="G25" s="13" t="s">
        <v>27</v>
      </c>
      <c r="H25" s="13" t="s">
        <v>28</v>
      </c>
    </row>
    <row r="26" spans="1:14" s="14" customFormat="1" ht="15" customHeight="1">
      <c r="A26" s="43">
        <v>1</v>
      </c>
      <c r="B26" s="44" t="s">
        <v>29</v>
      </c>
      <c r="C26" s="45" t="s">
        <v>15</v>
      </c>
      <c r="D26" s="45"/>
      <c r="E26" s="12">
        <v>5</v>
      </c>
      <c r="F26" s="15">
        <f>Boa_Vista!D130</f>
        <v>6057.8</v>
      </c>
      <c r="G26" s="16">
        <f t="shared" ref="G26:G32" si="0">F26*E26</f>
        <v>30289</v>
      </c>
      <c r="H26" s="17"/>
      <c r="I26" s="18"/>
      <c r="J26" s="18"/>
    </row>
    <row r="27" spans="1:14" s="14" customFormat="1" ht="15" customHeight="1">
      <c r="A27" s="43"/>
      <c r="B27" s="44"/>
      <c r="C27" s="45" t="s">
        <v>30</v>
      </c>
      <c r="D27" s="45"/>
      <c r="E27" s="19">
        <f>20/12</f>
        <v>1.6666666666666667</v>
      </c>
      <c r="F27" s="15">
        <f>Hora_Extra!D129</f>
        <v>30.02</v>
      </c>
      <c r="G27" s="16">
        <f t="shared" si="0"/>
        <v>50.033333333333331</v>
      </c>
      <c r="H27" s="17"/>
      <c r="I27" s="18"/>
      <c r="J27" s="18"/>
    </row>
    <row r="28" spans="1:14" s="14" customFormat="1" ht="15" customHeight="1">
      <c r="A28" s="43"/>
      <c r="B28" s="44"/>
      <c r="C28" s="45" t="s">
        <v>31</v>
      </c>
      <c r="D28" s="45"/>
      <c r="E28" s="12">
        <f>E26</f>
        <v>5</v>
      </c>
      <c r="F28" s="20">
        <f>F26+((E27*F27)/E26)</f>
        <v>6067.8066666666673</v>
      </c>
      <c r="G28" s="16">
        <f t="shared" si="0"/>
        <v>30339.033333333336</v>
      </c>
      <c r="H28" s="17">
        <f>G28*12</f>
        <v>364068.4</v>
      </c>
      <c r="I28" s="18"/>
      <c r="J28" s="18"/>
    </row>
    <row r="29" spans="1:14" s="14" customFormat="1" ht="15" customHeight="1">
      <c r="A29" s="12">
        <v>2</v>
      </c>
      <c r="B29" s="44"/>
      <c r="C29" s="46" t="s">
        <v>32</v>
      </c>
      <c r="D29" s="46"/>
      <c r="E29" s="12">
        <v>2</v>
      </c>
      <c r="F29" s="15">
        <f>Boa_Vista!D131</f>
        <v>11337.08</v>
      </c>
      <c r="G29" s="16">
        <f t="shared" si="0"/>
        <v>22674.16</v>
      </c>
      <c r="H29" s="17">
        <f>G29*12</f>
        <v>272089.92</v>
      </c>
    </row>
    <row r="30" spans="1:14" s="14" customFormat="1" ht="15" customHeight="1">
      <c r="A30" s="12">
        <v>3</v>
      </c>
      <c r="B30" s="44"/>
      <c r="C30" s="46" t="s">
        <v>33</v>
      </c>
      <c r="D30" s="46"/>
      <c r="E30" s="21">
        <v>5</v>
      </c>
      <c r="F30" s="15">
        <f>Boa_Vista!D132</f>
        <v>13334.42</v>
      </c>
      <c r="G30" s="16">
        <f t="shared" si="0"/>
        <v>66672.100000000006</v>
      </c>
      <c r="H30" s="17">
        <f>G30*12</f>
        <v>800065.20000000007</v>
      </c>
    </row>
    <row r="31" spans="1:14" s="14" customFormat="1" ht="15" customHeight="1">
      <c r="A31" s="12">
        <v>4</v>
      </c>
      <c r="B31" s="44"/>
      <c r="C31" s="47" t="s">
        <v>18</v>
      </c>
      <c r="D31" s="47"/>
      <c r="E31" s="21">
        <f>200/12</f>
        <v>16.666666666666668</v>
      </c>
      <c r="F31" s="15">
        <f>Boa_Vista!D134</f>
        <v>25.77</v>
      </c>
      <c r="G31" s="16">
        <f t="shared" si="0"/>
        <v>429.5</v>
      </c>
      <c r="H31" s="17">
        <f>G31*12</f>
        <v>5154</v>
      </c>
    </row>
    <row r="32" spans="1:14" s="14" customFormat="1" ht="15" customHeight="1">
      <c r="A32" s="12">
        <v>5</v>
      </c>
      <c r="B32" s="44"/>
      <c r="C32" s="47" t="s">
        <v>19</v>
      </c>
      <c r="D32" s="47"/>
      <c r="E32" s="21">
        <f>24/12</f>
        <v>2</v>
      </c>
      <c r="F32" s="15">
        <f>Boa_Vista!D135</f>
        <v>30.31</v>
      </c>
      <c r="G32" s="16">
        <f t="shared" si="0"/>
        <v>60.62</v>
      </c>
      <c r="H32" s="17">
        <f>G32*12</f>
        <v>727.43999999999994</v>
      </c>
      <c r="N32"/>
    </row>
    <row r="33" spans="1:14" ht="12.75" customHeight="1">
      <c r="A33" s="48" t="s">
        <v>34</v>
      </c>
      <c r="B33" s="48"/>
      <c r="C33" s="48"/>
      <c r="D33" s="48"/>
      <c r="E33" s="48"/>
      <c r="F33" s="48"/>
      <c r="G33" s="22">
        <f>SUM(G28:G32)</f>
        <v>120175.41333333333</v>
      </c>
      <c r="H33" s="22">
        <f>SUM(H28:H32)</f>
        <v>1442104.96</v>
      </c>
      <c r="I33" s="23"/>
      <c r="J33" s="24"/>
    </row>
    <row r="34" spans="1:14">
      <c r="A34" s="49"/>
      <c r="B34" s="49"/>
      <c r="C34" s="49"/>
      <c r="D34" s="49"/>
      <c r="E34" s="49"/>
      <c r="F34" s="49"/>
      <c r="G34" s="49"/>
      <c r="H34" s="49"/>
      <c r="I34" s="24"/>
      <c r="J34" s="24"/>
      <c r="N34" s="25"/>
    </row>
    <row r="35" spans="1:14">
      <c r="A35" s="12" t="s">
        <v>22</v>
      </c>
      <c r="B35" s="12" t="s">
        <v>23</v>
      </c>
      <c r="C35" s="43" t="s">
        <v>24</v>
      </c>
      <c r="D35" s="43"/>
      <c r="E35" s="12" t="s">
        <v>25</v>
      </c>
      <c r="F35" s="12" t="s">
        <v>26</v>
      </c>
      <c r="G35" s="12" t="s">
        <v>35</v>
      </c>
      <c r="H35" s="13" t="s">
        <v>28</v>
      </c>
      <c r="N35" s="26"/>
    </row>
    <row r="36" spans="1:14">
      <c r="A36" s="12">
        <v>6</v>
      </c>
      <c r="B36" s="44" t="s">
        <v>36</v>
      </c>
      <c r="C36" s="46" t="s">
        <v>37</v>
      </c>
      <c r="D36" s="46"/>
      <c r="E36" s="12">
        <v>1</v>
      </c>
      <c r="F36" s="15">
        <f>Caracaraí!D130</f>
        <v>5796.08</v>
      </c>
      <c r="G36" s="16">
        <f>F36*E36</f>
        <v>5796.08</v>
      </c>
      <c r="H36" s="17">
        <f>G36*12</f>
        <v>69552.959999999992</v>
      </c>
    </row>
    <row r="37" spans="1:14">
      <c r="A37" s="12">
        <v>7</v>
      </c>
      <c r="B37" s="44"/>
      <c r="C37" s="46" t="s">
        <v>32</v>
      </c>
      <c r="D37" s="46"/>
      <c r="E37" s="12">
        <v>0</v>
      </c>
      <c r="F37" s="15">
        <f>Caracaraí!D131</f>
        <v>11142.38</v>
      </c>
      <c r="G37" s="16">
        <f>F37*E37</f>
        <v>0</v>
      </c>
      <c r="H37" s="17">
        <f>G37*12</f>
        <v>0</v>
      </c>
    </row>
    <row r="38" spans="1:14">
      <c r="A38" s="12">
        <v>8</v>
      </c>
      <c r="B38" s="44"/>
      <c r="C38" s="46" t="s">
        <v>33</v>
      </c>
      <c r="D38" s="46"/>
      <c r="E38" s="21">
        <v>0</v>
      </c>
      <c r="F38" s="15">
        <f>Caracaraí!D132</f>
        <v>13139.72</v>
      </c>
      <c r="G38" s="16">
        <f>F38*E38</f>
        <v>0</v>
      </c>
      <c r="H38" s="17">
        <f>G38*12</f>
        <v>0</v>
      </c>
    </row>
    <row r="39" spans="1:14">
      <c r="A39" s="12">
        <v>9</v>
      </c>
      <c r="B39" s="44"/>
      <c r="C39" s="47" t="s">
        <v>18</v>
      </c>
      <c r="D39" s="47"/>
      <c r="E39" s="21">
        <v>0</v>
      </c>
      <c r="F39" s="15">
        <f>Caracaraí!D134</f>
        <v>25.32</v>
      </c>
      <c r="G39" s="16">
        <f>F39*E39</f>
        <v>0</v>
      </c>
      <c r="H39" s="17">
        <f>G39*12</f>
        <v>0</v>
      </c>
    </row>
    <row r="40" spans="1:14">
      <c r="A40" s="12">
        <v>10</v>
      </c>
      <c r="B40" s="44"/>
      <c r="C40" s="47" t="s">
        <v>19</v>
      </c>
      <c r="D40" s="47"/>
      <c r="E40" s="21">
        <v>0</v>
      </c>
      <c r="F40" s="15">
        <f>Caracaraí!D135</f>
        <v>29.86</v>
      </c>
      <c r="G40" s="16">
        <f>F40*E40</f>
        <v>0</v>
      </c>
      <c r="H40" s="17">
        <f>G40*12</f>
        <v>0</v>
      </c>
    </row>
    <row r="41" spans="1:14">
      <c r="A41" s="48" t="s">
        <v>34</v>
      </c>
      <c r="B41" s="48"/>
      <c r="C41" s="48"/>
      <c r="D41" s="48"/>
      <c r="E41" s="48"/>
      <c r="F41" s="48"/>
      <c r="G41" s="22">
        <f>SUM(G36:G40)</f>
        <v>5796.08</v>
      </c>
      <c r="H41" s="22">
        <f>SUM(H36:H40)</f>
        <v>69552.959999999992</v>
      </c>
    </row>
    <row r="42" spans="1:14">
      <c r="A42" s="49"/>
      <c r="B42" s="49"/>
      <c r="C42" s="49"/>
      <c r="D42" s="49"/>
      <c r="E42" s="49"/>
      <c r="F42" s="49"/>
      <c r="G42" s="49"/>
      <c r="H42" s="49"/>
    </row>
    <row r="43" spans="1:14">
      <c r="A43" s="12" t="s">
        <v>22</v>
      </c>
      <c r="B43" s="12" t="s">
        <v>23</v>
      </c>
      <c r="C43" s="43" t="s">
        <v>24</v>
      </c>
      <c r="D43" s="43"/>
      <c r="E43" s="12" t="s">
        <v>25</v>
      </c>
      <c r="F43" s="12" t="s">
        <v>26</v>
      </c>
      <c r="G43" s="12" t="s">
        <v>35</v>
      </c>
      <c r="H43" s="13" t="s">
        <v>28</v>
      </c>
    </row>
    <row r="44" spans="1:14">
      <c r="A44" s="12">
        <v>11</v>
      </c>
      <c r="B44" s="44" t="s">
        <v>38</v>
      </c>
      <c r="C44" s="46" t="s">
        <v>37</v>
      </c>
      <c r="D44" s="46"/>
      <c r="E44" s="12">
        <v>1</v>
      </c>
      <c r="F44" s="15">
        <f>Rorainópolis!D130</f>
        <v>5859.53</v>
      </c>
      <c r="G44" s="16">
        <f>F44*E44</f>
        <v>5859.53</v>
      </c>
      <c r="H44" s="17">
        <f>G44*12</f>
        <v>70314.36</v>
      </c>
    </row>
    <row r="45" spans="1:14">
      <c r="A45" s="12">
        <v>12</v>
      </c>
      <c r="B45" s="44"/>
      <c r="C45" s="46" t="s">
        <v>32</v>
      </c>
      <c r="D45" s="46"/>
      <c r="E45" s="12">
        <v>0</v>
      </c>
      <c r="F45" s="15">
        <f>Rorainópolis!D131</f>
        <v>11264.36</v>
      </c>
      <c r="G45" s="16">
        <f>F45*E45</f>
        <v>0</v>
      </c>
      <c r="H45" s="17">
        <f>G45*12</f>
        <v>0</v>
      </c>
    </row>
    <row r="46" spans="1:14">
      <c r="A46" s="12">
        <v>13</v>
      </c>
      <c r="B46" s="44"/>
      <c r="C46" s="46" t="s">
        <v>33</v>
      </c>
      <c r="D46" s="46"/>
      <c r="E46" s="21">
        <v>0</v>
      </c>
      <c r="F46" s="15">
        <f>Rorainópolis!D132</f>
        <v>13283.54</v>
      </c>
      <c r="G46" s="16">
        <f>F46*E46</f>
        <v>0</v>
      </c>
      <c r="H46" s="17">
        <f>G46*12</f>
        <v>0</v>
      </c>
    </row>
    <row r="47" spans="1:14">
      <c r="A47" s="12">
        <v>14</v>
      </c>
      <c r="B47" s="44"/>
      <c r="C47" s="47" t="s">
        <v>18</v>
      </c>
      <c r="D47" s="47"/>
      <c r="E47" s="21">
        <v>0</v>
      </c>
      <c r="F47" s="15">
        <f>Rorainópolis!D134</f>
        <v>25.6</v>
      </c>
      <c r="G47" s="16">
        <f>F47*E47</f>
        <v>0</v>
      </c>
      <c r="H47" s="17">
        <f>G47*12</f>
        <v>0</v>
      </c>
    </row>
    <row r="48" spans="1:14">
      <c r="A48" s="12">
        <v>15</v>
      </c>
      <c r="B48" s="44"/>
      <c r="C48" s="47" t="s">
        <v>19</v>
      </c>
      <c r="D48" s="47"/>
      <c r="E48" s="21">
        <v>0</v>
      </c>
      <c r="F48" s="15">
        <f>Rorainópolis!D135</f>
        <v>30.19</v>
      </c>
      <c r="G48" s="16">
        <f>F48*E48</f>
        <v>0</v>
      </c>
      <c r="H48" s="17">
        <f>G48*12</f>
        <v>0</v>
      </c>
    </row>
    <row r="49" spans="1:8">
      <c r="A49" s="48" t="s">
        <v>34</v>
      </c>
      <c r="B49" s="48"/>
      <c r="C49" s="48"/>
      <c r="D49" s="48"/>
      <c r="E49" s="48"/>
      <c r="F49" s="48"/>
      <c r="G49" s="22">
        <f>SUM(G44:G48)</f>
        <v>5859.53</v>
      </c>
      <c r="H49" s="22">
        <f>SUM(H44:H48)</f>
        <v>70314.36</v>
      </c>
    </row>
    <row r="50" spans="1:8">
      <c r="A50" s="49"/>
      <c r="B50" s="49"/>
      <c r="C50" s="49"/>
      <c r="D50" s="49"/>
      <c r="E50" s="49"/>
      <c r="F50" s="49"/>
      <c r="G50" s="49"/>
      <c r="H50" s="49"/>
    </row>
    <row r="51" spans="1:8">
      <c r="A51" s="12" t="s">
        <v>22</v>
      </c>
      <c r="B51" s="12" t="s">
        <v>23</v>
      </c>
      <c r="C51" s="43" t="s">
        <v>24</v>
      </c>
      <c r="D51" s="43"/>
      <c r="E51" s="12" t="s">
        <v>25</v>
      </c>
      <c r="F51" s="12" t="s">
        <v>26</v>
      </c>
      <c r="G51" s="12" t="s">
        <v>35</v>
      </c>
      <c r="H51" s="13" t="s">
        <v>28</v>
      </c>
    </row>
    <row r="52" spans="1:8">
      <c r="A52" s="12">
        <v>16</v>
      </c>
      <c r="B52" s="44" t="s">
        <v>39</v>
      </c>
      <c r="C52" s="46" t="s">
        <v>37</v>
      </c>
      <c r="D52" s="46"/>
      <c r="E52" s="12">
        <v>1</v>
      </c>
      <c r="F52" s="15">
        <f>Alto_Alegre!D130</f>
        <v>5859.53</v>
      </c>
      <c r="G52" s="16">
        <f>F52*E52</f>
        <v>5859.53</v>
      </c>
      <c r="H52" s="17">
        <f>G52*12</f>
        <v>70314.36</v>
      </c>
    </row>
    <row r="53" spans="1:8">
      <c r="A53" s="12">
        <v>17</v>
      </c>
      <c r="B53" s="44"/>
      <c r="C53" s="46" t="s">
        <v>32</v>
      </c>
      <c r="D53" s="46"/>
      <c r="E53" s="12">
        <v>0</v>
      </c>
      <c r="F53" s="15">
        <f>Alto_Alegre!D131</f>
        <v>11264.36</v>
      </c>
      <c r="G53" s="16">
        <f>F53*E53</f>
        <v>0</v>
      </c>
      <c r="H53" s="17">
        <f>G53*12</f>
        <v>0</v>
      </c>
    </row>
    <row r="54" spans="1:8">
      <c r="A54" s="12">
        <v>18</v>
      </c>
      <c r="B54" s="44"/>
      <c r="C54" s="46" t="s">
        <v>33</v>
      </c>
      <c r="D54" s="46"/>
      <c r="E54" s="21">
        <v>0</v>
      </c>
      <c r="F54" s="15">
        <f>Alto_Alegre!D132</f>
        <v>13283.54</v>
      </c>
      <c r="G54" s="16">
        <f>F54*E54</f>
        <v>0</v>
      </c>
      <c r="H54" s="17">
        <f>G54*12</f>
        <v>0</v>
      </c>
    </row>
    <row r="55" spans="1:8">
      <c r="A55" s="12">
        <v>19</v>
      </c>
      <c r="B55" s="44"/>
      <c r="C55" s="47" t="s">
        <v>18</v>
      </c>
      <c r="D55" s="47"/>
      <c r="E55" s="21">
        <v>0</v>
      </c>
      <c r="F55" s="15">
        <f>Alto_Alegre!D134</f>
        <v>25.6</v>
      </c>
      <c r="G55" s="16">
        <f>F55*E55</f>
        <v>0</v>
      </c>
      <c r="H55" s="17">
        <f>G55*12</f>
        <v>0</v>
      </c>
    </row>
    <row r="56" spans="1:8">
      <c r="A56" s="12">
        <v>20</v>
      </c>
      <c r="B56" s="44"/>
      <c r="C56" s="47" t="s">
        <v>19</v>
      </c>
      <c r="D56" s="47"/>
      <c r="E56" s="21">
        <v>0</v>
      </c>
      <c r="F56" s="15">
        <f>Alto_Alegre!D135</f>
        <v>30.19</v>
      </c>
      <c r="G56" s="16">
        <f>F56*E56</f>
        <v>0</v>
      </c>
      <c r="H56" s="17">
        <f>G56*12</f>
        <v>0</v>
      </c>
    </row>
    <row r="57" spans="1:8">
      <c r="A57" s="48" t="s">
        <v>34</v>
      </c>
      <c r="B57" s="48"/>
      <c r="C57" s="48"/>
      <c r="D57" s="48"/>
      <c r="E57" s="48"/>
      <c r="F57" s="48"/>
      <c r="G57" s="22">
        <f>SUM(G52:G56)</f>
        <v>5859.53</v>
      </c>
      <c r="H57" s="22">
        <f>SUM(H52:H56)</f>
        <v>70314.36</v>
      </c>
    </row>
    <row r="59" spans="1:8">
      <c r="A59" s="50" t="s">
        <v>40</v>
      </c>
      <c r="B59" s="50"/>
      <c r="C59" s="50"/>
      <c r="D59" s="50"/>
      <c r="E59" s="50"/>
      <c r="F59" s="50"/>
      <c r="G59" s="50"/>
      <c r="H59" s="50"/>
    </row>
    <row r="60" spans="1:8">
      <c r="A60" s="51" t="s">
        <v>41</v>
      </c>
      <c r="B60" s="51"/>
      <c r="C60" s="51"/>
      <c r="D60" s="51"/>
      <c r="E60" s="51"/>
      <c r="F60" s="51"/>
      <c r="G60" s="51"/>
      <c r="H60" s="51"/>
    </row>
    <row r="61" spans="1:8">
      <c r="A61" s="51" t="s">
        <v>42</v>
      </c>
      <c r="B61" s="51"/>
      <c r="C61" s="51"/>
      <c r="D61" s="51"/>
      <c r="E61" s="51"/>
      <c r="F61" s="51"/>
      <c r="G61" s="51"/>
      <c r="H61" s="51"/>
    </row>
  </sheetData>
  <mergeCells count="61">
    <mergeCell ref="A57:F57"/>
    <mergeCell ref="A59:H59"/>
    <mergeCell ref="A60:H60"/>
    <mergeCell ref="A61:H61"/>
    <mergeCell ref="A49:F49"/>
    <mergeCell ref="A50:H50"/>
    <mergeCell ref="C51:D51"/>
    <mergeCell ref="B52:B56"/>
    <mergeCell ref="C52:D52"/>
    <mergeCell ref="C53:D53"/>
    <mergeCell ref="C54:D54"/>
    <mergeCell ref="C55:D55"/>
    <mergeCell ref="C56:D56"/>
    <mergeCell ref="A41:F41"/>
    <mergeCell ref="A42:H42"/>
    <mergeCell ref="C43:D43"/>
    <mergeCell ref="B44:B48"/>
    <mergeCell ref="C44:D44"/>
    <mergeCell ref="C45:D45"/>
    <mergeCell ref="C46:D46"/>
    <mergeCell ref="C47:D47"/>
    <mergeCell ref="C48:D48"/>
    <mergeCell ref="C35:D35"/>
    <mergeCell ref="B36:B40"/>
    <mergeCell ref="C36:D36"/>
    <mergeCell ref="C37:D37"/>
    <mergeCell ref="C38:D38"/>
    <mergeCell ref="C39:D39"/>
    <mergeCell ref="C40:D40"/>
    <mergeCell ref="C29:D29"/>
    <mergeCell ref="C30:D30"/>
    <mergeCell ref="C31:D31"/>
    <mergeCell ref="C32:D32"/>
    <mergeCell ref="A33:F33"/>
    <mergeCell ref="A34:H34"/>
    <mergeCell ref="B20:E20"/>
    <mergeCell ref="B21:E21"/>
    <mergeCell ref="B22:E22"/>
    <mergeCell ref="A24:H24"/>
    <mergeCell ref="C25:D25"/>
    <mergeCell ref="A26:A28"/>
    <mergeCell ref="B26:B32"/>
    <mergeCell ref="C26:D26"/>
    <mergeCell ref="C27:D27"/>
    <mergeCell ref="C28:D28"/>
    <mergeCell ref="A8:H8"/>
    <mergeCell ref="A9:H10"/>
    <mergeCell ref="A11:H11"/>
    <mergeCell ref="A12:H14"/>
    <mergeCell ref="A15:H15"/>
    <mergeCell ref="A16:A22"/>
    <mergeCell ref="B16:E16"/>
    <mergeCell ref="B17:E17"/>
    <mergeCell ref="B18:E18"/>
    <mergeCell ref="B19:E19"/>
    <mergeCell ref="A1:H1"/>
    <mergeCell ref="A2:H3"/>
    <mergeCell ref="A4:H4"/>
    <mergeCell ref="A5:H5"/>
    <mergeCell ref="A6:H6"/>
    <mergeCell ref="A7:H7"/>
  </mergeCells>
  <pageMargins left="0.511811023622047" right="0.511811023622047" top="0.78740157480314898" bottom="0.78740157480314898" header="0.511811023622047" footer="0.511811023622047"/>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4E269-AF93-47AA-9069-9A90EC8822CD}">
  <dimension ref="A1:J21"/>
  <sheetViews>
    <sheetView workbookViewId="0"/>
  </sheetViews>
  <sheetFormatPr defaultRowHeight="12.75"/>
  <cols>
    <col min="1" max="1" width="6.7109375" customWidth="1"/>
    <col min="2" max="2" width="25.7109375" customWidth="1"/>
    <col min="3" max="3" width="11.140625" customWidth="1"/>
    <col min="4" max="4" width="7.140625" customWidth="1"/>
    <col min="5" max="8" width="11.5703125" hidden="1" customWidth="1"/>
    <col min="9" max="9" width="9" customWidth="1"/>
    <col min="10" max="10" width="10.28515625" customWidth="1"/>
    <col min="11" max="1024" width="8.28515625" customWidth="1"/>
    <col min="1025" max="1025" width="9.140625" customWidth="1"/>
  </cols>
  <sheetData>
    <row r="1" spans="1:10" ht="15.75">
      <c r="A1" s="64" t="s">
        <v>43</v>
      </c>
      <c r="B1" s="64"/>
      <c r="C1" s="64"/>
      <c r="D1" s="64"/>
      <c r="E1" s="64"/>
      <c r="F1" s="64"/>
      <c r="G1" s="64"/>
      <c r="H1" s="64"/>
      <c r="I1" s="64"/>
      <c r="J1" s="64"/>
    </row>
    <row r="2" spans="1:10">
      <c r="A2" s="52"/>
      <c r="B2" s="53"/>
      <c r="C2" s="52"/>
      <c r="D2" s="52"/>
      <c r="E2" s="52"/>
      <c r="F2" s="52"/>
      <c r="G2" s="52"/>
      <c r="H2" s="52"/>
      <c r="I2" s="52"/>
      <c r="J2" s="52"/>
    </row>
    <row r="3" spans="1:10">
      <c r="A3" s="65" t="s">
        <v>44</v>
      </c>
      <c r="B3" s="65"/>
      <c r="C3" s="65"/>
      <c r="D3" s="65"/>
      <c r="E3" s="65"/>
      <c r="F3" s="65"/>
      <c r="G3" s="65"/>
      <c r="H3" s="65"/>
      <c r="I3" s="65"/>
      <c r="J3" s="65"/>
    </row>
    <row r="4" spans="1:10" ht="38.25">
      <c r="A4" s="54" t="s">
        <v>45</v>
      </c>
      <c r="B4" s="54" t="s">
        <v>46</v>
      </c>
      <c r="C4" s="54" t="s">
        <v>47</v>
      </c>
      <c r="D4" s="54" t="s">
        <v>48</v>
      </c>
      <c r="E4" s="55" t="s">
        <v>49</v>
      </c>
      <c r="F4" s="55" t="s">
        <v>50</v>
      </c>
      <c r="G4" s="55" t="s">
        <v>51</v>
      </c>
      <c r="H4" s="56" t="s">
        <v>52</v>
      </c>
      <c r="I4" s="56" t="s">
        <v>53</v>
      </c>
      <c r="J4" s="56" t="s">
        <v>13</v>
      </c>
    </row>
    <row r="5" spans="1:10" ht="17.100000000000001" customHeight="1">
      <c r="A5" s="57">
        <v>1</v>
      </c>
      <c r="B5" s="58" t="s">
        <v>54</v>
      </c>
      <c r="C5" s="57" t="s">
        <v>55</v>
      </c>
      <c r="D5" s="59">
        <v>2</v>
      </c>
      <c r="E5" s="60">
        <v>85</v>
      </c>
      <c r="F5" s="60">
        <v>65</v>
      </c>
      <c r="G5" s="60">
        <v>99</v>
      </c>
      <c r="H5" s="60">
        <v>83.27</v>
      </c>
      <c r="I5" s="60">
        <v>43.26</v>
      </c>
      <c r="J5" s="60">
        <f t="shared" ref="J5:J11" si="0">D5*I5/12</f>
        <v>7.21</v>
      </c>
    </row>
    <row r="6" spans="1:10" ht="17.100000000000001" customHeight="1">
      <c r="A6" s="57">
        <v>2</v>
      </c>
      <c r="B6" s="58" t="s">
        <v>56</v>
      </c>
      <c r="C6" s="57" t="s">
        <v>55</v>
      </c>
      <c r="D6" s="59">
        <v>2</v>
      </c>
      <c r="E6" s="60">
        <v>59.99</v>
      </c>
      <c r="F6" s="60">
        <v>71</v>
      </c>
      <c r="G6" s="60">
        <v>78.900000000000006</v>
      </c>
      <c r="H6" s="60">
        <v>63.39</v>
      </c>
      <c r="I6" s="60">
        <v>64.63</v>
      </c>
      <c r="J6" s="60">
        <f t="shared" si="0"/>
        <v>10.771666666666667</v>
      </c>
    </row>
    <row r="7" spans="1:10" ht="17.100000000000001" customHeight="1">
      <c r="A7" s="57">
        <v>3</v>
      </c>
      <c r="B7" s="58" t="s">
        <v>57</v>
      </c>
      <c r="C7" s="57" t="s">
        <v>55</v>
      </c>
      <c r="D7" s="59">
        <v>1</v>
      </c>
      <c r="E7" s="60">
        <v>32.72</v>
      </c>
      <c r="F7" s="60">
        <v>59.9</v>
      </c>
      <c r="G7" s="60">
        <v>45</v>
      </c>
      <c r="H7" s="60">
        <v>37.99</v>
      </c>
      <c r="I7" s="60">
        <v>25.52</v>
      </c>
      <c r="J7" s="60">
        <f t="shared" si="0"/>
        <v>2.1266666666666665</v>
      </c>
    </row>
    <row r="8" spans="1:10" ht="17.100000000000001" customHeight="1">
      <c r="A8" s="57">
        <v>4</v>
      </c>
      <c r="B8" s="58" t="s">
        <v>58</v>
      </c>
      <c r="C8" s="57" t="s">
        <v>59</v>
      </c>
      <c r="D8" s="59">
        <v>2</v>
      </c>
      <c r="E8" s="60">
        <v>152</v>
      </c>
      <c r="F8" s="60">
        <v>169.9</v>
      </c>
      <c r="G8" s="60">
        <v>99.9</v>
      </c>
      <c r="H8" s="60">
        <v>162.44</v>
      </c>
      <c r="I8" s="60">
        <v>217.8</v>
      </c>
      <c r="J8" s="60">
        <f t="shared" si="0"/>
        <v>36.300000000000004</v>
      </c>
    </row>
    <row r="9" spans="1:10" ht="17.100000000000001" customHeight="1">
      <c r="A9" s="57">
        <v>5</v>
      </c>
      <c r="B9" s="58" t="s">
        <v>60</v>
      </c>
      <c r="C9" s="57" t="s">
        <v>59</v>
      </c>
      <c r="D9" s="59">
        <v>2</v>
      </c>
      <c r="E9" s="60">
        <v>10</v>
      </c>
      <c r="F9" s="60">
        <v>13.35</v>
      </c>
      <c r="G9" s="60">
        <v>8.31</v>
      </c>
      <c r="H9" s="60">
        <v>9.0500000000000007</v>
      </c>
      <c r="I9" s="60">
        <v>13.63</v>
      </c>
      <c r="J9" s="60">
        <f t="shared" si="0"/>
        <v>2.2716666666666669</v>
      </c>
    </row>
    <row r="10" spans="1:10" ht="17.100000000000001" customHeight="1">
      <c r="A10" s="57">
        <v>6</v>
      </c>
      <c r="B10" s="58" t="s">
        <v>61</v>
      </c>
      <c r="C10" s="57" t="s">
        <v>55</v>
      </c>
      <c r="D10" s="59">
        <v>1</v>
      </c>
      <c r="E10" s="60">
        <v>147.30000000000001</v>
      </c>
      <c r="F10" s="60">
        <v>180</v>
      </c>
      <c r="G10" s="60">
        <v>173.5</v>
      </c>
      <c r="H10" s="60">
        <v>119.82</v>
      </c>
      <c r="I10" s="60">
        <v>174.49</v>
      </c>
      <c r="J10" s="60">
        <f t="shared" si="0"/>
        <v>14.540833333333333</v>
      </c>
    </row>
    <row r="11" spans="1:10" ht="17.100000000000001" customHeight="1">
      <c r="A11" s="57">
        <v>7</v>
      </c>
      <c r="B11" s="58" t="s">
        <v>62</v>
      </c>
      <c r="C11" s="57" t="s">
        <v>55</v>
      </c>
      <c r="D11" s="59">
        <v>1</v>
      </c>
      <c r="E11" s="60">
        <v>9.92</v>
      </c>
      <c r="F11" s="60">
        <v>5.9</v>
      </c>
      <c r="G11" s="60">
        <v>6.45</v>
      </c>
      <c r="H11" s="60">
        <v>10.8</v>
      </c>
      <c r="I11" s="60">
        <v>7.11</v>
      </c>
      <c r="J11" s="60">
        <f t="shared" si="0"/>
        <v>0.59250000000000003</v>
      </c>
    </row>
    <row r="12" spans="1:10" ht="17.100000000000001" customHeight="1">
      <c r="A12" s="57">
        <v>8</v>
      </c>
      <c r="B12" s="58" t="s">
        <v>63</v>
      </c>
      <c r="C12" s="57" t="s">
        <v>55</v>
      </c>
      <c r="D12" s="59">
        <v>1</v>
      </c>
      <c r="E12" s="60">
        <v>11.86</v>
      </c>
      <c r="F12" s="60">
        <v>5.88</v>
      </c>
      <c r="G12" s="60">
        <v>19.899999999999999</v>
      </c>
      <c r="H12" s="60">
        <v>8.91</v>
      </c>
      <c r="I12" s="60">
        <v>20.149999999999999</v>
      </c>
      <c r="J12" s="60">
        <f>I12*D12/12</f>
        <v>1.6791666666666665</v>
      </c>
    </row>
    <row r="13" spans="1:10">
      <c r="A13" s="66" t="s">
        <v>64</v>
      </c>
      <c r="B13" s="66"/>
      <c r="C13" s="66"/>
      <c r="D13" s="66"/>
      <c r="E13" s="66"/>
      <c r="F13" s="66"/>
      <c r="G13" s="66"/>
      <c r="H13" s="66"/>
      <c r="I13" s="66"/>
      <c r="J13" s="61">
        <f>SUM(J5:J12)</f>
        <v>75.492499999999993</v>
      </c>
    </row>
    <row r="14" spans="1:10">
      <c r="A14" s="62"/>
      <c r="B14" s="62"/>
      <c r="C14" s="62"/>
      <c r="D14" s="62"/>
      <c r="E14" s="62"/>
      <c r="F14" s="62"/>
      <c r="G14" s="62"/>
      <c r="H14" s="62"/>
      <c r="I14" s="62"/>
      <c r="J14" s="62"/>
    </row>
    <row r="15" spans="1:10" ht="22.5" customHeight="1">
      <c r="A15" s="65" t="s">
        <v>65</v>
      </c>
      <c r="B15" s="65"/>
      <c r="C15" s="65"/>
      <c r="D15" s="65"/>
      <c r="E15" s="65"/>
      <c r="F15" s="65"/>
      <c r="G15" s="65"/>
      <c r="H15" s="65"/>
      <c r="I15" s="65"/>
      <c r="J15" s="65"/>
    </row>
    <row r="16" spans="1:10" ht="38.25">
      <c r="A16" s="54" t="s">
        <v>45</v>
      </c>
      <c r="B16" s="54" t="s">
        <v>46</v>
      </c>
      <c r="C16" s="54" t="s">
        <v>47</v>
      </c>
      <c r="D16" s="54" t="s">
        <v>48</v>
      </c>
      <c r="E16" s="55" t="s">
        <v>66</v>
      </c>
      <c r="F16" s="55" t="s">
        <v>50</v>
      </c>
      <c r="G16" s="55" t="s">
        <v>51</v>
      </c>
      <c r="H16" s="56" t="s">
        <v>52</v>
      </c>
      <c r="I16" s="56" t="s">
        <v>53</v>
      </c>
      <c r="J16" s="56" t="s">
        <v>13</v>
      </c>
    </row>
    <row r="17" spans="1:10" ht="17.100000000000001" customHeight="1">
      <c r="A17" s="57">
        <v>1</v>
      </c>
      <c r="B17" s="58" t="s">
        <v>67</v>
      </c>
      <c r="C17" s="57" t="s">
        <v>55</v>
      </c>
      <c r="D17" s="59">
        <v>2</v>
      </c>
      <c r="E17" s="60">
        <v>12.94</v>
      </c>
      <c r="F17" s="60">
        <v>10.57</v>
      </c>
      <c r="G17" s="60">
        <v>11.25</v>
      </c>
      <c r="H17" s="60">
        <v>15.5</v>
      </c>
      <c r="I17" s="60">
        <v>17.18</v>
      </c>
      <c r="J17" s="60">
        <f>(I17*D17)/12</f>
        <v>2.8633333333333333</v>
      </c>
    </row>
    <row r="18" spans="1:10" ht="17.100000000000001" customHeight="1">
      <c r="A18" s="57">
        <v>2</v>
      </c>
      <c r="B18" s="58" t="s">
        <v>68</v>
      </c>
      <c r="C18" s="57" t="s">
        <v>55</v>
      </c>
      <c r="D18" s="59">
        <v>1</v>
      </c>
      <c r="E18" s="60">
        <v>46</v>
      </c>
      <c r="F18" s="60">
        <v>54</v>
      </c>
      <c r="G18" s="60">
        <v>59.9</v>
      </c>
      <c r="H18" s="60">
        <v>22.8</v>
      </c>
      <c r="I18" s="60">
        <v>31.02</v>
      </c>
      <c r="J18" s="60">
        <f>I18*D18/12</f>
        <v>2.585</v>
      </c>
    </row>
    <row r="19" spans="1:10" ht="17.100000000000001" customHeight="1">
      <c r="A19" s="57">
        <v>3</v>
      </c>
      <c r="B19" s="58" t="s">
        <v>69</v>
      </c>
      <c r="C19" s="57" t="s">
        <v>55</v>
      </c>
      <c r="D19" s="59">
        <v>1</v>
      </c>
      <c r="E19" s="60">
        <v>39.9</v>
      </c>
      <c r="F19" s="60">
        <v>29.9</v>
      </c>
      <c r="G19" s="60">
        <v>25.9</v>
      </c>
      <c r="H19" s="60">
        <v>59.48</v>
      </c>
      <c r="I19" s="60">
        <v>19.420000000000002</v>
      </c>
      <c r="J19" s="60">
        <f>I19*D19/12</f>
        <v>1.6183333333333334</v>
      </c>
    </row>
    <row r="20" spans="1:10" ht="17.100000000000001" customHeight="1">
      <c r="A20" s="57">
        <v>4</v>
      </c>
      <c r="B20" s="58" t="s">
        <v>70</v>
      </c>
      <c r="C20" s="57" t="s">
        <v>55</v>
      </c>
      <c r="D20" s="59">
        <v>1</v>
      </c>
      <c r="E20" s="60">
        <v>46.8</v>
      </c>
      <c r="F20" s="60">
        <v>58.49</v>
      </c>
      <c r="G20" s="60">
        <v>58.88</v>
      </c>
      <c r="H20" s="60">
        <v>47.68</v>
      </c>
      <c r="I20" s="60">
        <v>60.71</v>
      </c>
      <c r="J20" s="60">
        <f>I20*D20/12</f>
        <v>5.059166666666667</v>
      </c>
    </row>
    <row r="21" spans="1:10" ht="25.15" customHeight="1">
      <c r="A21" s="66" t="s">
        <v>71</v>
      </c>
      <c r="B21" s="66"/>
      <c r="C21" s="66"/>
      <c r="D21" s="66"/>
      <c r="E21" s="66"/>
      <c r="F21" s="66"/>
      <c r="G21" s="66"/>
      <c r="H21" s="66"/>
      <c r="I21" s="66"/>
      <c r="J21" s="63">
        <f>SUM(J17:J20)</f>
        <v>12.125833333333333</v>
      </c>
    </row>
  </sheetData>
  <mergeCells count="5">
    <mergeCell ref="A1:J1"/>
    <mergeCell ref="A3:J3"/>
    <mergeCell ref="A13:I13"/>
    <mergeCell ref="A15:J15"/>
    <mergeCell ref="A21:I21"/>
  </mergeCells>
  <pageMargins left="0.511811023622047" right="0.511811023622047" top="0.78740157480314898" bottom="0.78740157480314898" header="0.511811023622047" footer="0.511811023622047"/>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B7C2-48E8-426D-BA62-260BD47CD1DF}">
  <dimension ref="A1:N58"/>
  <sheetViews>
    <sheetView workbookViewId="0"/>
  </sheetViews>
  <sheetFormatPr defaultRowHeight="12.75"/>
  <cols>
    <col min="1" max="1" width="64.85546875" customWidth="1"/>
    <col min="2" max="3" width="11.140625" customWidth="1"/>
    <col min="4" max="4" width="12.5703125" customWidth="1"/>
    <col min="5" max="5" width="16" customWidth="1"/>
    <col min="6" max="1024" width="8.5703125" customWidth="1"/>
    <col min="1025" max="1025" width="9.140625" customWidth="1"/>
  </cols>
  <sheetData>
    <row r="1" spans="1:14" ht="15">
      <c r="A1" s="86" t="s">
        <v>72</v>
      </c>
      <c r="B1" s="86"/>
      <c r="C1" s="86"/>
      <c r="D1" s="86"/>
      <c r="E1" s="86"/>
    </row>
    <row r="2" spans="1:14" ht="15">
      <c r="A2" s="67"/>
      <c r="B2" s="67"/>
      <c r="C2" s="67"/>
      <c r="D2" s="67"/>
      <c r="E2" s="67"/>
    </row>
    <row r="3" spans="1:14">
      <c r="A3" s="68"/>
      <c r="B3" s="68"/>
      <c r="C3" s="68"/>
      <c r="D3" s="68"/>
      <c r="E3" s="69"/>
    </row>
    <row r="4" spans="1:14">
      <c r="A4" s="68"/>
      <c r="B4" s="68"/>
      <c r="C4" s="68"/>
      <c r="D4" s="68"/>
      <c r="E4" s="69"/>
    </row>
    <row r="5" spans="1:14" ht="38.25" customHeight="1">
      <c r="A5" s="70" t="s">
        <v>73</v>
      </c>
      <c r="B5" s="71" t="s">
        <v>74</v>
      </c>
      <c r="C5" s="71" t="s">
        <v>75</v>
      </c>
      <c r="D5" s="72" t="s">
        <v>76</v>
      </c>
      <c r="E5" s="73" t="s">
        <v>13</v>
      </c>
    </row>
    <row r="6" spans="1:14">
      <c r="A6" s="74" t="s">
        <v>77</v>
      </c>
      <c r="B6" s="75">
        <v>26</v>
      </c>
      <c r="C6" s="76">
        <v>35.020000000000003</v>
      </c>
      <c r="D6" s="77">
        <f>(B6*C6)*0.1</f>
        <v>91.052000000000021</v>
      </c>
      <c r="E6" s="76">
        <f>(C6*B6)-D6</f>
        <v>819.46800000000007</v>
      </c>
    </row>
    <row r="7" spans="1:14">
      <c r="A7" s="74" t="s">
        <v>78</v>
      </c>
      <c r="B7" s="75">
        <v>15</v>
      </c>
      <c r="C7" s="76">
        <v>35.020000000000003</v>
      </c>
      <c r="D7" s="77">
        <f>(B7*C7)*0.1</f>
        <v>52.530000000000008</v>
      </c>
      <c r="E7" s="76">
        <f>(B7*C7)-D7</f>
        <v>472.77000000000004</v>
      </c>
    </row>
    <row r="8" spans="1:14">
      <c r="A8" s="74" t="s">
        <v>79</v>
      </c>
      <c r="B8" s="75">
        <v>15</v>
      </c>
      <c r="C8" s="76">
        <v>35.020000000000003</v>
      </c>
      <c r="D8" s="77">
        <f>(B8*C8)*0.1</f>
        <v>52.530000000000008</v>
      </c>
      <c r="E8" s="76">
        <f>(B8*C8)-D8</f>
        <v>472.77000000000004</v>
      </c>
    </row>
    <row r="9" spans="1:14">
      <c r="A9" s="1"/>
      <c r="B9" s="1"/>
      <c r="C9" s="1"/>
      <c r="D9" s="1"/>
      <c r="E9" s="1"/>
    </row>
    <row r="10" spans="1:14">
      <c r="A10" s="1"/>
      <c r="B10" s="1"/>
      <c r="C10" s="1"/>
      <c r="D10" s="1"/>
      <c r="E10" s="1"/>
    </row>
    <row r="11" spans="1:14">
      <c r="A11" s="87" t="s">
        <v>80</v>
      </c>
      <c r="B11" s="87"/>
      <c r="C11" s="87"/>
      <c r="D11" s="87"/>
      <c r="E11" s="87"/>
    </row>
    <row r="13" spans="1:14" ht="176.25" customHeight="1">
      <c r="A13" s="88" t="s">
        <v>81</v>
      </c>
      <c r="B13" s="88"/>
      <c r="C13" s="88"/>
      <c r="D13" s="88"/>
      <c r="E13" s="88"/>
    </row>
    <row r="14" spans="1:14">
      <c r="A14" s="78" t="s">
        <v>82</v>
      </c>
      <c r="B14" s="89">
        <v>8.2000000000000007E-3</v>
      </c>
      <c r="C14" s="89"/>
      <c r="D14" s="89"/>
      <c r="E14" s="89"/>
      <c r="N14" s="79"/>
    </row>
    <row r="15" spans="1:14">
      <c r="A15" s="80"/>
      <c r="B15" s="1"/>
      <c r="C15" s="1"/>
      <c r="D15" s="1"/>
    </row>
    <row r="16" spans="1:14">
      <c r="A16" s="87" t="s">
        <v>83</v>
      </c>
      <c r="B16" s="87"/>
      <c r="C16" s="87"/>
      <c r="D16" s="87"/>
      <c r="E16" s="87"/>
    </row>
    <row r="17" spans="1:12" ht="12.75" customHeight="1">
      <c r="A17" s="90" t="s">
        <v>84</v>
      </c>
      <c r="B17" s="90"/>
      <c r="C17" s="90"/>
      <c r="D17" s="90"/>
      <c r="E17" s="90"/>
    </row>
    <row r="18" spans="1:12" ht="26.25" customHeight="1">
      <c r="A18" s="90"/>
      <c r="B18" s="90"/>
      <c r="C18" s="90"/>
      <c r="D18" s="90"/>
      <c r="E18" s="90"/>
    </row>
    <row r="19" spans="1:12" ht="90.75" customHeight="1">
      <c r="A19" s="90"/>
      <c r="B19" s="90"/>
      <c r="C19" s="90"/>
      <c r="D19" s="90"/>
      <c r="E19" s="90"/>
    </row>
    <row r="20" spans="1:12" ht="42" customHeight="1">
      <c r="A20" s="90"/>
      <c r="B20" s="90"/>
      <c r="C20" s="90"/>
      <c r="D20" s="90"/>
      <c r="E20" s="90"/>
    </row>
    <row r="21" spans="1:12">
      <c r="A21" s="81" t="s">
        <v>85</v>
      </c>
      <c r="B21" s="89">
        <f>(20/30/12)*(53%*1.232%)</f>
        <v>3.6275555555555553E-4</v>
      </c>
      <c r="C21" s="89"/>
      <c r="D21" s="89"/>
      <c r="E21" s="89"/>
    </row>
    <row r="22" spans="1:12">
      <c r="A22" s="1"/>
      <c r="B22" s="1"/>
      <c r="C22" s="1"/>
      <c r="D22" s="1"/>
    </row>
    <row r="23" spans="1:12">
      <c r="A23" s="87" t="s">
        <v>86</v>
      </c>
      <c r="B23" s="87"/>
      <c r="C23" s="87"/>
      <c r="D23" s="87"/>
      <c r="E23" s="87"/>
    </row>
    <row r="24" spans="1:12" ht="198.75" customHeight="1">
      <c r="A24" s="90" t="s">
        <v>87</v>
      </c>
      <c r="B24" s="90"/>
      <c r="C24" s="90"/>
      <c r="D24" s="90"/>
      <c r="E24" s="90"/>
      <c r="G24" s="79"/>
      <c r="H24" s="79"/>
      <c r="L24" s="79"/>
    </row>
    <row r="25" spans="1:12">
      <c r="A25" s="82" t="s">
        <v>88</v>
      </c>
      <c r="B25" s="89">
        <f>((15/30)/12)*(163362/44472798)*100</f>
        <v>1.5305423328660365E-2</v>
      </c>
      <c r="C25" s="89"/>
      <c r="D25" s="89"/>
      <c r="E25" s="89"/>
    </row>
    <row r="26" spans="1:12">
      <c r="A26" s="1"/>
      <c r="B26" s="1"/>
      <c r="C26" s="1"/>
      <c r="D26" s="1"/>
      <c r="J26" s="79"/>
      <c r="L26" s="79"/>
    </row>
    <row r="27" spans="1:12">
      <c r="A27" s="91" t="s">
        <v>89</v>
      </c>
      <c r="B27" s="91"/>
      <c r="C27" s="91"/>
      <c r="D27" s="91"/>
      <c r="E27" s="91"/>
    </row>
    <row r="28" spans="1:12" ht="148.5" customHeight="1">
      <c r="A28" s="92" t="s">
        <v>90</v>
      </c>
      <c r="B28" s="92"/>
      <c r="C28" s="92"/>
      <c r="D28" s="92"/>
      <c r="E28" s="92"/>
      <c r="H28" s="83"/>
    </row>
    <row r="29" spans="1:12" ht="15" customHeight="1">
      <c r="A29" s="84" t="s">
        <v>91</v>
      </c>
      <c r="B29" s="93">
        <f>((180/30)/12)*(1.232%*47%*36.8%)</f>
        <v>1.0654335999999999E-3</v>
      </c>
      <c r="C29" s="93"/>
      <c r="D29" s="93"/>
      <c r="E29" s="93"/>
      <c r="H29" s="83"/>
    </row>
    <row r="30" spans="1:12">
      <c r="A30" s="94"/>
      <c r="B30" s="94"/>
      <c r="C30" s="94"/>
      <c r="D30" s="94"/>
      <c r="E30" s="94"/>
    </row>
    <row r="31" spans="1:12" ht="49.15" customHeight="1">
      <c r="A31" s="95" t="s">
        <v>92</v>
      </c>
      <c r="B31" s="95"/>
      <c r="C31" s="95"/>
      <c r="D31" s="95"/>
      <c r="E31" s="95"/>
    </row>
    <row r="32" spans="1:12" ht="25.9" customHeight="1">
      <c r="A32" s="96" t="s">
        <v>93</v>
      </c>
      <c r="B32" s="96"/>
      <c r="C32" s="96"/>
      <c r="D32" s="96"/>
      <c r="E32" s="96"/>
    </row>
    <row r="33" spans="1:5" ht="25.9" customHeight="1">
      <c r="A33" s="96" t="s">
        <v>94</v>
      </c>
      <c r="B33" s="96"/>
      <c r="C33" s="96"/>
      <c r="D33" s="96"/>
      <c r="E33" s="96"/>
    </row>
    <row r="34" spans="1:5" ht="38.1" customHeight="1">
      <c r="A34" s="96" t="s">
        <v>95</v>
      </c>
      <c r="B34" s="96"/>
      <c r="C34" s="96"/>
      <c r="D34" s="96"/>
      <c r="E34" s="96"/>
    </row>
    <row r="35" spans="1:5" ht="25.9" customHeight="1">
      <c r="A35" s="96" t="s">
        <v>96</v>
      </c>
      <c r="B35" s="96"/>
      <c r="C35" s="96"/>
      <c r="D35" s="96"/>
      <c r="E35" s="96"/>
    </row>
    <row r="36" spans="1:5" ht="49.7" customHeight="1">
      <c r="A36" s="96" t="s">
        <v>97</v>
      </c>
      <c r="B36" s="96"/>
      <c r="C36" s="96"/>
      <c r="D36" s="96"/>
      <c r="E36" s="96"/>
    </row>
    <row r="37" spans="1:5" ht="49.7" customHeight="1">
      <c r="A37" s="96" t="s">
        <v>98</v>
      </c>
      <c r="B37" s="96"/>
      <c r="C37" s="96"/>
      <c r="D37" s="96"/>
      <c r="E37" s="96"/>
    </row>
    <row r="38" spans="1:5">
      <c r="A38" s="85"/>
    </row>
    <row r="39" spans="1:5" ht="21.75" customHeight="1">
      <c r="A39" s="96" t="s">
        <v>99</v>
      </c>
      <c r="B39" s="96"/>
      <c r="C39" s="96"/>
      <c r="D39" s="96"/>
      <c r="E39" s="96"/>
    </row>
    <row r="40" spans="1:5" ht="38.1" customHeight="1">
      <c r="A40" s="97" t="s">
        <v>100</v>
      </c>
      <c r="B40" s="97"/>
      <c r="C40" s="97"/>
      <c r="D40" s="97"/>
      <c r="E40" s="97"/>
    </row>
    <row r="41" spans="1:5" ht="25.9" customHeight="1">
      <c r="A41" s="96" t="s">
        <v>101</v>
      </c>
      <c r="B41" s="96"/>
      <c r="C41" s="96"/>
      <c r="D41" s="96"/>
      <c r="E41" s="96"/>
    </row>
    <row r="42" spans="1:5" ht="49.7" customHeight="1">
      <c r="A42" s="96" t="s">
        <v>102</v>
      </c>
      <c r="B42" s="96"/>
      <c r="C42" s="96"/>
      <c r="D42" s="96"/>
      <c r="E42" s="96"/>
    </row>
    <row r="43" spans="1:5" ht="25.35" customHeight="1">
      <c r="A43" s="97" t="s">
        <v>103</v>
      </c>
      <c r="B43" s="97"/>
      <c r="C43" s="97"/>
      <c r="D43" s="97"/>
      <c r="E43" s="97"/>
    </row>
    <row r="44" spans="1:5" ht="13.35" customHeight="1">
      <c r="A44" s="97" t="s">
        <v>104</v>
      </c>
      <c r="B44" s="97"/>
      <c r="C44" s="97"/>
      <c r="D44" s="97"/>
      <c r="E44" s="97"/>
    </row>
    <row r="45" spans="1:5" ht="13.35" customHeight="1">
      <c r="A45" s="97" t="s">
        <v>105</v>
      </c>
      <c r="B45" s="97"/>
      <c r="C45" s="97"/>
      <c r="D45" s="97"/>
      <c r="E45" s="97"/>
    </row>
    <row r="46" spans="1:5" ht="25.9" customHeight="1">
      <c r="A46" s="97" t="s">
        <v>106</v>
      </c>
      <c r="B46" s="97"/>
      <c r="C46" s="97"/>
      <c r="D46" s="97"/>
      <c r="E46" s="97"/>
    </row>
    <row r="47" spans="1:5" ht="37.35" customHeight="1">
      <c r="A47" s="97" t="s">
        <v>107</v>
      </c>
      <c r="B47" s="97"/>
      <c r="C47" s="97"/>
      <c r="D47" s="97"/>
      <c r="E47" s="97"/>
    </row>
    <row r="48" spans="1:5" ht="62.65" customHeight="1">
      <c r="A48" s="97" t="s">
        <v>108</v>
      </c>
      <c r="B48" s="97"/>
      <c r="C48" s="97"/>
      <c r="D48" s="97"/>
      <c r="E48" s="97"/>
    </row>
    <row r="49" spans="1:5" ht="21.2" customHeight="1">
      <c r="A49" s="97" t="s">
        <v>109</v>
      </c>
      <c r="B49" s="97"/>
      <c r="C49" s="97"/>
      <c r="D49" s="97"/>
      <c r="E49" s="97"/>
    </row>
    <row r="50" spans="1:5" ht="47.85" customHeight="1">
      <c r="A50" s="96" t="s">
        <v>110</v>
      </c>
      <c r="B50" s="96"/>
      <c r="C50" s="96"/>
      <c r="D50" s="96"/>
      <c r="E50" s="96"/>
    </row>
    <row r="51" spans="1:5" ht="38.1" customHeight="1">
      <c r="A51" s="96" t="s">
        <v>111</v>
      </c>
      <c r="B51" s="96"/>
      <c r="C51" s="96"/>
      <c r="D51" s="96"/>
      <c r="E51" s="96"/>
    </row>
    <row r="52" spans="1:5" ht="68.25" customHeight="1">
      <c r="A52" s="98" t="s">
        <v>112</v>
      </c>
      <c r="B52" s="98"/>
      <c r="C52" s="98"/>
      <c r="D52" s="98"/>
      <c r="E52" s="98"/>
    </row>
    <row r="53" spans="1:5" ht="46.5" customHeight="1">
      <c r="A53" s="98" t="s">
        <v>113</v>
      </c>
      <c r="B53" s="98"/>
      <c r="C53" s="98"/>
      <c r="D53" s="98"/>
      <c r="E53" s="98"/>
    </row>
    <row r="54" spans="1:5" ht="69.75" customHeight="1">
      <c r="A54" s="98" t="s">
        <v>114</v>
      </c>
      <c r="B54" s="98"/>
      <c r="C54" s="98"/>
      <c r="D54" s="98"/>
      <c r="E54" s="98"/>
    </row>
    <row r="55" spans="1:5" ht="110.25" customHeight="1">
      <c r="A55" s="99" t="s">
        <v>115</v>
      </c>
      <c r="B55" s="99"/>
      <c r="C55" s="99"/>
      <c r="D55" s="99"/>
      <c r="E55" s="99"/>
    </row>
    <row r="56" spans="1:5" ht="80.25" customHeight="1">
      <c r="A56" s="99" t="s">
        <v>116</v>
      </c>
      <c r="B56" s="99"/>
      <c r="C56" s="99"/>
      <c r="D56" s="99"/>
      <c r="E56" s="99"/>
    </row>
    <row r="57" spans="1:5" ht="92.25" customHeight="1">
      <c r="A57" s="99" t="s">
        <v>117</v>
      </c>
      <c r="B57" s="99"/>
      <c r="C57" s="99"/>
      <c r="D57" s="99"/>
      <c r="E57" s="99"/>
    </row>
    <row r="58" spans="1:5" ht="45" customHeight="1">
      <c r="A58" s="99" t="s">
        <v>118</v>
      </c>
      <c r="B58" s="99"/>
      <c r="C58" s="99"/>
      <c r="D58" s="99"/>
      <c r="E58" s="99"/>
    </row>
  </sheetData>
  <mergeCells count="41">
    <mergeCell ref="A54:E54"/>
    <mergeCell ref="A55:E55"/>
    <mergeCell ref="A56:E56"/>
    <mergeCell ref="A57:E57"/>
    <mergeCell ref="A58:E58"/>
    <mergeCell ref="A48:E48"/>
    <mergeCell ref="A49:E49"/>
    <mergeCell ref="A50:E50"/>
    <mergeCell ref="A51:E51"/>
    <mergeCell ref="A52:E52"/>
    <mergeCell ref="A53:E53"/>
    <mergeCell ref="A42:E42"/>
    <mergeCell ref="A43:E43"/>
    <mergeCell ref="A44:E44"/>
    <mergeCell ref="A45:E45"/>
    <mergeCell ref="A46:E46"/>
    <mergeCell ref="A47:E47"/>
    <mergeCell ref="A35:E35"/>
    <mergeCell ref="A36:E36"/>
    <mergeCell ref="A37:E37"/>
    <mergeCell ref="A39:E39"/>
    <mergeCell ref="A40:E40"/>
    <mergeCell ref="A41:E41"/>
    <mergeCell ref="B29:E29"/>
    <mergeCell ref="A30:E30"/>
    <mergeCell ref="A31:E31"/>
    <mergeCell ref="A32:E32"/>
    <mergeCell ref="A33:E33"/>
    <mergeCell ref="A34:E34"/>
    <mergeCell ref="B21:E21"/>
    <mergeCell ref="A23:E23"/>
    <mergeCell ref="A24:E24"/>
    <mergeCell ref="B25:E25"/>
    <mergeCell ref="A27:E27"/>
    <mergeCell ref="A28:E28"/>
    <mergeCell ref="A1:E1"/>
    <mergeCell ref="A11:E11"/>
    <mergeCell ref="A13:E13"/>
    <mergeCell ref="B14:E14"/>
    <mergeCell ref="A16:E16"/>
    <mergeCell ref="A17:E20"/>
  </mergeCells>
  <pageMargins left="0.78740157480314998" right="0.78740157480314998" top="0.78740157480314898" bottom="0.78740157480314898" header="0.511811023622047" footer="0.511811023622047"/>
  <pageSetup paperSize="0" scale="75"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DA6B-BD9B-4DFB-ACD1-C1AB8FCE8017}">
  <dimension ref="B1:G135"/>
  <sheetViews>
    <sheetView workbookViewId="0"/>
  </sheetViews>
  <sheetFormatPr defaultRowHeight="12.75"/>
  <cols>
    <col min="1" max="1" width="6.140625" customWidth="1"/>
    <col min="2" max="2" width="73.140625" customWidth="1"/>
    <col min="3" max="3" width="15.28515625" customWidth="1"/>
    <col min="4" max="4" width="14.42578125" customWidth="1"/>
    <col min="5" max="5" width="15.5703125" customWidth="1"/>
    <col min="6" max="7" width="10.7109375" customWidth="1"/>
    <col min="8" max="1023" width="8.5703125" customWidth="1"/>
    <col min="1024" max="1024" width="9.140625" customWidth="1"/>
  </cols>
  <sheetData>
    <row r="1" spans="2:5" ht="23.25">
      <c r="B1" s="227" t="s">
        <v>0</v>
      </c>
      <c r="C1" s="227"/>
      <c r="D1" s="227"/>
      <c r="E1" s="227"/>
    </row>
    <row r="2" spans="2:5" ht="16.7" customHeight="1">
      <c r="B2" s="228" t="s">
        <v>119</v>
      </c>
      <c r="C2" s="228"/>
      <c r="D2" s="228"/>
      <c r="E2" s="228"/>
    </row>
    <row r="3" spans="2:5" ht="14.25">
      <c r="B3" s="100"/>
      <c r="C3" s="100"/>
      <c r="D3" s="100"/>
      <c r="E3" s="101"/>
    </row>
    <row r="4" spans="2:5" ht="14.25">
      <c r="B4" s="102" t="s">
        <v>120</v>
      </c>
      <c r="C4" s="229" t="str">
        <f>Boa_Vista!C4</f>
        <v>35014.334990/2025-79</v>
      </c>
      <c r="D4" s="229"/>
      <c r="E4" s="229"/>
    </row>
    <row r="5" spans="2:5" ht="14.25">
      <c r="B5" s="102" t="s">
        <v>122</v>
      </c>
      <c r="C5" s="229" t="str">
        <f>Boa_Vista!C5</f>
        <v>__/____</v>
      </c>
      <c r="D5" s="229"/>
      <c r="E5" s="229"/>
    </row>
    <row r="6" spans="2:5" ht="14.25">
      <c r="B6" s="102" t="s">
        <v>124</v>
      </c>
      <c r="C6" s="229" t="str">
        <f>Boa_Vista!C6</f>
        <v>__/__/____</v>
      </c>
      <c r="D6" s="229"/>
      <c r="E6" s="229"/>
    </row>
    <row r="7" spans="2:5" ht="14.25">
      <c r="B7" s="102"/>
      <c r="C7" s="100"/>
      <c r="D7" s="100"/>
      <c r="E7" s="101"/>
    </row>
    <row r="8" spans="2:5" ht="15">
      <c r="B8" s="103" t="s">
        <v>126</v>
      </c>
      <c r="C8" s="104"/>
      <c r="D8" s="105"/>
      <c r="E8" s="101"/>
    </row>
    <row r="9" spans="2:5" ht="15.75">
      <c r="B9" s="106" t="s">
        <v>127</v>
      </c>
      <c r="C9" s="230" t="str">
        <f>Boa_Vista!C9</f>
        <v>__/__/____</v>
      </c>
      <c r="D9" s="230"/>
      <c r="E9" s="230"/>
    </row>
    <row r="10" spans="2:5" ht="15.75">
      <c r="B10" s="106" t="s">
        <v>128</v>
      </c>
      <c r="C10" s="231" t="s">
        <v>29</v>
      </c>
      <c r="D10" s="231"/>
      <c r="E10" s="231"/>
    </row>
    <row r="11" spans="2:5" ht="15.75">
      <c r="B11" s="107" t="s">
        <v>129</v>
      </c>
      <c r="C11" s="230" t="str">
        <f>Boa_Vista!C11</f>
        <v>2025/2025</v>
      </c>
      <c r="D11" s="230"/>
      <c r="E11" s="230"/>
    </row>
    <row r="12" spans="2:5" ht="15.75">
      <c r="B12" s="106" t="s">
        <v>131</v>
      </c>
      <c r="C12" s="230">
        <f>Boa_Vista!C12</f>
        <v>12</v>
      </c>
      <c r="D12" s="230"/>
      <c r="E12" s="230"/>
    </row>
    <row r="13" spans="2:5" ht="14.25">
      <c r="B13" s="108"/>
      <c r="C13" s="109"/>
      <c r="D13" s="110"/>
      <c r="E13" s="101"/>
    </row>
    <row r="14" spans="2:5" ht="14.25" customHeight="1">
      <c r="B14" s="232" t="s">
        <v>132</v>
      </c>
      <c r="C14" s="232"/>
      <c r="D14" s="232"/>
      <c r="E14" s="232"/>
    </row>
    <row r="15" spans="2:5" ht="42.75">
      <c r="B15" s="111" t="s">
        <v>133</v>
      </c>
      <c r="C15" s="111" t="s">
        <v>134</v>
      </c>
      <c r="D15" s="111" t="s">
        <v>135</v>
      </c>
      <c r="E15" s="111" t="s">
        <v>136</v>
      </c>
    </row>
    <row r="16" spans="2:5" ht="60">
      <c r="B16" s="112" t="s">
        <v>137</v>
      </c>
      <c r="C16" s="113" t="s">
        <v>138</v>
      </c>
      <c r="D16" s="114">
        <f>Resumo!E27</f>
        <v>1.6666666666666667</v>
      </c>
      <c r="E16" s="113">
        <v>0</v>
      </c>
    </row>
    <row r="17" spans="2:5" ht="15">
      <c r="B17" s="115"/>
      <c r="C17" s="116"/>
      <c r="D17" s="105"/>
      <c r="E17" s="101"/>
    </row>
    <row r="18" spans="2:5" ht="15">
      <c r="B18" s="115"/>
      <c r="C18" s="116"/>
      <c r="D18" s="105"/>
      <c r="E18" s="101"/>
    </row>
    <row r="19" spans="2:5" ht="16.7" customHeight="1">
      <c r="B19" s="232" t="s">
        <v>139</v>
      </c>
      <c r="C19" s="232"/>
      <c r="D19" s="232"/>
      <c r="E19" s="232"/>
    </row>
    <row r="20" spans="2:5" ht="16.7" customHeight="1">
      <c r="B20" s="233" t="s">
        <v>140</v>
      </c>
      <c r="C20" s="233"/>
      <c r="D20" s="233"/>
      <c r="E20" s="233"/>
    </row>
    <row r="21" spans="2:5" ht="15.75">
      <c r="B21" s="117" t="s">
        <v>141</v>
      </c>
      <c r="C21" s="231" t="s">
        <v>142</v>
      </c>
      <c r="D21" s="231"/>
      <c r="E21" s="231"/>
    </row>
    <row r="22" spans="2:5" ht="15.75">
      <c r="B22" s="117" t="s">
        <v>143</v>
      </c>
      <c r="C22" s="231" t="s">
        <v>144</v>
      </c>
      <c r="D22" s="231"/>
      <c r="E22" s="231"/>
    </row>
    <row r="23" spans="2:5" ht="15.75">
      <c r="B23" s="118" t="s">
        <v>145</v>
      </c>
      <c r="C23" s="234">
        <f>Boa_Vista!C23</f>
        <v>1555.62</v>
      </c>
      <c r="D23" s="234"/>
      <c r="E23" s="234"/>
    </row>
    <row r="24" spans="2:5" ht="15.75">
      <c r="B24" s="118" t="s">
        <v>146</v>
      </c>
      <c r="C24" s="231" t="s">
        <v>147</v>
      </c>
      <c r="D24" s="231"/>
      <c r="E24" s="231"/>
    </row>
    <row r="25" spans="2:5" ht="15.75">
      <c r="B25" s="118" t="s">
        <v>148</v>
      </c>
      <c r="C25" s="234" t="str">
        <f>Boa_Vista!C25</f>
        <v>01 de janeiro</v>
      </c>
      <c r="D25" s="234"/>
      <c r="E25" s="234"/>
    </row>
    <row r="26" spans="2:5" ht="15.75">
      <c r="B26" s="118" t="s">
        <v>150</v>
      </c>
      <c r="C26" s="234" t="str">
        <f>Boa_Vista!C26</f>
        <v>RR000015/2025</v>
      </c>
      <c r="D26" s="234"/>
      <c r="E26" s="234"/>
    </row>
    <row r="27" spans="2:5" ht="15">
      <c r="B27" s="119"/>
      <c r="C27" s="120"/>
      <c r="D27" s="121"/>
      <c r="E27" s="101"/>
    </row>
    <row r="28" spans="2:5" ht="53.25" customHeight="1">
      <c r="B28" s="122" t="s">
        <v>152</v>
      </c>
      <c r="C28" s="123" t="s">
        <v>153</v>
      </c>
      <c r="D28" s="123" t="s">
        <v>135</v>
      </c>
      <c r="E28" s="123" t="s">
        <v>136</v>
      </c>
    </row>
    <row r="29" spans="2:5" ht="16.7" customHeight="1">
      <c r="B29" s="232" t="s">
        <v>154</v>
      </c>
      <c r="C29" s="232"/>
      <c r="D29" s="232"/>
      <c r="E29" s="232"/>
    </row>
    <row r="30" spans="2:5" ht="28.5">
      <c r="B30" s="124" t="s">
        <v>155</v>
      </c>
      <c r="C30" s="125" t="s">
        <v>156</v>
      </c>
      <c r="D30" s="126" t="s">
        <v>157</v>
      </c>
      <c r="E30" s="126" t="s">
        <v>157</v>
      </c>
    </row>
    <row r="31" spans="2:5" ht="15">
      <c r="B31" s="127" t="s">
        <v>158</v>
      </c>
      <c r="C31" s="128">
        <f>C23</f>
        <v>1555.62</v>
      </c>
      <c r="D31" s="129">
        <f>C31</f>
        <v>1555.62</v>
      </c>
      <c r="E31" s="129"/>
    </row>
    <row r="32" spans="2:5" ht="15">
      <c r="B32" s="127" t="s">
        <v>159</v>
      </c>
      <c r="C32" s="130">
        <v>0.3</v>
      </c>
      <c r="D32" s="131">
        <f>D31*C32</f>
        <v>466.68599999999992</v>
      </c>
      <c r="E32" s="131">
        <f>E31*C32</f>
        <v>0</v>
      </c>
    </row>
    <row r="33" spans="2:5" ht="15">
      <c r="B33" s="127" t="s">
        <v>160</v>
      </c>
      <c r="C33" s="132"/>
      <c r="D33" s="131"/>
      <c r="E33" s="131"/>
    </row>
    <row r="34" spans="2:5" ht="15">
      <c r="B34" s="127" t="s">
        <v>161</v>
      </c>
      <c r="C34" s="130">
        <v>0.2</v>
      </c>
      <c r="D34" s="131">
        <v>0</v>
      </c>
      <c r="E34" s="131">
        <v>0</v>
      </c>
    </row>
    <row r="35" spans="2:5" ht="15">
      <c r="B35" s="127" t="s">
        <v>162</v>
      </c>
      <c r="C35" s="130">
        <v>1.2</v>
      </c>
      <c r="D35" s="131">
        <v>0</v>
      </c>
      <c r="E35" s="131">
        <v>0</v>
      </c>
    </row>
    <row r="36" spans="2:5" ht="15">
      <c r="B36" s="127" t="s">
        <v>163</v>
      </c>
      <c r="C36" s="133"/>
      <c r="D36" s="131">
        <v>0</v>
      </c>
      <c r="E36" s="131">
        <v>0</v>
      </c>
    </row>
    <row r="37" spans="2:5" ht="15">
      <c r="B37" s="127" t="s">
        <v>164</v>
      </c>
      <c r="C37" s="134"/>
      <c r="D37" s="135">
        <v>0</v>
      </c>
      <c r="E37" s="135">
        <v>0</v>
      </c>
    </row>
    <row r="38" spans="2:5" ht="14.25">
      <c r="B38" s="136" t="s">
        <v>165</v>
      </c>
      <c r="C38" s="137"/>
      <c r="D38" s="138">
        <f>SUM(D31:D37)/220*1.5</f>
        <v>13.788449999999999</v>
      </c>
      <c r="E38" s="138">
        <f>SUM(E31:E37)/220*1.5</f>
        <v>0</v>
      </c>
    </row>
    <row r="39" spans="2:5" ht="15">
      <c r="B39" s="119"/>
      <c r="C39" s="120"/>
      <c r="D39" s="121"/>
      <c r="E39" s="101"/>
    </row>
    <row r="40" spans="2:5" ht="16.7" customHeight="1">
      <c r="B40" s="232" t="s">
        <v>166</v>
      </c>
      <c r="C40" s="232"/>
      <c r="D40" s="232"/>
      <c r="E40" s="232"/>
    </row>
    <row r="41" spans="2:5" ht="14.25">
      <c r="B41" s="139" t="s">
        <v>167</v>
      </c>
      <c r="C41" s="140" t="s">
        <v>168</v>
      </c>
      <c r="D41" s="140" t="s">
        <v>157</v>
      </c>
      <c r="E41" s="140" t="s">
        <v>157</v>
      </c>
    </row>
    <row r="42" spans="2:5" ht="15">
      <c r="B42" s="127" t="s">
        <v>169</v>
      </c>
      <c r="C42" s="141">
        <f>1/12</f>
        <v>8.3333333333333329E-2</v>
      </c>
      <c r="D42" s="142">
        <f>C42*D38</f>
        <v>1.1490374999999999</v>
      </c>
      <c r="E42" s="142">
        <f>C42*E38</f>
        <v>0</v>
      </c>
    </row>
    <row r="43" spans="2:5" ht="45">
      <c r="B43" s="127" t="s">
        <v>170</v>
      </c>
      <c r="C43" s="141">
        <f>C42/3</f>
        <v>2.7777777777777776E-2</v>
      </c>
      <c r="D43" s="142">
        <f>C43*D38</f>
        <v>0.38301249999999998</v>
      </c>
      <c r="E43" s="142">
        <f>C43*E38</f>
        <v>0</v>
      </c>
    </row>
    <row r="44" spans="2:5" ht="14.25">
      <c r="B44" s="143" t="s">
        <v>165</v>
      </c>
      <c r="C44" s="144">
        <f>SUM(C42:C43)</f>
        <v>0.1111111111111111</v>
      </c>
      <c r="D44" s="145">
        <f>SUM(D42:D43)</f>
        <v>1.5320499999999999</v>
      </c>
      <c r="E44" s="145">
        <f>SUM(E42:E43)</f>
        <v>0</v>
      </c>
    </row>
    <row r="45" spans="2:5" ht="14.25">
      <c r="B45" s="146" t="s">
        <v>171</v>
      </c>
      <c r="C45" s="140" t="s">
        <v>168</v>
      </c>
      <c r="D45" s="140" t="s">
        <v>157</v>
      </c>
      <c r="E45" s="140" t="s">
        <v>157</v>
      </c>
    </row>
    <row r="46" spans="2:5" ht="15">
      <c r="B46" s="127" t="s">
        <v>172</v>
      </c>
      <c r="C46" s="141">
        <v>0.2</v>
      </c>
      <c r="D46" s="147">
        <f>C46*(D38+D44)</f>
        <v>3.0640999999999998</v>
      </c>
      <c r="E46" s="147">
        <f>C46*(E38+E44)</f>
        <v>0</v>
      </c>
    </row>
    <row r="47" spans="2:5" ht="15">
      <c r="B47" s="127" t="s">
        <v>173</v>
      </c>
      <c r="C47" s="141">
        <v>2.5000000000000001E-2</v>
      </c>
      <c r="D47" s="147">
        <f>C47*(D38+D44)</f>
        <v>0.38301249999999998</v>
      </c>
      <c r="E47" s="147">
        <f>C47*(E38+E44)</f>
        <v>0</v>
      </c>
    </row>
    <row r="48" spans="2:5" ht="15">
      <c r="B48" s="127" t="s">
        <v>174</v>
      </c>
      <c r="C48" s="141">
        <v>0.03</v>
      </c>
      <c r="D48" s="147">
        <f>C48*(D38+D44)</f>
        <v>0.45961499999999994</v>
      </c>
      <c r="E48" s="147">
        <f>C48*(E38+E44)</f>
        <v>0</v>
      </c>
    </row>
    <row r="49" spans="2:5" ht="15">
      <c r="B49" s="127" t="s">
        <v>175</v>
      </c>
      <c r="C49" s="141">
        <v>1.4999999999999999E-2</v>
      </c>
      <c r="D49" s="147">
        <f>C49*(D38+D44)</f>
        <v>0.22980749999999997</v>
      </c>
      <c r="E49" s="147">
        <f>C49*(E38+E44)</f>
        <v>0</v>
      </c>
    </row>
    <row r="50" spans="2:5" ht="15">
      <c r="B50" s="127" t="s">
        <v>176</v>
      </c>
      <c r="C50" s="141">
        <v>0.01</v>
      </c>
      <c r="D50" s="147">
        <f>C50*(D38+D44)</f>
        <v>0.15320500000000001</v>
      </c>
      <c r="E50" s="147">
        <f>C50*(E38+E44)</f>
        <v>0</v>
      </c>
    </row>
    <row r="51" spans="2:5" ht="15">
      <c r="B51" s="127" t="s">
        <v>177</v>
      </c>
      <c r="C51" s="141">
        <v>6.0000000000000001E-3</v>
      </c>
      <c r="D51" s="147">
        <f>C51*(D38+D44)</f>
        <v>9.1922999999999991E-2</v>
      </c>
      <c r="E51" s="147">
        <f>C51*(E38+E44)</f>
        <v>0</v>
      </c>
    </row>
    <row r="52" spans="2:5" ht="15">
      <c r="B52" s="127" t="s">
        <v>178</v>
      </c>
      <c r="C52" s="141">
        <v>2E-3</v>
      </c>
      <c r="D52" s="147">
        <f>C52*(D38+D44)</f>
        <v>3.0640999999999998E-2</v>
      </c>
      <c r="E52" s="147">
        <f>C52*(E38+E44)</f>
        <v>0</v>
      </c>
    </row>
    <row r="53" spans="2:5" ht="15">
      <c r="B53" s="127" t="s">
        <v>179</v>
      </c>
      <c r="C53" s="141">
        <v>0.08</v>
      </c>
      <c r="D53" s="147">
        <f>C53*(D38+D44)</f>
        <v>1.2256400000000001</v>
      </c>
      <c r="E53" s="147">
        <f>C53*(E38+E44)</f>
        <v>0</v>
      </c>
    </row>
    <row r="54" spans="2:5" ht="14.25">
      <c r="B54" s="143" t="s">
        <v>165</v>
      </c>
      <c r="C54" s="144">
        <f>SUM(C46:C53)</f>
        <v>0.36800000000000005</v>
      </c>
      <c r="D54" s="148">
        <f>SUM(D46:D53)</f>
        <v>5.6379440000000001</v>
      </c>
      <c r="E54" s="148">
        <f>SUM(E46:E53)</f>
        <v>0</v>
      </c>
    </row>
    <row r="55" spans="2:5" ht="28.5">
      <c r="B55" s="149" t="s">
        <v>180</v>
      </c>
      <c r="C55" s="150" t="s">
        <v>156</v>
      </c>
      <c r="D55" s="140" t="s">
        <v>157</v>
      </c>
      <c r="E55" s="140" t="s">
        <v>157</v>
      </c>
    </row>
    <row r="56" spans="2:5" ht="15">
      <c r="B56" s="127" t="s">
        <v>181</v>
      </c>
      <c r="C56" s="151">
        <v>0</v>
      </c>
      <c r="D56" s="152">
        <v>0</v>
      </c>
      <c r="E56" s="152">
        <v>0</v>
      </c>
    </row>
    <row r="57" spans="2:5" ht="15">
      <c r="B57" s="127" t="s">
        <v>182</v>
      </c>
      <c r="C57" s="153">
        <v>0</v>
      </c>
      <c r="D57" s="152">
        <v>0</v>
      </c>
      <c r="E57" s="152">
        <v>0</v>
      </c>
    </row>
    <row r="58" spans="2:5" ht="15">
      <c r="B58" s="127" t="s">
        <v>183</v>
      </c>
      <c r="C58" s="153">
        <v>0</v>
      </c>
      <c r="D58" s="152">
        <v>0</v>
      </c>
      <c r="E58" s="152">
        <v>0</v>
      </c>
    </row>
    <row r="59" spans="2:5" ht="15">
      <c r="B59" s="127" t="s">
        <v>184</v>
      </c>
      <c r="C59" s="154">
        <v>0</v>
      </c>
      <c r="D59" s="155">
        <v>0</v>
      </c>
      <c r="E59" s="155">
        <v>0</v>
      </c>
    </row>
    <row r="60" spans="2:5" ht="15">
      <c r="B60" s="127" t="s">
        <v>185</v>
      </c>
      <c r="C60" s="153">
        <v>0</v>
      </c>
      <c r="D60" s="152">
        <v>0</v>
      </c>
      <c r="E60" s="152">
        <v>0</v>
      </c>
    </row>
    <row r="61" spans="2:5" ht="15">
      <c r="B61" s="127" t="s">
        <v>186</v>
      </c>
      <c r="C61" s="156"/>
      <c r="D61" s="157">
        <v>0</v>
      </c>
      <c r="E61" s="157">
        <v>0</v>
      </c>
    </row>
    <row r="62" spans="2:5" ht="14.25">
      <c r="B62" s="143" t="s">
        <v>165</v>
      </c>
      <c r="C62" s="158"/>
      <c r="D62" s="159">
        <f>SUM(D56:D61)</f>
        <v>0</v>
      </c>
      <c r="E62" s="159">
        <f>SUM(E56:E61)</f>
        <v>0</v>
      </c>
    </row>
    <row r="63" spans="2:5" ht="14.25">
      <c r="B63" s="160" t="s">
        <v>187</v>
      </c>
      <c r="C63" s="161" t="s">
        <v>168</v>
      </c>
      <c r="D63" s="126" t="s">
        <v>157</v>
      </c>
      <c r="E63" s="126" t="s">
        <v>157</v>
      </c>
    </row>
    <row r="64" spans="2:5" ht="15">
      <c r="B64" s="162" t="s">
        <v>188</v>
      </c>
      <c r="C64" s="163">
        <f>C44</f>
        <v>0.1111111111111111</v>
      </c>
      <c r="D64" s="164">
        <f>D44</f>
        <v>1.5320499999999999</v>
      </c>
      <c r="E64" s="164">
        <f>E44</f>
        <v>0</v>
      </c>
    </row>
    <row r="65" spans="2:6" ht="15">
      <c r="B65" s="165" t="s">
        <v>189</v>
      </c>
      <c r="C65" s="166">
        <f>C54</f>
        <v>0.36800000000000005</v>
      </c>
      <c r="D65" s="142">
        <f>D54</f>
        <v>5.6379440000000001</v>
      </c>
      <c r="E65" s="142">
        <f>E54</f>
        <v>0</v>
      </c>
    </row>
    <row r="66" spans="2:6" ht="15">
      <c r="B66" s="165" t="s">
        <v>190</v>
      </c>
      <c r="C66" s="167">
        <v>0</v>
      </c>
      <c r="D66" s="142">
        <f>D62</f>
        <v>0</v>
      </c>
      <c r="E66" s="142">
        <f>E62</f>
        <v>0</v>
      </c>
    </row>
    <row r="67" spans="2:6" ht="14.25">
      <c r="B67" s="136" t="s">
        <v>165</v>
      </c>
      <c r="C67" s="168"/>
      <c r="D67" s="169">
        <f>SUM(D64:D66)</f>
        <v>7.169994</v>
      </c>
      <c r="E67" s="169">
        <f>SUM(E64:E66)</f>
        <v>0</v>
      </c>
    </row>
    <row r="68" spans="2:6" ht="14.25">
      <c r="B68" s="170"/>
      <c r="C68" s="121"/>
      <c r="D68" s="121"/>
      <c r="E68" s="101"/>
    </row>
    <row r="69" spans="2:6" ht="16.7" customHeight="1">
      <c r="B69" s="232" t="s">
        <v>191</v>
      </c>
      <c r="C69" s="232"/>
      <c r="D69" s="232"/>
      <c r="E69" s="232"/>
    </row>
    <row r="70" spans="2:6" ht="14.25">
      <c r="B70" s="171" t="s">
        <v>192</v>
      </c>
      <c r="C70" s="172" t="s">
        <v>168</v>
      </c>
      <c r="D70" s="173" t="s">
        <v>157</v>
      </c>
      <c r="E70" s="173" t="s">
        <v>157</v>
      </c>
    </row>
    <row r="71" spans="2:6" ht="27.75">
      <c r="B71" s="127" t="s">
        <v>193</v>
      </c>
      <c r="C71" s="174">
        <f>1/12*0.05</f>
        <v>4.1666666666666666E-3</v>
      </c>
      <c r="D71" s="142">
        <f>C71*D38</f>
        <v>5.7451874999999993E-2</v>
      </c>
      <c r="E71" s="142">
        <f>C71*E38</f>
        <v>0</v>
      </c>
    </row>
    <row r="72" spans="2:6" ht="15">
      <c r="B72" s="175" t="s">
        <v>194</v>
      </c>
      <c r="C72" s="174">
        <f>C53*C71</f>
        <v>3.3333333333333332E-4</v>
      </c>
      <c r="D72" s="142">
        <f>C72*D38</f>
        <v>4.5961499999999994E-3</v>
      </c>
      <c r="E72" s="142">
        <f>C72*E38</f>
        <v>0</v>
      </c>
    </row>
    <row r="73" spans="2:6" ht="15">
      <c r="B73" s="127" t="s">
        <v>195</v>
      </c>
      <c r="C73" s="174">
        <v>0</v>
      </c>
      <c r="D73" s="142">
        <f>C73*D38</f>
        <v>0</v>
      </c>
      <c r="E73" s="142">
        <f>C73*E38</f>
        <v>0</v>
      </c>
    </row>
    <row r="74" spans="2:6" ht="27.75">
      <c r="B74" s="127" t="s">
        <v>196</v>
      </c>
      <c r="C74" s="174">
        <f>1/30*7/12</f>
        <v>1.9444444444444445E-2</v>
      </c>
      <c r="D74" s="142">
        <f>C74*D38</f>
        <v>0.26810875000000001</v>
      </c>
      <c r="E74" s="142">
        <f>C74*E38</f>
        <v>0</v>
      </c>
    </row>
    <row r="75" spans="2:6" ht="30">
      <c r="B75" s="127" t="s">
        <v>197</v>
      </c>
      <c r="C75" s="174">
        <f>C54*C74</f>
        <v>7.1555555555555565E-3</v>
      </c>
      <c r="D75" s="142">
        <f>C75*D38</f>
        <v>9.8664020000000005E-2</v>
      </c>
      <c r="E75" s="142">
        <f>C75*E38</f>
        <v>0</v>
      </c>
      <c r="F75" s="176"/>
    </row>
    <row r="76" spans="2:6" ht="30">
      <c r="B76" s="127" t="s">
        <v>198</v>
      </c>
      <c r="C76" s="177">
        <f>0.08*0.4*0.9*(1+1/12+1/12+1/3*1/12)</f>
        <v>3.4399999999999993E-2</v>
      </c>
      <c r="D76" s="142">
        <f>C76*D38</f>
        <v>0.47432267999999989</v>
      </c>
      <c r="E76" s="142">
        <f>C76*E38</f>
        <v>0</v>
      </c>
    </row>
    <row r="77" spans="2:6" ht="14.25">
      <c r="B77" s="136" t="s">
        <v>165</v>
      </c>
      <c r="C77" s="178">
        <f>SUM(C71:C76)</f>
        <v>6.5500000000000003E-2</v>
      </c>
      <c r="D77" s="169">
        <f>SUM(D71:D76)</f>
        <v>0.90314347499999992</v>
      </c>
      <c r="E77" s="169">
        <f>SUM(E71:E76)</f>
        <v>0</v>
      </c>
    </row>
    <row r="78" spans="2:6">
      <c r="B78" s="179"/>
      <c r="C78" s="180"/>
      <c r="D78" s="180"/>
      <c r="E78" s="101"/>
    </row>
    <row r="79" spans="2:6" ht="16.7" customHeight="1">
      <c r="B79" s="232" t="s">
        <v>199</v>
      </c>
      <c r="C79" s="232"/>
      <c r="D79" s="232"/>
      <c r="E79" s="232"/>
    </row>
    <row r="80" spans="2:6" ht="14.25">
      <c r="B80" s="181" t="s">
        <v>200</v>
      </c>
      <c r="C80" s="182" t="s">
        <v>168</v>
      </c>
      <c r="D80" s="183" t="s">
        <v>157</v>
      </c>
      <c r="E80" s="183" t="s">
        <v>157</v>
      </c>
    </row>
    <row r="81" spans="2:5" ht="15">
      <c r="B81" s="127" t="s">
        <v>201</v>
      </c>
      <c r="C81" s="141">
        <f>Boa_Vista!C81</f>
        <v>8.3333333333333329E-2</v>
      </c>
      <c r="D81" s="147">
        <f>C81*(D38+D67+D77)</f>
        <v>1.8217989562499999</v>
      </c>
      <c r="E81" s="147">
        <f>C81*(E38+E67+E77)</f>
        <v>0</v>
      </c>
    </row>
    <row r="82" spans="2:5" ht="15">
      <c r="B82" s="127" t="s">
        <v>202</v>
      </c>
      <c r="C82" s="184">
        <f>Boa_Vista!C82</f>
        <v>8.2000000000000007E-3</v>
      </c>
      <c r="D82" s="147">
        <f>C82*(D38+D67+D77)</f>
        <v>0.17926501729500002</v>
      </c>
      <c r="E82" s="147">
        <f>C82*(E38+E67+E77)</f>
        <v>0</v>
      </c>
    </row>
    <row r="83" spans="2:5" ht="15">
      <c r="B83" s="127" t="s">
        <v>203</v>
      </c>
      <c r="C83" s="184">
        <f>Boa_Vista!C83</f>
        <v>3.6275555555555553E-4</v>
      </c>
      <c r="D83" s="147">
        <f>C83*(D38+D67+D77)</f>
        <v>7.930412309819999E-3</v>
      </c>
      <c r="E83" s="147">
        <f>C83*(E38+E67+E77)</f>
        <v>0</v>
      </c>
    </row>
    <row r="84" spans="2:5" ht="15">
      <c r="B84" s="127" t="s">
        <v>204</v>
      </c>
      <c r="C84" s="184">
        <f>Boa_Vista!C84</f>
        <v>1.5305423328660365E-2</v>
      </c>
      <c r="D84" s="147">
        <f>C84*(D38+D67+D77)</f>
        <v>0.33460085094141423</v>
      </c>
      <c r="E84" s="147">
        <f>C84*(E38+E67+E77)</f>
        <v>0</v>
      </c>
    </row>
    <row r="85" spans="2:5" ht="15">
      <c r="B85" s="127" t="s">
        <v>205</v>
      </c>
      <c r="C85" s="184">
        <f>Boa_Vista!C85</f>
        <v>1.0654335999999999E-3</v>
      </c>
      <c r="D85" s="147">
        <f>C85*(D38+D67+D77)</f>
        <v>2.3292069845204159E-2</v>
      </c>
      <c r="E85" s="147">
        <f>C85*(E38+E67+E77)</f>
        <v>0</v>
      </c>
    </row>
    <row r="86" spans="2:5" ht="15">
      <c r="B86" s="127" t="s">
        <v>206</v>
      </c>
      <c r="C86" s="184">
        <f>Boa_Vista!C86</f>
        <v>0</v>
      </c>
      <c r="D86" s="147">
        <f>C86*(D38+D67+D77)</f>
        <v>0</v>
      </c>
      <c r="E86" s="147">
        <f>C86*(E38+E67+E77)</f>
        <v>0</v>
      </c>
    </row>
    <row r="87" spans="2:5" ht="14.25">
      <c r="B87" s="136" t="s">
        <v>165</v>
      </c>
      <c r="C87" s="185">
        <f>SUM(C81:C86)</f>
        <v>0.10826694581754924</v>
      </c>
      <c r="D87" s="169">
        <f>SUM(D81:D86)</f>
        <v>2.3668873066414386</v>
      </c>
      <c r="E87" s="169">
        <f>SUM(E81:E86)</f>
        <v>0</v>
      </c>
    </row>
    <row r="88" spans="2:5" ht="14.25">
      <c r="B88" s="186" t="s">
        <v>207</v>
      </c>
      <c r="C88" s="187" t="s">
        <v>168</v>
      </c>
      <c r="D88" s="140" t="s">
        <v>157</v>
      </c>
      <c r="E88" s="140" t="s">
        <v>157</v>
      </c>
    </row>
    <row r="89" spans="2:5" ht="30">
      <c r="B89" s="188" t="s">
        <v>208</v>
      </c>
      <c r="C89" s="189">
        <v>0.5</v>
      </c>
      <c r="D89" s="190">
        <v>0</v>
      </c>
      <c r="E89" s="190">
        <f>(E38/220)*15*1.5</f>
        <v>0</v>
      </c>
    </row>
    <row r="90" spans="2:5" ht="14.25">
      <c r="B90" s="136" t="s">
        <v>165</v>
      </c>
      <c r="C90" s="185"/>
      <c r="D90" s="169">
        <f>SUM(D89:D89)</f>
        <v>0</v>
      </c>
      <c r="E90" s="169">
        <f>SUM(E89:E89)</f>
        <v>0</v>
      </c>
    </row>
    <row r="91" spans="2:5" ht="14.25">
      <c r="B91" s="191"/>
      <c r="C91" s="192"/>
      <c r="D91" s="121"/>
      <c r="E91" s="121"/>
    </row>
    <row r="92" spans="2:5" ht="14.25">
      <c r="B92" s="193" t="s">
        <v>209</v>
      </c>
      <c r="C92" s="194" t="s">
        <v>168</v>
      </c>
      <c r="D92" s="195" t="s">
        <v>157</v>
      </c>
      <c r="E92" s="195" t="s">
        <v>157</v>
      </c>
    </row>
    <row r="93" spans="2:5" ht="15">
      <c r="B93" s="188" t="s">
        <v>210</v>
      </c>
      <c r="C93" s="189">
        <f>C87</f>
        <v>0.10826694581754924</v>
      </c>
      <c r="D93" s="190">
        <f>D87</f>
        <v>2.3668873066414386</v>
      </c>
      <c r="E93" s="190">
        <f>E87</f>
        <v>0</v>
      </c>
    </row>
    <row r="94" spans="2:5" ht="15">
      <c r="B94" s="196" t="s">
        <v>211</v>
      </c>
      <c r="C94" s="189">
        <f>C89</f>
        <v>0.5</v>
      </c>
      <c r="D94" s="190">
        <f>D90</f>
        <v>0</v>
      </c>
      <c r="E94" s="190">
        <f>E90</f>
        <v>0</v>
      </c>
    </row>
    <row r="95" spans="2:5" ht="14.25">
      <c r="B95" s="136" t="s">
        <v>165</v>
      </c>
      <c r="C95" s="197"/>
      <c r="D95" s="169">
        <f>SUM(D93:D94)</f>
        <v>2.3668873066414386</v>
      </c>
      <c r="E95" s="169">
        <f>SUM(E93:E94)</f>
        <v>0</v>
      </c>
    </row>
    <row r="96" spans="2:5">
      <c r="B96" s="179"/>
      <c r="C96" s="198"/>
      <c r="D96" s="180"/>
      <c r="E96" s="101"/>
    </row>
    <row r="97" spans="2:7" ht="16.7" customHeight="1">
      <c r="B97" s="232" t="s">
        <v>212</v>
      </c>
      <c r="C97" s="232"/>
      <c r="D97" s="232"/>
      <c r="E97" s="232"/>
    </row>
    <row r="98" spans="2:7" ht="14.25">
      <c r="B98" s="193" t="s">
        <v>213</v>
      </c>
      <c r="C98" s="194" t="s">
        <v>214</v>
      </c>
      <c r="D98" s="195" t="s">
        <v>157</v>
      </c>
      <c r="E98" s="195" t="s">
        <v>157</v>
      </c>
    </row>
    <row r="99" spans="2:7" ht="15">
      <c r="B99" s="127" t="s">
        <v>215</v>
      </c>
      <c r="C99" s="199">
        <v>0</v>
      </c>
      <c r="D99" s="200">
        <f>C99</f>
        <v>0</v>
      </c>
      <c r="E99" s="200">
        <f>C99</f>
        <v>0</v>
      </c>
    </row>
    <row r="100" spans="2:7" ht="15">
      <c r="B100" s="127" t="s">
        <v>216</v>
      </c>
      <c r="C100" s="199">
        <v>0</v>
      </c>
      <c r="D100" s="200">
        <f>C100</f>
        <v>0</v>
      </c>
      <c r="E100" s="200">
        <f>C100/2</f>
        <v>0</v>
      </c>
    </row>
    <row r="101" spans="2:7" ht="15">
      <c r="B101" s="127" t="s">
        <v>217</v>
      </c>
      <c r="C101" s="199">
        <v>0</v>
      </c>
      <c r="D101" s="142">
        <f>C101</f>
        <v>0</v>
      </c>
      <c r="E101" s="142">
        <f>C101</f>
        <v>0</v>
      </c>
    </row>
    <row r="102" spans="2:7" ht="14.25">
      <c r="B102" s="201" t="s">
        <v>165</v>
      </c>
      <c r="C102" s="169">
        <f>SUM(C99:C101)</f>
        <v>0</v>
      </c>
      <c r="D102" s="169">
        <f>SUM(D99:D101)</f>
        <v>0</v>
      </c>
      <c r="E102" s="169">
        <f>SUM(E99:E101)</f>
        <v>0</v>
      </c>
    </row>
    <row r="103" spans="2:7" ht="14.25">
      <c r="B103" s="170"/>
      <c r="C103" s="202"/>
      <c r="D103" s="121"/>
      <c r="E103" s="101"/>
    </row>
    <row r="104" spans="2:7" ht="16.7" customHeight="1">
      <c r="B104" s="232" t="s">
        <v>218</v>
      </c>
      <c r="C104" s="232"/>
      <c r="D104" s="232"/>
      <c r="E104" s="232"/>
    </row>
    <row r="105" spans="2:7" ht="14.25">
      <c r="B105" s="124" t="s">
        <v>219</v>
      </c>
      <c r="C105" s="172" t="s">
        <v>168</v>
      </c>
      <c r="D105" s="126" t="s">
        <v>157</v>
      </c>
      <c r="E105" s="126" t="s">
        <v>157</v>
      </c>
    </row>
    <row r="106" spans="2:7" ht="15">
      <c r="B106" s="127" t="s">
        <v>220</v>
      </c>
      <c r="C106" s="177">
        <v>0.06</v>
      </c>
      <c r="D106" s="164">
        <f>C106*(D38+D67+D77+D95+D102)</f>
        <v>1.4537084868984862</v>
      </c>
      <c r="E106" s="164">
        <f>C106*(E38+E67+E77+E95+E102)</f>
        <v>0</v>
      </c>
      <c r="G106" s="203"/>
    </row>
    <row r="107" spans="2:7" ht="15">
      <c r="B107" s="127" t="s">
        <v>221</v>
      </c>
      <c r="C107" s="177">
        <v>6.7900000000000002E-2</v>
      </c>
      <c r="D107" s="142">
        <f>C107*(D38+D67+D77+D95+D102+D106)</f>
        <v>1.7438202439338608</v>
      </c>
      <c r="E107" s="142">
        <f>C107*(E38+E67+E77+E95+E102+E106)</f>
        <v>0</v>
      </c>
      <c r="G107" s="203"/>
    </row>
    <row r="108" spans="2:7" ht="15">
      <c r="B108" s="127" t="s">
        <v>222</v>
      </c>
      <c r="C108" s="174">
        <f>SUM(C109:C113)</f>
        <v>8.6499999999999994E-2</v>
      </c>
      <c r="D108" s="142">
        <f>((D38+D67+D77+D95+D102+D106+D107)/(1-C108))*C108</f>
        <v>2.596988838345903</v>
      </c>
      <c r="E108" s="142">
        <f>((E38+E67+E77+E95+E102+E106+E107)/(1-C108))*C108</f>
        <v>0</v>
      </c>
      <c r="G108" s="203"/>
    </row>
    <row r="109" spans="2:7" ht="15">
      <c r="B109" s="204" t="s">
        <v>223</v>
      </c>
      <c r="C109" s="174">
        <f>0.03</f>
        <v>0.03</v>
      </c>
      <c r="D109" s="205">
        <f>((D38+D67+D77+D95+D102+D106+D107)/(1-C108))*C109</f>
        <v>0.90068977052459065</v>
      </c>
      <c r="E109" s="205">
        <f>((E38+E67+E77+E95+E102+E106+E107)/(1-C108))*C109</f>
        <v>0</v>
      </c>
    </row>
    <row r="110" spans="2:7" ht="15">
      <c r="B110" s="204" t="s">
        <v>224</v>
      </c>
      <c r="C110" s="174">
        <f>0.0065</f>
        <v>6.4999999999999997E-3</v>
      </c>
      <c r="D110" s="205">
        <f>((D38+D67+D77+D95+D102+D106+D107)/(1-C108))*C110</f>
        <v>0.19514945028032796</v>
      </c>
      <c r="E110" s="205">
        <f>((E38+E67+E77+E95+E102+E106+E107)/(1-C108))*C110</f>
        <v>0</v>
      </c>
    </row>
    <row r="111" spans="2:7" ht="15">
      <c r="B111" s="204" t="s">
        <v>225</v>
      </c>
      <c r="C111" s="206"/>
      <c r="D111" s="207"/>
      <c r="E111" s="207"/>
    </row>
    <row r="112" spans="2:7" ht="15">
      <c r="B112" s="204" t="s">
        <v>226</v>
      </c>
      <c r="C112" s="174">
        <v>0.05</v>
      </c>
      <c r="D112" s="205">
        <f>((D38+D67+D77+D95+D102+D106+D107)/(1-C108))*C112</f>
        <v>1.5011496175409844</v>
      </c>
      <c r="E112" s="205">
        <f>((E38+E67+E77+E95+E102+E106+E107)/(1-C108))*C112</f>
        <v>0</v>
      </c>
    </row>
    <row r="113" spans="2:5" ht="15">
      <c r="B113" s="204" t="s">
        <v>227</v>
      </c>
      <c r="C113" s="208"/>
      <c r="D113" s="209"/>
      <c r="E113" s="209"/>
    </row>
    <row r="114" spans="2:5" ht="15">
      <c r="B114" s="201" t="s">
        <v>165</v>
      </c>
      <c r="C114" s="210"/>
      <c r="D114" s="169">
        <f>SUM(D106:D108)</f>
        <v>5.7945175691782502</v>
      </c>
      <c r="E114" s="169">
        <f>SUM(E106:E108)</f>
        <v>0</v>
      </c>
    </row>
    <row r="115" spans="2:5">
      <c r="B115" s="179"/>
      <c r="C115" s="198"/>
      <c r="D115" s="180"/>
      <c r="E115" s="101"/>
    </row>
    <row r="116" spans="2:5" ht="16.7" customHeight="1">
      <c r="B116" s="235" t="s">
        <v>228</v>
      </c>
      <c r="C116" s="235"/>
      <c r="D116" s="235"/>
      <c r="E116" s="235"/>
    </row>
    <row r="117" spans="2:5" ht="16.7" customHeight="1">
      <c r="B117" s="236" t="s">
        <v>229</v>
      </c>
      <c r="C117" s="236"/>
      <c r="D117" s="211" t="s">
        <v>157</v>
      </c>
      <c r="E117" s="211" t="s">
        <v>157</v>
      </c>
    </row>
    <row r="118" spans="2:5" ht="16.7" customHeight="1">
      <c r="B118" s="237" t="s">
        <v>230</v>
      </c>
      <c r="C118" s="237"/>
      <c r="D118" s="158">
        <f>D38</f>
        <v>13.788449999999999</v>
      </c>
      <c r="E118" s="158">
        <f>E38</f>
        <v>0</v>
      </c>
    </row>
    <row r="119" spans="2:5" ht="16.7" customHeight="1">
      <c r="B119" s="237" t="s">
        <v>231</v>
      </c>
      <c r="C119" s="237"/>
      <c r="D119" s="158">
        <f>D67</f>
        <v>7.169994</v>
      </c>
      <c r="E119" s="158">
        <f>E67</f>
        <v>0</v>
      </c>
    </row>
    <row r="120" spans="2:5" ht="16.7" customHeight="1">
      <c r="B120" s="237" t="s">
        <v>232</v>
      </c>
      <c r="C120" s="237"/>
      <c r="D120" s="158">
        <f>D77</f>
        <v>0.90314347499999992</v>
      </c>
      <c r="E120" s="158">
        <f>E77</f>
        <v>0</v>
      </c>
    </row>
    <row r="121" spans="2:5" ht="16.7" customHeight="1">
      <c r="B121" s="237" t="s">
        <v>233</v>
      </c>
      <c r="C121" s="237"/>
      <c r="D121" s="158">
        <f>D95</f>
        <v>2.3668873066414386</v>
      </c>
      <c r="E121" s="158">
        <f>E95</f>
        <v>0</v>
      </c>
    </row>
    <row r="122" spans="2:5" ht="16.7" customHeight="1">
      <c r="B122" s="237" t="s">
        <v>234</v>
      </c>
      <c r="C122" s="237"/>
      <c r="D122" s="158">
        <f>D102</f>
        <v>0</v>
      </c>
      <c r="E122" s="158">
        <f>E102</f>
        <v>0</v>
      </c>
    </row>
    <row r="123" spans="2:5" ht="16.7" customHeight="1">
      <c r="B123" s="238" t="s">
        <v>235</v>
      </c>
      <c r="C123" s="238"/>
      <c r="D123" s="212">
        <f>SUM(D118:D122)</f>
        <v>24.228474781641438</v>
      </c>
      <c r="E123" s="212">
        <f>SUM(E118:E122)</f>
        <v>0</v>
      </c>
    </row>
    <row r="124" spans="2:5" ht="16.7" customHeight="1">
      <c r="B124" s="237" t="s">
        <v>236</v>
      </c>
      <c r="C124" s="237"/>
      <c r="D124" s="158">
        <f>D114</f>
        <v>5.7945175691782502</v>
      </c>
      <c r="E124" s="158">
        <f>E114</f>
        <v>0</v>
      </c>
    </row>
    <row r="125" spans="2:5" ht="15">
      <c r="B125" s="213" t="s">
        <v>237</v>
      </c>
      <c r="C125" s="214"/>
      <c r="D125" s="215">
        <f>ROUND(D118+D119+D120+D121+D122+D124,2)</f>
        <v>30.02</v>
      </c>
      <c r="E125" s="215">
        <f>ROUND(E118+E119+E120+E121+E122+E124,2)</f>
        <v>0</v>
      </c>
    </row>
    <row r="126" spans="2:5" ht="15">
      <c r="B126" s="170"/>
      <c r="C126" s="202"/>
      <c r="D126" s="121"/>
      <c r="E126" s="216"/>
    </row>
    <row r="127" spans="2:5" ht="18.75" thickBot="1">
      <c r="B127" s="239" t="s">
        <v>238</v>
      </c>
      <c r="C127" s="239"/>
      <c r="D127" s="239"/>
      <c r="E127" s="239"/>
    </row>
    <row r="128" spans="2:5" ht="32.25" thickBot="1">
      <c r="B128" s="217" t="s">
        <v>239</v>
      </c>
      <c r="C128" s="218" t="s">
        <v>240</v>
      </c>
      <c r="D128" s="218" t="s">
        <v>241</v>
      </c>
      <c r="E128" s="219" t="s">
        <v>242</v>
      </c>
    </row>
    <row r="129" spans="2:5" ht="13.5" thickBot="1">
      <c r="B129" s="220" t="s">
        <v>243</v>
      </c>
      <c r="C129" s="221">
        <f>D16</f>
        <v>1.6666666666666667</v>
      </c>
      <c r="D129" s="222">
        <f>D125</f>
        <v>30.02</v>
      </c>
      <c r="E129" s="223">
        <f>C129*D129</f>
        <v>50.033333333333331</v>
      </c>
    </row>
    <row r="130" spans="2:5" ht="13.5" thickBot="1">
      <c r="B130" s="220" t="s">
        <v>244</v>
      </c>
      <c r="C130" s="224">
        <f>E16</f>
        <v>0</v>
      </c>
      <c r="D130" s="222">
        <f>E125</f>
        <v>0</v>
      </c>
      <c r="E130" s="223">
        <f>C130*D130</f>
        <v>0</v>
      </c>
    </row>
    <row r="131" spans="2:5" ht="18" customHeight="1" thickBot="1">
      <c r="B131" s="240" t="s">
        <v>245</v>
      </c>
      <c r="C131" s="240"/>
      <c r="D131" s="225"/>
      <c r="E131" s="223">
        <f>SUM(E129:E130)</f>
        <v>50.033333333333331</v>
      </c>
    </row>
    <row r="132" spans="2:5" ht="15">
      <c r="B132" s="170"/>
      <c r="C132" s="202"/>
      <c r="D132" s="121"/>
      <c r="E132" s="216"/>
    </row>
    <row r="133" spans="2:5">
      <c r="E133" s="226"/>
    </row>
    <row r="134" spans="2:5">
      <c r="B134" s="241" t="s">
        <v>246</v>
      </c>
      <c r="C134" s="241"/>
      <c r="D134" s="241"/>
      <c r="E134" s="241"/>
    </row>
    <row r="135" spans="2:5">
      <c r="B135" s="49"/>
      <c r="C135" s="49"/>
      <c r="D135" s="49"/>
      <c r="E135" s="49"/>
    </row>
  </sheetData>
  <mergeCells count="37">
    <mergeCell ref="B135:E135"/>
    <mergeCell ref="B122:C122"/>
    <mergeCell ref="B123:C123"/>
    <mergeCell ref="B124:C124"/>
    <mergeCell ref="B127:E127"/>
    <mergeCell ref="B131:C131"/>
    <mergeCell ref="B134:E134"/>
    <mergeCell ref="B116:E116"/>
    <mergeCell ref="B117:C117"/>
    <mergeCell ref="B118:C118"/>
    <mergeCell ref="B119:C119"/>
    <mergeCell ref="B120:C120"/>
    <mergeCell ref="B121:C121"/>
    <mergeCell ref="B29:E29"/>
    <mergeCell ref="B40:E40"/>
    <mergeCell ref="B69:E69"/>
    <mergeCell ref="B79:E79"/>
    <mergeCell ref="B97:E97"/>
    <mergeCell ref="B104:E104"/>
    <mergeCell ref="C21:E21"/>
    <mergeCell ref="C22:E22"/>
    <mergeCell ref="C23:E23"/>
    <mergeCell ref="C24:E24"/>
    <mergeCell ref="C25:E25"/>
    <mergeCell ref="C26:E26"/>
    <mergeCell ref="C10:E10"/>
    <mergeCell ref="C11:E11"/>
    <mergeCell ref="C12:E12"/>
    <mergeCell ref="B14:E14"/>
    <mergeCell ref="B19:E19"/>
    <mergeCell ref="B20:E20"/>
    <mergeCell ref="B1:E1"/>
    <mergeCell ref="B2:E2"/>
    <mergeCell ref="C4:E4"/>
    <mergeCell ref="C5:E5"/>
    <mergeCell ref="C6:E6"/>
    <mergeCell ref="C9:E9"/>
  </mergeCells>
  <pageMargins left="0.78740157480314998" right="0.78740157480314998" top="0.78740157480314898" bottom="0.78740157480314898" header="0.511811023622047" footer="0.511811023622047"/>
  <pageSetup paperSize="0" scale="65" fitToWidth="0" fitToHeight="0" orientation="portrait" horizontalDpi="0" verticalDpi="0" copies="0"/>
  <colBreaks count="1" manualBreakCount="1">
    <brk id="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D1F4-5880-4108-A316-6C5C51BDE699}">
  <dimension ref="B1:H139"/>
  <sheetViews>
    <sheetView workbookViewId="0"/>
  </sheetViews>
  <sheetFormatPr defaultRowHeight="12.75"/>
  <cols>
    <col min="1" max="1" width="6.140625" customWidth="1"/>
    <col min="2" max="2" width="73.140625" customWidth="1"/>
    <col min="3" max="3" width="15.28515625" customWidth="1"/>
    <col min="4" max="4" width="14.42578125" customWidth="1"/>
    <col min="5" max="5" width="15.5703125" customWidth="1"/>
    <col min="6" max="6" width="12.28515625" customWidth="1"/>
    <col min="7" max="8" width="10.7109375" customWidth="1"/>
    <col min="9" max="1024" width="8.5703125" customWidth="1"/>
    <col min="1025" max="1025" width="9.140625" customWidth="1"/>
  </cols>
  <sheetData>
    <row r="1" spans="2:6" ht="23.25">
      <c r="B1" s="227" t="s">
        <v>0</v>
      </c>
      <c r="C1" s="227"/>
      <c r="D1" s="227"/>
      <c r="E1" s="227"/>
    </row>
    <row r="2" spans="2:6" ht="16.7" customHeight="1">
      <c r="B2" s="228" t="s">
        <v>119</v>
      </c>
      <c r="C2" s="228"/>
      <c r="D2" s="228"/>
      <c r="E2" s="228"/>
    </row>
    <row r="3" spans="2:6" ht="14.25">
      <c r="B3" s="100"/>
      <c r="C3" s="100"/>
      <c r="D3" s="100"/>
      <c r="E3" s="101"/>
    </row>
    <row r="4" spans="2:6" ht="14.25">
      <c r="B4" s="102" t="s">
        <v>120</v>
      </c>
      <c r="C4" s="229" t="s">
        <v>121</v>
      </c>
      <c r="D4" s="229"/>
      <c r="E4" s="229"/>
      <c r="F4" s="229"/>
    </row>
    <row r="5" spans="2:6" ht="14.25">
      <c r="B5" s="102" t="s">
        <v>122</v>
      </c>
      <c r="C5" s="277" t="s">
        <v>123</v>
      </c>
      <c r="D5" s="277"/>
      <c r="E5" s="277"/>
      <c r="F5" s="277"/>
    </row>
    <row r="6" spans="2:6" ht="14.25">
      <c r="B6" s="102" t="s">
        <v>124</v>
      </c>
      <c r="C6" s="277" t="s">
        <v>125</v>
      </c>
      <c r="D6" s="277"/>
      <c r="E6" s="277"/>
      <c r="F6" s="277"/>
    </row>
    <row r="7" spans="2:6" ht="14.25">
      <c r="B7" s="102"/>
      <c r="C7" s="100"/>
      <c r="D7" s="100"/>
      <c r="E7" s="101"/>
    </row>
    <row r="8" spans="2:6" ht="15">
      <c r="B8" s="103" t="s">
        <v>126</v>
      </c>
      <c r="C8" s="104"/>
      <c r="D8" s="105"/>
      <c r="E8" s="101"/>
    </row>
    <row r="9" spans="2:6" ht="15.75">
      <c r="B9" s="106" t="s">
        <v>127</v>
      </c>
      <c r="C9" s="278" t="s">
        <v>125</v>
      </c>
      <c r="D9" s="278"/>
      <c r="E9" s="278"/>
      <c r="F9" s="278"/>
    </row>
    <row r="10" spans="2:6" ht="15.75">
      <c r="B10" s="106" t="s">
        <v>128</v>
      </c>
      <c r="C10" s="231" t="s">
        <v>29</v>
      </c>
      <c r="D10" s="231"/>
      <c r="E10" s="231"/>
      <c r="F10" s="231"/>
    </row>
    <row r="11" spans="2:6" ht="15.75">
      <c r="B11" s="107" t="s">
        <v>129</v>
      </c>
      <c r="C11" s="230" t="s">
        <v>130</v>
      </c>
      <c r="D11" s="230"/>
      <c r="E11" s="230"/>
      <c r="F11" s="230"/>
    </row>
    <row r="12" spans="2:6" ht="15.75">
      <c r="B12" s="106" t="s">
        <v>131</v>
      </c>
      <c r="C12" s="231">
        <v>12</v>
      </c>
      <c r="D12" s="231"/>
      <c r="E12" s="231"/>
      <c r="F12" s="231"/>
    </row>
    <row r="13" spans="2:6" ht="14.25">
      <c r="B13" s="108"/>
      <c r="C13" s="109"/>
      <c r="D13" s="110"/>
      <c r="E13" s="101"/>
    </row>
    <row r="14" spans="2:6" ht="14.25" customHeight="1">
      <c r="B14" s="232" t="s">
        <v>132</v>
      </c>
      <c r="C14" s="232"/>
      <c r="D14" s="232"/>
      <c r="E14" s="232"/>
      <c r="F14" s="232"/>
    </row>
    <row r="15" spans="2:6" ht="57">
      <c r="B15" s="111" t="s">
        <v>133</v>
      </c>
      <c r="C15" s="111" t="s">
        <v>134</v>
      </c>
      <c r="D15" s="111" t="s">
        <v>247</v>
      </c>
      <c r="E15" s="111" t="s">
        <v>248</v>
      </c>
      <c r="F15" s="111" t="s">
        <v>249</v>
      </c>
    </row>
    <row r="16" spans="2:6" ht="60">
      <c r="B16" s="112" t="s">
        <v>137</v>
      </c>
      <c r="C16" s="113" t="s">
        <v>250</v>
      </c>
      <c r="D16" s="113">
        <f>Resumo!E26</f>
        <v>5</v>
      </c>
      <c r="E16" s="113">
        <f>Resumo!E29</f>
        <v>2</v>
      </c>
      <c r="F16" s="113">
        <f>Resumo!E30</f>
        <v>5</v>
      </c>
    </row>
    <row r="17" spans="2:6" ht="15">
      <c r="B17" s="115"/>
      <c r="C17" s="116"/>
      <c r="D17" s="105"/>
      <c r="E17" s="101"/>
    </row>
    <row r="18" spans="2:6" ht="15">
      <c r="B18" s="115"/>
      <c r="C18" s="116"/>
      <c r="D18" s="105"/>
      <c r="E18" s="101"/>
    </row>
    <row r="19" spans="2:6" ht="16.7" customHeight="1">
      <c r="B19" s="232" t="s">
        <v>139</v>
      </c>
      <c r="C19" s="232"/>
      <c r="D19" s="232"/>
      <c r="E19" s="232"/>
      <c r="F19" s="232"/>
    </row>
    <row r="20" spans="2:6" ht="16.7" customHeight="1">
      <c r="B20" s="233" t="s">
        <v>140</v>
      </c>
      <c r="C20" s="233"/>
      <c r="D20" s="233"/>
      <c r="E20" s="233"/>
      <c r="F20" s="233"/>
    </row>
    <row r="21" spans="2:6" ht="15.75">
      <c r="B21" s="117" t="s">
        <v>141</v>
      </c>
      <c r="C21" s="231" t="s">
        <v>142</v>
      </c>
      <c r="D21" s="231"/>
      <c r="E21" s="231"/>
      <c r="F21" s="231"/>
    </row>
    <row r="22" spans="2:6" ht="15.75">
      <c r="B22" s="117" t="s">
        <v>143</v>
      </c>
      <c r="C22" s="231" t="s">
        <v>144</v>
      </c>
      <c r="D22" s="231"/>
      <c r="E22" s="231"/>
      <c r="F22" s="231"/>
    </row>
    <row r="23" spans="2:6" ht="15.75">
      <c r="B23" s="118" t="s">
        <v>145</v>
      </c>
      <c r="C23" s="234">
        <v>1555.62</v>
      </c>
      <c r="D23" s="234"/>
      <c r="E23" s="234"/>
      <c r="F23" s="234"/>
    </row>
    <row r="24" spans="2:6" ht="15.75">
      <c r="B24" s="118" t="s">
        <v>146</v>
      </c>
      <c r="C24" s="231" t="s">
        <v>147</v>
      </c>
      <c r="D24" s="231"/>
      <c r="E24" s="231"/>
      <c r="F24" s="231"/>
    </row>
    <row r="25" spans="2:6" ht="15.75">
      <c r="B25" s="118" t="s">
        <v>148</v>
      </c>
      <c r="C25" s="231" t="s">
        <v>149</v>
      </c>
      <c r="D25" s="231"/>
      <c r="E25" s="231"/>
      <c r="F25" s="231"/>
    </row>
    <row r="26" spans="2:6" ht="15.75">
      <c r="B26" s="118" t="s">
        <v>150</v>
      </c>
      <c r="C26" s="230" t="s">
        <v>151</v>
      </c>
      <c r="D26" s="230"/>
      <c r="E26" s="230"/>
      <c r="F26" s="230"/>
    </row>
    <row r="27" spans="2:6" ht="15">
      <c r="B27" s="119"/>
      <c r="C27" s="120"/>
      <c r="D27" s="121"/>
      <c r="E27" s="101"/>
    </row>
    <row r="28" spans="2:6" ht="42.75">
      <c r="B28" s="122" t="s">
        <v>152</v>
      </c>
      <c r="C28" s="242" t="s">
        <v>153</v>
      </c>
      <c r="D28" s="242" t="s">
        <v>251</v>
      </c>
      <c r="E28" s="242" t="s">
        <v>252</v>
      </c>
      <c r="F28" s="242" t="s">
        <v>253</v>
      </c>
    </row>
    <row r="29" spans="2:6" ht="16.7" customHeight="1">
      <c r="B29" s="232" t="s">
        <v>154</v>
      </c>
      <c r="C29" s="232"/>
      <c r="D29" s="232"/>
      <c r="E29" s="232"/>
      <c r="F29" s="232"/>
    </row>
    <row r="30" spans="2:6" ht="28.5">
      <c r="B30" s="124" t="s">
        <v>155</v>
      </c>
      <c r="C30" s="125" t="s">
        <v>156</v>
      </c>
      <c r="D30" s="126" t="s">
        <v>157</v>
      </c>
      <c r="E30" s="126" t="s">
        <v>157</v>
      </c>
      <c r="F30" s="126" t="s">
        <v>157</v>
      </c>
    </row>
    <row r="31" spans="2:6" ht="15">
      <c r="B31" s="127" t="s">
        <v>158</v>
      </c>
      <c r="C31" s="243">
        <f>C23</f>
        <v>1555.62</v>
      </c>
      <c r="D31" s="243">
        <f>C31</f>
        <v>1555.62</v>
      </c>
      <c r="E31" s="243">
        <f>C31</f>
        <v>1555.62</v>
      </c>
      <c r="F31" s="244">
        <f>C31</f>
        <v>1555.62</v>
      </c>
    </row>
    <row r="32" spans="2:6" ht="15">
      <c r="B32" s="127" t="s">
        <v>159</v>
      </c>
      <c r="C32" s="245">
        <v>0.3</v>
      </c>
      <c r="D32" s="246">
        <f>D31*C32</f>
        <v>466.68599999999992</v>
      </c>
      <c r="E32" s="246">
        <f>E31*C32</f>
        <v>466.68599999999992</v>
      </c>
      <c r="F32" s="247">
        <f>F31*C32</f>
        <v>466.68599999999992</v>
      </c>
    </row>
    <row r="33" spans="2:6" ht="15">
      <c r="B33" s="127" t="s">
        <v>160</v>
      </c>
      <c r="C33" s="248"/>
      <c r="D33" s="246"/>
      <c r="E33" s="246"/>
      <c r="F33" s="247"/>
    </row>
    <row r="34" spans="2:6" ht="15">
      <c r="B34" s="127" t="s">
        <v>161</v>
      </c>
      <c r="C34" s="245">
        <v>0.2</v>
      </c>
      <c r="D34" s="246">
        <v>0</v>
      </c>
      <c r="E34" s="246">
        <v>0</v>
      </c>
      <c r="F34" s="247">
        <f>((F31+F32)*(7/12)*C34)</f>
        <v>235.9357</v>
      </c>
    </row>
    <row r="35" spans="2:6" ht="15">
      <c r="B35" s="127" t="s">
        <v>162</v>
      </c>
      <c r="C35" s="245">
        <v>1.2</v>
      </c>
      <c r="D35" s="246">
        <v>0</v>
      </c>
      <c r="E35" s="246">
        <v>0</v>
      </c>
      <c r="F35" s="247">
        <f>(F31+F32)*(1/12)*C35</f>
        <v>202.23059999999995</v>
      </c>
    </row>
    <row r="36" spans="2:6" ht="15">
      <c r="B36" s="127" t="s">
        <v>163</v>
      </c>
      <c r="C36" s="249"/>
      <c r="D36" s="246">
        <v>0</v>
      </c>
      <c r="E36" s="246">
        <v>0</v>
      </c>
      <c r="F36" s="247">
        <v>0</v>
      </c>
    </row>
    <row r="37" spans="2:6" ht="15">
      <c r="B37" s="127" t="s">
        <v>164</v>
      </c>
      <c r="C37" s="249"/>
      <c r="D37" s="246">
        <v>0</v>
      </c>
      <c r="E37" s="246">
        <v>0</v>
      </c>
      <c r="F37" s="247">
        <v>0</v>
      </c>
    </row>
    <row r="38" spans="2:6" ht="14.25">
      <c r="B38" s="136" t="s">
        <v>165</v>
      </c>
      <c r="C38" s="137"/>
      <c r="D38" s="138">
        <f>SUM(D31:D37)</f>
        <v>2022.3059999999998</v>
      </c>
      <c r="E38" s="138">
        <f>SUM(E31:E37)</f>
        <v>2022.3059999999998</v>
      </c>
      <c r="F38" s="138">
        <f>SUM(F31:F37)</f>
        <v>2460.4722999999994</v>
      </c>
    </row>
    <row r="39" spans="2:6" ht="15">
      <c r="B39" s="119"/>
      <c r="C39" s="120"/>
      <c r="D39" s="121"/>
      <c r="E39" s="101"/>
    </row>
    <row r="40" spans="2:6" ht="16.7" customHeight="1">
      <c r="B40" s="232" t="s">
        <v>166</v>
      </c>
      <c r="C40" s="232"/>
      <c r="D40" s="232"/>
      <c r="E40" s="232"/>
      <c r="F40" s="232"/>
    </row>
    <row r="41" spans="2:6" ht="14.25">
      <c r="B41" s="139" t="s">
        <v>167</v>
      </c>
      <c r="C41" s="140" t="s">
        <v>168</v>
      </c>
      <c r="D41" s="140" t="s">
        <v>157</v>
      </c>
      <c r="E41" s="140" t="s">
        <v>157</v>
      </c>
      <c r="F41" s="140" t="s">
        <v>157</v>
      </c>
    </row>
    <row r="42" spans="2:6" ht="15">
      <c r="B42" s="127" t="s">
        <v>169</v>
      </c>
      <c r="C42" s="250">
        <f>1/12</f>
        <v>8.3333333333333329E-2</v>
      </c>
      <c r="D42" s="190">
        <f>C42*D38</f>
        <v>168.52549999999997</v>
      </c>
      <c r="E42" s="190">
        <f>C42*E38</f>
        <v>168.52549999999997</v>
      </c>
      <c r="F42" s="190">
        <f>C42*F38</f>
        <v>205.03935833333327</v>
      </c>
    </row>
    <row r="43" spans="2:6" ht="45">
      <c r="B43" s="127" t="s">
        <v>170</v>
      </c>
      <c r="C43" s="250">
        <f>C42/3</f>
        <v>2.7777777777777776E-2</v>
      </c>
      <c r="D43" s="190">
        <f>C43*D38</f>
        <v>56.175166666666655</v>
      </c>
      <c r="E43" s="190">
        <f>C43*E38</f>
        <v>56.175166666666655</v>
      </c>
      <c r="F43" s="190">
        <f>C43*F38</f>
        <v>68.346452777777756</v>
      </c>
    </row>
    <row r="44" spans="2:6" ht="14.25">
      <c r="B44" s="143" t="s">
        <v>165</v>
      </c>
      <c r="C44" s="144">
        <f>SUM(C42:C43)</f>
        <v>0.1111111111111111</v>
      </c>
      <c r="D44" s="145">
        <f>SUM(D42:D43)</f>
        <v>224.70066666666662</v>
      </c>
      <c r="E44" s="145">
        <f>SUM(E42:E43)</f>
        <v>224.70066666666662</v>
      </c>
      <c r="F44" s="145">
        <f>SUM(F42:F43)</f>
        <v>273.38581111111102</v>
      </c>
    </row>
    <row r="45" spans="2:6" ht="14.25">
      <c r="B45" s="146" t="s">
        <v>171</v>
      </c>
      <c r="C45" s="140" t="s">
        <v>168</v>
      </c>
      <c r="D45" s="140" t="s">
        <v>157</v>
      </c>
      <c r="E45" s="140" t="s">
        <v>157</v>
      </c>
      <c r="F45" s="140" t="s">
        <v>157</v>
      </c>
    </row>
    <row r="46" spans="2:6" ht="15">
      <c r="B46" s="127" t="s">
        <v>172</v>
      </c>
      <c r="C46" s="250">
        <v>0.2</v>
      </c>
      <c r="D46" s="251">
        <f>C46*(D38+D44)</f>
        <v>449.40133333333324</v>
      </c>
      <c r="E46" s="251">
        <f>C46*(E38+E44)</f>
        <v>449.40133333333324</v>
      </c>
      <c r="F46" s="251">
        <f>C46*(F38+F44)</f>
        <v>546.77162222222216</v>
      </c>
    </row>
    <row r="47" spans="2:6" ht="15">
      <c r="B47" s="127" t="s">
        <v>173</v>
      </c>
      <c r="C47" s="250">
        <v>2.5000000000000001E-2</v>
      </c>
      <c r="D47" s="251">
        <f>C47*(D38+D44)</f>
        <v>56.175166666666655</v>
      </c>
      <c r="E47" s="251">
        <f>C47*(E38+E44)</f>
        <v>56.175166666666655</v>
      </c>
      <c r="F47" s="251">
        <f>C47*(F38+F44)</f>
        <v>68.34645277777777</v>
      </c>
    </row>
    <row r="48" spans="2:6" ht="15">
      <c r="B48" s="127" t="s">
        <v>174</v>
      </c>
      <c r="C48" s="250">
        <v>0.03</v>
      </c>
      <c r="D48" s="251">
        <f>C48*(D38+D44)</f>
        <v>67.410199999999989</v>
      </c>
      <c r="E48" s="251">
        <f>C48*(E38+E44)</f>
        <v>67.410199999999989</v>
      </c>
      <c r="F48" s="251">
        <f>C48*(F38+F44)</f>
        <v>82.015743333333319</v>
      </c>
    </row>
    <row r="49" spans="2:6" ht="15">
      <c r="B49" s="127" t="s">
        <v>175</v>
      </c>
      <c r="C49" s="250">
        <v>1.4999999999999999E-2</v>
      </c>
      <c r="D49" s="251">
        <f>C49*(D38+D44)</f>
        <v>33.705099999999995</v>
      </c>
      <c r="E49" s="251">
        <f>C49*(E38+E44)</f>
        <v>33.705099999999995</v>
      </c>
      <c r="F49" s="251">
        <f>C49*(F38+F44)</f>
        <v>41.007871666666659</v>
      </c>
    </row>
    <row r="50" spans="2:6" ht="15">
      <c r="B50" s="127" t="s">
        <v>176</v>
      </c>
      <c r="C50" s="250">
        <v>0.01</v>
      </c>
      <c r="D50" s="251">
        <f>C50*(D38+D44)</f>
        <v>22.470066666666664</v>
      </c>
      <c r="E50" s="251">
        <f>C50*(E38+E44)</f>
        <v>22.470066666666664</v>
      </c>
      <c r="F50" s="251">
        <f>C50*(F38+F44)</f>
        <v>27.338581111111107</v>
      </c>
    </row>
    <row r="51" spans="2:6" ht="15">
      <c r="B51" s="127" t="s">
        <v>177</v>
      </c>
      <c r="C51" s="250">
        <v>6.0000000000000001E-3</v>
      </c>
      <c r="D51" s="251">
        <f>C51*(D38+D44)</f>
        <v>13.482039999999998</v>
      </c>
      <c r="E51" s="251">
        <f>C51*(E38+E44)</f>
        <v>13.482039999999998</v>
      </c>
      <c r="F51" s="251">
        <f>C51*(F38+F44)</f>
        <v>16.403148666666663</v>
      </c>
    </row>
    <row r="52" spans="2:6" ht="15">
      <c r="B52" s="127" t="s">
        <v>178</v>
      </c>
      <c r="C52" s="250">
        <v>2E-3</v>
      </c>
      <c r="D52" s="251">
        <f>C52*(D38+D44)</f>
        <v>4.4940133333333323</v>
      </c>
      <c r="E52" s="251">
        <f>C52*(E38+E44)</f>
        <v>4.4940133333333323</v>
      </c>
      <c r="F52" s="251">
        <f>C52*(F38+F44)</f>
        <v>5.4677162222222213</v>
      </c>
    </row>
    <row r="53" spans="2:6" ht="15">
      <c r="B53" s="127" t="s">
        <v>179</v>
      </c>
      <c r="C53" s="250">
        <v>0.08</v>
      </c>
      <c r="D53" s="251">
        <f>C53*(D38+D44)</f>
        <v>179.76053333333331</v>
      </c>
      <c r="E53" s="251">
        <f>C53*(E38+E44)</f>
        <v>179.76053333333331</v>
      </c>
      <c r="F53" s="251">
        <f>C53*(F38+F44)</f>
        <v>218.70864888888886</v>
      </c>
    </row>
    <row r="54" spans="2:6" ht="14.25">
      <c r="B54" s="143" t="s">
        <v>165</v>
      </c>
      <c r="C54" s="144">
        <f>SUM(C46:C53)</f>
        <v>0.36800000000000005</v>
      </c>
      <c r="D54" s="148">
        <f>SUM(D46:D53)</f>
        <v>826.89845333333324</v>
      </c>
      <c r="E54" s="148">
        <f>SUM(E46:E53)</f>
        <v>826.89845333333324</v>
      </c>
      <c r="F54" s="148">
        <f>SUM(F46:F53)</f>
        <v>1006.0597848888888</v>
      </c>
    </row>
    <row r="55" spans="2:6" ht="28.5">
      <c r="B55" s="149" t="s">
        <v>180</v>
      </c>
      <c r="C55" s="150" t="s">
        <v>156</v>
      </c>
      <c r="D55" s="140" t="s">
        <v>157</v>
      </c>
      <c r="E55" s="140" t="s">
        <v>157</v>
      </c>
      <c r="F55" s="140" t="s">
        <v>157</v>
      </c>
    </row>
    <row r="56" spans="2:6" ht="15">
      <c r="B56" s="127" t="s">
        <v>181</v>
      </c>
      <c r="C56" s="252">
        <v>5.5</v>
      </c>
      <c r="D56" s="243">
        <f>IF((C56*26*2)-(D31*0.06)&lt;0,0,(C56*26*2)-(D31*0.06))</f>
        <v>192.6628</v>
      </c>
      <c r="E56" s="243">
        <f>IF((C56*15*2)-(E31*0.06)&lt;0,0,(C56*15*2)-(E31*0.06))</f>
        <v>71.662800000000004</v>
      </c>
      <c r="F56" s="243">
        <f>IF((C56*15*2)-(F31*0.06)&lt;0,0,(C56*15*2)-(F31*0.06))</f>
        <v>71.662800000000004</v>
      </c>
    </row>
    <row r="57" spans="2:6" ht="15">
      <c r="B57" s="127" t="s">
        <v>182</v>
      </c>
      <c r="C57" s="253">
        <f>Memória_de_Cálculo!C6</f>
        <v>35.020000000000003</v>
      </c>
      <c r="D57" s="254">
        <f>Memória_de_Cálculo!E6</f>
        <v>819.46800000000007</v>
      </c>
      <c r="E57" s="254">
        <f>Memória_de_Cálculo!E7</f>
        <v>472.77000000000004</v>
      </c>
      <c r="F57" s="254">
        <f>Memória_de_Cálculo!E8</f>
        <v>472.77000000000004</v>
      </c>
    </row>
    <row r="58" spans="2:6" ht="15">
      <c r="B58" s="127" t="s">
        <v>183</v>
      </c>
      <c r="C58" s="253">
        <v>138.02000000000001</v>
      </c>
      <c r="D58" s="254">
        <f>C58</f>
        <v>138.02000000000001</v>
      </c>
      <c r="E58" s="254">
        <f>C58</f>
        <v>138.02000000000001</v>
      </c>
      <c r="F58" s="254">
        <f>C58</f>
        <v>138.02000000000001</v>
      </c>
    </row>
    <row r="59" spans="2:6" ht="15">
      <c r="B59" s="127" t="s">
        <v>184</v>
      </c>
      <c r="C59" s="255">
        <v>9.5500000000000004E-5</v>
      </c>
      <c r="D59" s="256">
        <f>((D31*(60+5))+1200)*C59</f>
        <v>9.7711111499999994</v>
      </c>
      <c r="E59" s="256">
        <f>((E31*(60+5))+1200)*C59</f>
        <v>9.7711111499999994</v>
      </c>
      <c r="F59" s="256">
        <f>((F31*(60+5))+1200)*C59</f>
        <v>9.7711111499999994</v>
      </c>
    </row>
    <row r="60" spans="2:6" ht="15">
      <c r="B60" s="127" t="s">
        <v>254</v>
      </c>
      <c r="C60" s="253">
        <f>17-3</f>
        <v>14</v>
      </c>
      <c r="D60" s="254">
        <f>C60</f>
        <v>14</v>
      </c>
      <c r="E60" s="254">
        <f>C60</f>
        <v>14</v>
      </c>
      <c r="F60" s="254">
        <f>C60</f>
        <v>14</v>
      </c>
    </row>
    <row r="61" spans="2:6" ht="15">
      <c r="B61" s="127" t="s">
        <v>186</v>
      </c>
      <c r="C61" s="257"/>
      <c r="D61" s="256">
        <f>C61</f>
        <v>0</v>
      </c>
      <c r="E61" s="256">
        <f>C61</f>
        <v>0</v>
      </c>
      <c r="F61" s="256">
        <f>C61</f>
        <v>0</v>
      </c>
    </row>
    <row r="62" spans="2:6" ht="14.25">
      <c r="B62" s="143" t="s">
        <v>165</v>
      </c>
      <c r="C62" s="158"/>
      <c r="D62" s="159">
        <f>SUM(D56:D61)</f>
        <v>1173.9219111500001</v>
      </c>
      <c r="E62" s="159">
        <f>SUM(E56:E61)</f>
        <v>706.22391115000005</v>
      </c>
      <c r="F62" s="159">
        <f>SUM(F56:F61)</f>
        <v>706.22391115000005</v>
      </c>
    </row>
    <row r="63" spans="2:6" ht="14.25">
      <c r="B63" s="160" t="s">
        <v>187</v>
      </c>
      <c r="C63" s="161" t="s">
        <v>168</v>
      </c>
      <c r="D63" s="126" t="s">
        <v>157</v>
      </c>
      <c r="E63" s="126" t="s">
        <v>157</v>
      </c>
      <c r="F63" s="126" t="s">
        <v>157</v>
      </c>
    </row>
    <row r="64" spans="2:6" ht="15">
      <c r="B64" s="162" t="s">
        <v>188</v>
      </c>
      <c r="C64" s="258">
        <f>C44</f>
        <v>0.1111111111111111</v>
      </c>
      <c r="D64" s="190">
        <f>D44</f>
        <v>224.70066666666662</v>
      </c>
      <c r="E64" s="190">
        <f>E44</f>
        <v>224.70066666666662</v>
      </c>
      <c r="F64" s="190">
        <f>F44</f>
        <v>273.38581111111102</v>
      </c>
    </row>
    <row r="65" spans="2:7" ht="15">
      <c r="B65" s="165" t="s">
        <v>189</v>
      </c>
      <c r="C65" s="258">
        <f>C54</f>
        <v>0.36800000000000005</v>
      </c>
      <c r="D65" s="190">
        <f>D54</f>
        <v>826.89845333333324</v>
      </c>
      <c r="E65" s="190">
        <f>E54</f>
        <v>826.89845333333324</v>
      </c>
      <c r="F65" s="190">
        <f>F54</f>
        <v>1006.0597848888888</v>
      </c>
    </row>
    <row r="66" spans="2:7" ht="15">
      <c r="B66" s="165" t="s">
        <v>190</v>
      </c>
      <c r="C66" s="190">
        <v>0</v>
      </c>
      <c r="D66" s="190">
        <f>D62</f>
        <v>1173.9219111500001</v>
      </c>
      <c r="E66" s="190">
        <f>E62</f>
        <v>706.22391115000005</v>
      </c>
      <c r="F66" s="190">
        <f>F62</f>
        <v>706.22391115000005</v>
      </c>
    </row>
    <row r="67" spans="2:7" ht="14.25">
      <c r="B67" s="136" t="s">
        <v>165</v>
      </c>
      <c r="C67" s="168"/>
      <c r="D67" s="169">
        <f>SUM(D64:D66)</f>
        <v>2225.52103115</v>
      </c>
      <c r="E67" s="169">
        <f>SUM(E64:E66)</f>
        <v>1757.8230311499999</v>
      </c>
      <c r="F67" s="169">
        <f>SUM(F64:F66)</f>
        <v>1985.6695071499998</v>
      </c>
    </row>
    <row r="68" spans="2:7" ht="14.25">
      <c r="B68" s="170"/>
      <c r="C68" s="121"/>
      <c r="D68" s="121"/>
      <c r="E68" s="101"/>
    </row>
    <row r="69" spans="2:7" ht="16.7" customHeight="1">
      <c r="B69" s="232" t="s">
        <v>191</v>
      </c>
      <c r="C69" s="232"/>
      <c r="D69" s="232"/>
      <c r="E69" s="232"/>
      <c r="F69" s="232"/>
    </row>
    <row r="70" spans="2:7" ht="14.25">
      <c r="B70" s="171" t="s">
        <v>192</v>
      </c>
      <c r="C70" s="172" t="s">
        <v>168</v>
      </c>
      <c r="D70" s="173" t="s">
        <v>157</v>
      </c>
      <c r="E70" s="173" t="s">
        <v>157</v>
      </c>
      <c r="F70" s="173" t="s">
        <v>157</v>
      </c>
    </row>
    <row r="71" spans="2:7" ht="27.75">
      <c r="B71" s="127" t="s">
        <v>193</v>
      </c>
      <c r="C71" s="259">
        <f>1/12*0.05</f>
        <v>4.1666666666666666E-3</v>
      </c>
      <c r="D71" s="190">
        <f>C71*D38</f>
        <v>8.4262749999999986</v>
      </c>
      <c r="E71" s="190">
        <f>C71*E38</f>
        <v>8.4262749999999986</v>
      </c>
      <c r="F71" s="190">
        <f>C71*F38</f>
        <v>10.251967916666665</v>
      </c>
    </row>
    <row r="72" spans="2:7" ht="15">
      <c r="B72" s="175" t="s">
        <v>194</v>
      </c>
      <c r="C72" s="259">
        <f>C53*C71</f>
        <v>3.3333333333333332E-4</v>
      </c>
      <c r="D72" s="190">
        <f>C72*D38</f>
        <v>0.67410199999999987</v>
      </c>
      <c r="E72" s="190">
        <f>C72*E38</f>
        <v>0.67410199999999987</v>
      </c>
      <c r="F72" s="190">
        <f>C72*F38</f>
        <v>0.82015743333333313</v>
      </c>
    </row>
    <row r="73" spans="2:7" ht="15">
      <c r="B73" s="127" t="s">
        <v>195</v>
      </c>
      <c r="C73" s="259">
        <v>0</v>
      </c>
      <c r="D73" s="190">
        <f>C73*D38</f>
        <v>0</v>
      </c>
      <c r="E73" s="190">
        <f>C73*E38</f>
        <v>0</v>
      </c>
      <c r="F73" s="190">
        <f>C73*F38</f>
        <v>0</v>
      </c>
    </row>
    <row r="74" spans="2:7" ht="27.75">
      <c r="B74" s="127" t="s">
        <v>196</v>
      </c>
      <c r="C74" s="259">
        <f>1/30*7/12</f>
        <v>1.9444444444444445E-2</v>
      </c>
      <c r="D74" s="190">
        <f>C74*D38</f>
        <v>39.322616666666661</v>
      </c>
      <c r="E74" s="190">
        <f>C74*E38</f>
        <v>39.322616666666661</v>
      </c>
      <c r="F74" s="190">
        <f>C74*F38</f>
        <v>47.842516944444434</v>
      </c>
    </row>
    <row r="75" spans="2:7" ht="30">
      <c r="B75" s="127" t="s">
        <v>197</v>
      </c>
      <c r="C75" s="259">
        <f>C54*C74</f>
        <v>7.1555555555555565E-3</v>
      </c>
      <c r="D75" s="190">
        <f>C75*D38</f>
        <v>14.470722933333334</v>
      </c>
      <c r="E75" s="190">
        <f>C75*E38</f>
        <v>14.470722933333334</v>
      </c>
      <c r="F75" s="190">
        <f>C75*F38</f>
        <v>17.606046235555553</v>
      </c>
      <c r="G75" s="176"/>
    </row>
    <row r="76" spans="2:7" ht="30">
      <c r="B76" s="127" t="s">
        <v>198</v>
      </c>
      <c r="C76" s="260">
        <f>0.08*0.4*0.9*(1+1/12+1/12+1/3*1/12)</f>
        <v>3.4399999999999993E-2</v>
      </c>
      <c r="D76" s="190">
        <f>C76*D38</f>
        <v>69.567326399999985</v>
      </c>
      <c r="E76" s="190">
        <f>C76*E38</f>
        <v>69.567326399999985</v>
      </c>
      <c r="F76" s="190">
        <f>C76*F38</f>
        <v>84.64024711999997</v>
      </c>
    </row>
    <row r="77" spans="2:7" ht="14.25">
      <c r="B77" s="136" t="s">
        <v>165</v>
      </c>
      <c r="C77" s="178">
        <f>SUM(C71:C76)</f>
        <v>6.5500000000000003E-2</v>
      </c>
      <c r="D77" s="169">
        <f>SUM(D71:D76)</f>
        <v>132.46104299999996</v>
      </c>
      <c r="E77" s="169">
        <f>SUM(E71:E76)</f>
        <v>132.46104299999996</v>
      </c>
      <c r="F77" s="169">
        <f>SUM(F71:F76)</f>
        <v>161.16093564999994</v>
      </c>
    </row>
    <row r="78" spans="2:7">
      <c r="B78" s="179"/>
      <c r="C78" s="180"/>
      <c r="D78" s="180"/>
      <c r="E78" s="101"/>
    </row>
    <row r="79" spans="2:7" ht="16.7" customHeight="1">
      <c r="B79" s="232" t="s">
        <v>199</v>
      </c>
      <c r="C79" s="232"/>
      <c r="D79" s="232"/>
      <c r="E79" s="232"/>
      <c r="F79" s="232"/>
    </row>
    <row r="80" spans="2:7" ht="14.25">
      <c r="B80" s="181" t="s">
        <v>200</v>
      </c>
      <c r="C80" s="182" t="s">
        <v>168</v>
      </c>
      <c r="D80" s="183" t="s">
        <v>157</v>
      </c>
      <c r="E80" s="183" t="s">
        <v>157</v>
      </c>
      <c r="F80" s="183" t="s">
        <v>157</v>
      </c>
    </row>
    <row r="81" spans="2:6" ht="15">
      <c r="B81" s="127" t="s">
        <v>201</v>
      </c>
      <c r="C81" s="250">
        <f>1/12</f>
        <v>8.3333333333333329E-2</v>
      </c>
      <c r="D81" s="251">
        <f>C81*(D38+D67+D77)</f>
        <v>365.02400617916669</v>
      </c>
      <c r="E81" s="251">
        <f>C81*(E38+E67+E77)</f>
        <v>326.04917284583325</v>
      </c>
      <c r="F81" s="251">
        <f>C81*(F38+F67+F77)</f>
        <v>383.9418952333333</v>
      </c>
    </row>
    <row r="82" spans="2:6" ht="15">
      <c r="B82" s="127" t="s">
        <v>202</v>
      </c>
      <c r="C82" s="189">
        <f>Memória_de_Cálculo!B14</f>
        <v>8.2000000000000007E-3</v>
      </c>
      <c r="D82" s="251">
        <f>C82*(D38+D67+D77)</f>
        <v>35.918362208030004</v>
      </c>
      <c r="E82" s="251">
        <f>C82*(E38+E67+E77)</f>
        <v>32.083238608030001</v>
      </c>
      <c r="F82" s="251">
        <f>C82*(F38+F67+F77)</f>
        <v>37.779882490959999</v>
      </c>
    </row>
    <row r="83" spans="2:6" ht="15">
      <c r="B83" s="127" t="s">
        <v>203</v>
      </c>
      <c r="C83" s="189">
        <f>Memória_de_Cálculo!B21</f>
        <v>3.6275555555555553E-4</v>
      </c>
      <c r="D83" s="251">
        <f>C83*(D38+D67+D77)</f>
        <v>1.5889738338316577</v>
      </c>
      <c r="E83" s="251">
        <f>C83*(E38+E67+E77)</f>
        <v>1.4193137860094354</v>
      </c>
      <c r="F83" s="251">
        <f>C83*(F38+F67+F77)</f>
        <v>1.6713246660770487</v>
      </c>
    </row>
    <row r="84" spans="2:6" ht="15">
      <c r="B84" s="127" t="s">
        <v>204</v>
      </c>
      <c r="C84" s="189">
        <f>Memória_de_Cálculo!B25</f>
        <v>1.5305423328660365E-2</v>
      </c>
      <c r="D84" s="251">
        <f>C84*(D38+D67+D77)</f>
        <v>67.042163276348191</v>
      </c>
      <c r="E84" s="251">
        <f>C84*(E38+E67+E77)</f>
        <v>59.883847396380389</v>
      </c>
      <c r="F84" s="251">
        <f>C84*(F38+F67+F77)</f>
        <v>70.516718881852</v>
      </c>
    </row>
    <row r="85" spans="2:6" ht="15">
      <c r="B85" s="127" t="s">
        <v>205</v>
      </c>
      <c r="C85" s="250">
        <f>Memória_de_Cálculo!B29</f>
        <v>1.0654335999999999E-3</v>
      </c>
      <c r="D85" s="251">
        <f>C85*(D38+D67+D77)</f>
        <v>4.6669060918787011</v>
      </c>
      <c r="E85" s="251">
        <f>C85*(E38+E67+E77)</f>
        <v>4.1686049280259008</v>
      </c>
      <c r="F85" s="251">
        <f>C85*(F38+F67+F77)</f>
        <v>4.9087751475512773</v>
      </c>
    </row>
    <row r="86" spans="2:6" ht="15">
      <c r="B86" s="127" t="s">
        <v>206</v>
      </c>
      <c r="C86" s="189">
        <v>0</v>
      </c>
      <c r="D86" s="251">
        <f>C86*(D38+D67+D77)</f>
        <v>0</v>
      </c>
      <c r="E86" s="251">
        <f>C86*(E38+E67+E77)</f>
        <v>0</v>
      </c>
      <c r="F86" s="251">
        <f>C86*(F38+F67+F77)</f>
        <v>0</v>
      </c>
    </row>
    <row r="87" spans="2:6" ht="14.25">
      <c r="B87" s="136" t="s">
        <v>165</v>
      </c>
      <c r="C87" s="185">
        <f>SUM(C81:C86)</f>
        <v>0.10826694581754924</v>
      </c>
      <c r="D87" s="169">
        <f>SUM(D81:D86)</f>
        <v>474.24041158925513</v>
      </c>
      <c r="E87" s="169">
        <f>SUM(E81:E86)</f>
        <v>423.60417756427893</v>
      </c>
      <c r="F87" s="169">
        <f>SUM(F81:F86)</f>
        <v>498.81859641977366</v>
      </c>
    </row>
    <row r="88" spans="2:6" ht="14.25">
      <c r="B88" s="186" t="s">
        <v>207</v>
      </c>
      <c r="C88" s="187" t="s">
        <v>168</v>
      </c>
      <c r="D88" s="140" t="s">
        <v>157</v>
      </c>
      <c r="E88" s="140" t="s">
        <v>157</v>
      </c>
      <c r="F88" s="140" t="s">
        <v>157</v>
      </c>
    </row>
    <row r="89" spans="2:6" ht="30">
      <c r="B89" s="188" t="s">
        <v>208</v>
      </c>
      <c r="C89" s="189">
        <v>0.5</v>
      </c>
      <c r="D89" s="190">
        <v>0</v>
      </c>
      <c r="E89" s="190">
        <f>(E38/220)*15*1.5</f>
        <v>206.82675</v>
      </c>
      <c r="F89" s="190">
        <f>(F38/220)*15*1.5</f>
        <v>251.63921249999993</v>
      </c>
    </row>
    <row r="90" spans="2:6" ht="14.25">
      <c r="B90" s="136" t="s">
        <v>165</v>
      </c>
      <c r="C90" s="185"/>
      <c r="D90" s="169">
        <f>SUM(D89:D89)</f>
        <v>0</v>
      </c>
      <c r="E90" s="169">
        <f>SUM(E89:E89)</f>
        <v>206.82675</v>
      </c>
      <c r="F90" s="169">
        <f>SUM(F89:F89)</f>
        <v>251.63921249999993</v>
      </c>
    </row>
    <row r="91" spans="2:6" ht="14.25">
      <c r="B91" s="191"/>
      <c r="C91" s="192"/>
      <c r="D91" s="121"/>
      <c r="E91" s="121"/>
    </row>
    <row r="92" spans="2:6" ht="14.25">
      <c r="B92" s="193" t="s">
        <v>209</v>
      </c>
      <c r="C92" s="194" t="s">
        <v>168</v>
      </c>
      <c r="D92" s="195" t="s">
        <v>157</v>
      </c>
      <c r="E92" s="195" t="s">
        <v>157</v>
      </c>
      <c r="F92" s="195" t="s">
        <v>157</v>
      </c>
    </row>
    <row r="93" spans="2:6" ht="15">
      <c r="B93" s="261" t="s">
        <v>210</v>
      </c>
      <c r="C93" s="189">
        <f>C87</f>
        <v>0.10826694581754924</v>
      </c>
      <c r="D93" s="190">
        <f>D87</f>
        <v>474.24041158925513</v>
      </c>
      <c r="E93" s="190">
        <f>E87</f>
        <v>423.60417756427893</v>
      </c>
      <c r="F93" s="190">
        <f>F87</f>
        <v>498.81859641977366</v>
      </c>
    </row>
    <row r="94" spans="2:6" ht="15">
      <c r="B94" s="262" t="s">
        <v>211</v>
      </c>
      <c r="C94" s="189">
        <f>C89</f>
        <v>0.5</v>
      </c>
      <c r="D94" s="190">
        <f>D90</f>
        <v>0</v>
      </c>
      <c r="E94" s="190">
        <f>E90</f>
        <v>206.82675</v>
      </c>
      <c r="F94" s="190">
        <f>F90</f>
        <v>251.63921249999993</v>
      </c>
    </row>
    <row r="95" spans="2:6" ht="14.25">
      <c r="B95" s="136" t="s">
        <v>165</v>
      </c>
      <c r="C95" s="197"/>
      <c r="D95" s="169">
        <f>SUM(D93:D94)</f>
        <v>474.24041158925513</v>
      </c>
      <c r="E95" s="169">
        <f>SUM(E93:E94)</f>
        <v>630.43092756427893</v>
      </c>
      <c r="F95" s="169">
        <f>SUM(F93:F94)</f>
        <v>750.45780891977358</v>
      </c>
    </row>
    <row r="96" spans="2:6">
      <c r="B96" s="179"/>
      <c r="C96" s="198"/>
      <c r="D96" s="180"/>
      <c r="E96" s="101"/>
    </row>
    <row r="97" spans="2:8" ht="16.7" customHeight="1">
      <c r="B97" s="232" t="s">
        <v>212</v>
      </c>
      <c r="C97" s="232"/>
      <c r="D97" s="232"/>
      <c r="E97" s="232"/>
      <c r="F97" s="232"/>
    </row>
    <row r="98" spans="2:8" ht="14.25">
      <c r="B98" s="193" t="s">
        <v>213</v>
      </c>
      <c r="C98" s="194" t="s">
        <v>214</v>
      </c>
      <c r="D98" s="195" t="s">
        <v>157</v>
      </c>
      <c r="E98" s="195" t="s">
        <v>157</v>
      </c>
      <c r="F98" s="195" t="s">
        <v>157</v>
      </c>
    </row>
    <row r="99" spans="2:8" ht="15">
      <c r="B99" s="127" t="s">
        <v>215</v>
      </c>
      <c r="C99" s="263">
        <f>Insumos!J13</f>
        <v>75.492499999999993</v>
      </c>
      <c r="D99" s="264">
        <f>C99</f>
        <v>75.492499999999993</v>
      </c>
      <c r="E99" s="264">
        <f>C99</f>
        <v>75.492499999999993</v>
      </c>
      <c r="F99" s="264">
        <f>C99</f>
        <v>75.492499999999993</v>
      </c>
    </row>
    <row r="100" spans="2:8" ht="15">
      <c r="B100" s="127" t="s">
        <v>216</v>
      </c>
      <c r="C100" s="263">
        <f>Insumos!J21</f>
        <v>12.125833333333333</v>
      </c>
      <c r="D100" s="264">
        <f>C100</f>
        <v>12.125833333333333</v>
      </c>
      <c r="E100" s="264">
        <f>C100/2</f>
        <v>6.0629166666666663</v>
      </c>
      <c r="F100" s="264">
        <f>C100/2</f>
        <v>6.0629166666666663</v>
      </c>
    </row>
    <row r="101" spans="2:8" ht="15">
      <c r="B101" s="127" t="s">
        <v>255</v>
      </c>
      <c r="C101" s="263">
        <v>0</v>
      </c>
      <c r="D101" s="190">
        <f>C101</f>
        <v>0</v>
      </c>
      <c r="E101" s="190">
        <f>C101</f>
        <v>0</v>
      </c>
      <c r="F101" s="190">
        <f>C101</f>
        <v>0</v>
      </c>
    </row>
    <row r="102" spans="2:8" ht="15">
      <c r="B102" s="127" t="s">
        <v>217</v>
      </c>
      <c r="C102" s="263">
        <v>0</v>
      </c>
      <c r="D102" s="190">
        <f>C102</f>
        <v>0</v>
      </c>
      <c r="E102" s="190">
        <f>C102</f>
        <v>0</v>
      </c>
      <c r="F102" s="190">
        <f>C102</f>
        <v>0</v>
      </c>
    </row>
    <row r="103" spans="2:8" ht="14.25">
      <c r="B103" s="201" t="s">
        <v>165</v>
      </c>
      <c r="C103" s="169">
        <f>SUM(C99:C102)</f>
        <v>87.618333333333325</v>
      </c>
      <c r="D103" s="169">
        <f>SUM(D99:D102)</f>
        <v>87.618333333333325</v>
      </c>
      <c r="E103" s="169">
        <f>SUM(E99:E102)</f>
        <v>81.555416666666659</v>
      </c>
      <c r="F103" s="169">
        <f>SUM(F99:F102)</f>
        <v>81.555416666666659</v>
      </c>
    </row>
    <row r="104" spans="2:8" ht="14.25">
      <c r="B104" s="170"/>
      <c r="C104" s="202"/>
      <c r="D104" s="121"/>
      <c r="E104" s="101"/>
    </row>
    <row r="105" spans="2:8" ht="16.7" customHeight="1">
      <c r="B105" s="232" t="s">
        <v>218</v>
      </c>
      <c r="C105" s="232"/>
      <c r="D105" s="232"/>
      <c r="E105" s="232"/>
      <c r="F105" s="232"/>
    </row>
    <row r="106" spans="2:8" ht="14.25">
      <c r="B106" s="124" t="s">
        <v>219</v>
      </c>
      <c r="C106" s="172" t="s">
        <v>168</v>
      </c>
      <c r="D106" s="126" t="s">
        <v>157</v>
      </c>
      <c r="E106" s="126" t="s">
        <v>157</v>
      </c>
      <c r="F106" s="126" t="s">
        <v>157</v>
      </c>
    </row>
    <row r="107" spans="2:8" ht="15">
      <c r="B107" s="127" t="s">
        <v>220</v>
      </c>
      <c r="C107" s="177">
        <v>0.06</v>
      </c>
      <c r="D107" s="190">
        <f>C107*(D38+D67+D77+D95+D103)</f>
        <v>296.52880914435531</v>
      </c>
      <c r="E107" s="190">
        <f>C107*(E38+E67+E77+E95+E103)</f>
        <v>277.47458510285668</v>
      </c>
      <c r="F107" s="190">
        <f>C107*(F38+F67+F77+F95+F103)</f>
        <v>326.35895810318641</v>
      </c>
      <c r="H107" s="203"/>
    </row>
    <row r="108" spans="2:8" ht="15">
      <c r="B108" s="127" t="s">
        <v>221</v>
      </c>
      <c r="C108" s="177">
        <v>6.7900000000000002E-2</v>
      </c>
      <c r="D108" s="190">
        <f>C108*(D38+D67+D77+D95+D103+D107)</f>
        <v>355.70607515593048</v>
      </c>
      <c r="E108" s="190">
        <f>C108*(E38+E67+E77+E95+E103+E107)</f>
        <v>332.84926313655012</v>
      </c>
      <c r="F108" s="190">
        <f>C108*(F38+F67+F77+F95+F103+F107)</f>
        <v>391.48932750864572</v>
      </c>
      <c r="H108" s="203"/>
    </row>
    <row r="109" spans="2:8" ht="15">
      <c r="B109" s="127" t="s">
        <v>222</v>
      </c>
      <c r="C109" s="259">
        <f>SUM(C110:C114)</f>
        <v>7.6499999999999999E-2</v>
      </c>
      <c r="D109" s="190">
        <f>((D38+D67+D77+D95+D103+D107+D108)/(1-C109))*C109</f>
        <v>463.42198192531112</v>
      </c>
      <c r="E109" s="190">
        <f>((E38+E67+E77+E95+E103+E107+E108)/(1-C109))*C109</f>
        <v>433.64360627661813</v>
      </c>
      <c r="F109" s="190">
        <f>((F38+F67+F77+F95+F103+F107+F108)/(1-C109))*C109</f>
        <v>510.04121865822185</v>
      </c>
      <c r="H109" s="203"/>
    </row>
    <row r="110" spans="2:8" ht="15">
      <c r="B110" s="204" t="s">
        <v>223</v>
      </c>
      <c r="C110" s="259">
        <f>0.03</f>
        <v>0.03</v>
      </c>
      <c r="D110" s="265">
        <f>((D38+D67+D77+D95+D103+D107+D108)/(1-C109))*C110</f>
        <v>181.73411055894553</v>
      </c>
      <c r="E110" s="265">
        <f>((E38+E67+E77+E95+E103+E107+E108)/(1-C109))*C110</f>
        <v>170.05631618690907</v>
      </c>
      <c r="F110" s="265">
        <f>((F38+F67+F77+F95+F103+F107+F108)/(1-C109))*C110</f>
        <v>200.01616417969484</v>
      </c>
    </row>
    <row r="111" spans="2:8" ht="15">
      <c r="B111" s="204" t="s">
        <v>224</v>
      </c>
      <c r="C111" s="259">
        <f>0.0065</f>
        <v>6.4999999999999997E-3</v>
      </c>
      <c r="D111" s="265">
        <f>((D38+D67+D77+D95+D103+D107+D108)/(1-C109))*C111</f>
        <v>39.3757239544382</v>
      </c>
      <c r="E111" s="265">
        <f>((E38+E67+E77+E95+E103+E107+E108)/(1-C109))*C111</f>
        <v>36.845535173830299</v>
      </c>
      <c r="F111" s="265">
        <f>((F38+F67+F77+F95+F103+F107+F108)/(1-C109))*C111</f>
        <v>43.336835572267212</v>
      </c>
    </row>
    <row r="112" spans="2:8" ht="15">
      <c r="B112" s="204" t="s">
        <v>225</v>
      </c>
      <c r="C112" s="266"/>
      <c r="D112" s="267"/>
      <c r="E112" s="267"/>
      <c r="F112" s="267"/>
    </row>
    <row r="113" spans="2:6" ht="15">
      <c r="B113" s="204" t="s">
        <v>226</v>
      </c>
      <c r="C113" s="259">
        <v>0.04</v>
      </c>
      <c r="D113" s="265">
        <f>((D38+D67+D77+D95+D103+D107+D108)/(1-C109))*C113</f>
        <v>242.31214741192741</v>
      </c>
      <c r="E113" s="265">
        <f>((E38+E67+E77+E95+E103+E107+E108)/(1-C109))*C113</f>
        <v>226.74175491587877</v>
      </c>
      <c r="F113" s="265">
        <f>((F38+F67+F77+F95+F103+F107+F108)/(1-C109))*C113</f>
        <v>266.68821890625981</v>
      </c>
    </row>
    <row r="114" spans="2:6" ht="15">
      <c r="B114" s="204" t="s">
        <v>227</v>
      </c>
      <c r="C114" s="268"/>
      <c r="D114" s="269"/>
      <c r="E114" s="269"/>
      <c r="F114" s="269"/>
    </row>
    <row r="115" spans="2:6" ht="15">
      <c r="B115" s="201" t="s">
        <v>165</v>
      </c>
      <c r="C115" s="210"/>
      <c r="D115" s="169">
        <f>SUM(D107:D109)</f>
        <v>1115.6568662255968</v>
      </c>
      <c r="E115" s="169">
        <f>SUM(E107:E109)</f>
        <v>1043.9674545160249</v>
      </c>
      <c r="F115" s="169">
        <f>SUM(F107:F109)</f>
        <v>1227.889504270054</v>
      </c>
    </row>
    <row r="116" spans="2:6">
      <c r="B116" s="179"/>
      <c r="C116" s="198"/>
      <c r="D116" s="180"/>
      <c r="E116" s="101"/>
    </row>
    <row r="117" spans="2:6" ht="16.7" customHeight="1">
      <c r="B117" s="235" t="s">
        <v>228</v>
      </c>
      <c r="C117" s="235"/>
      <c r="D117" s="235"/>
      <c r="E117" s="235"/>
      <c r="F117" s="235"/>
    </row>
    <row r="118" spans="2:6" ht="16.7" customHeight="1">
      <c r="B118" s="236" t="s">
        <v>229</v>
      </c>
      <c r="C118" s="236"/>
      <c r="D118" s="211" t="s">
        <v>157</v>
      </c>
      <c r="E118" s="211" t="s">
        <v>157</v>
      </c>
      <c r="F118" s="211" t="s">
        <v>157</v>
      </c>
    </row>
    <row r="119" spans="2:6" ht="16.7" customHeight="1">
      <c r="B119" s="237" t="s">
        <v>230</v>
      </c>
      <c r="C119" s="237"/>
      <c r="D119" s="158">
        <f>D38</f>
        <v>2022.3059999999998</v>
      </c>
      <c r="E119" s="158">
        <f>E38</f>
        <v>2022.3059999999998</v>
      </c>
      <c r="F119" s="158">
        <f>F38</f>
        <v>2460.4722999999994</v>
      </c>
    </row>
    <row r="120" spans="2:6" ht="16.7" customHeight="1">
      <c r="B120" s="237" t="s">
        <v>231</v>
      </c>
      <c r="C120" s="237"/>
      <c r="D120" s="158">
        <f>D67</f>
        <v>2225.52103115</v>
      </c>
      <c r="E120" s="158">
        <f>E67</f>
        <v>1757.8230311499999</v>
      </c>
      <c r="F120" s="158">
        <f>F67</f>
        <v>1985.6695071499998</v>
      </c>
    </row>
    <row r="121" spans="2:6" ht="16.7" customHeight="1">
      <c r="B121" s="237" t="s">
        <v>232</v>
      </c>
      <c r="C121" s="237"/>
      <c r="D121" s="158">
        <f>D77</f>
        <v>132.46104299999996</v>
      </c>
      <c r="E121" s="158">
        <f>E77</f>
        <v>132.46104299999996</v>
      </c>
      <c r="F121" s="158">
        <f>F77</f>
        <v>161.16093564999994</v>
      </c>
    </row>
    <row r="122" spans="2:6" ht="16.7" customHeight="1">
      <c r="B122" s="237" t="s">
        <v>233</v>
      </c>
      <c r="C122" s="237"/>
      <c r="D122" s="158">
        <f>D95</f>
        <v>474.24041158925513</v>
      </c>
      <c r="E122" s="158">
        <f>E95</f>
        <v>630.43092756427893</v>
      </c>
      <c r="F122" s="158">
        <f>F95</f>
        <v>750.45780891977358</v>
      </c>
    </row>
    <row r="123" spans="2:6" ht="16.7" customHeight="1">
      <c r="B123" s="237" t="s">
        <v>234</v>
      </c>
      <c r="C123" s="237"/>
      <c r="D123" s="158">
        <f>D103</f>
        <v>87.618333333333325</v>
      </c>
      <c r="E123" s="158">
        <f>E103</f>
        <v>81.555416666666659</v>
      </c>
      <c r="F123" s="158">
        <f>F103</f>
        <v>81.555416666666659</v>
      </c>
    </row>
    <row r="124" spans="2:6" ht="16.7" customHeight="1">
      <c r="B124" s="238" t="s">
        <v>235</v>
      </c>
      <c r="C124" s="238"/>
      <c r="D124" s="212">
        <f>SUM(D119:D123)</f>
        <v>4942.1468190725882</v>
      </c>
      <c r="E124" s="212">
        <f>SUM(E119:E123)</f>
        <v>4624.5764183809451</v>
      </c>
      <c r="F124" s="212">
        <f>SUM(F119:F123)</f>
        <v>5439.3159683864405</v>
      </c>
    </row>
    <row r="125" spans="2:6" ht="16.7" customHeight="1">
      <c r="B125" s="237" t="s">
        <v>236</v>
      </c>
      <c r="C125" s="237"/>
      <c r="D125" s="158">
        <f>D115</f>
        <v>1115.6568662255968</v>
      </c>
      <c r="E125" s="158">
        <f>E115</f>
        <v>1043.9674545160249</v>
      </c>
      <c r="F125" s="158">
        <f>F115</f>
        <v>1227.889504270054</v>
      </c>
    </row>
    <row r="126" spans="2:6" ht="15">
      <c r="B126" s="213" t="s">
        <v>237</v>
      </c>
      <c r="C126" s="214"/>
      <c r="D126" s="215">
        <f>ROUND(D119+D120+D121+D122+D123+D125,2)</f>
        <v>6057.8</v>
      </c>
      <c r="E126" s="215">
        <f>ROUND(E119+E120+E121+E122+E123+E125,2)</f>
        <v>5668.54</v>
      </c>
      <c r="F126" s="215">
        <f>ROUND(F119+F120+F121+F122+F123+F125,2)</f>
        <v>6667.21</v>
      </c>
    </row>
    <row r="127" spans="2:6" ht="15">
      <c r="B127" s="170"/>
      <c r="C127" s="202"/>
      <c r="D127" s="121"/>
      <c r="E127" s="216"/>
    </row>
    <row r="128" spans="2:6" ht="18">
      <c r="B128" s="279" t="s">
        <v>238</v>
      </c>
      <c r="C128" s="279"/>
      <c r="D128" s="279"/>
      <c r="E128" s="279"/>
    </row>
    <row r="129" spans="2:5" ht="25.5">
      <c r="B129" s="270" t="s">
        <v>239</v>
      </c>
      <c r="C129" s="270" t="s">
        <v>256</v>
      </c>
      <c r="D129" s="270" t="s">
        <v>257</v>
      </c>
      <c r="E129" s="270" t="s">
        <v>242</v>
      </c>
    </row>
    <row r="130" spans="2:5" ht="21" customHeight="1">
      <c r="B130" s="271" t="s">
        <v>258</v>
      </c>
      <c r="C130" s="272">
        <f>Resumo!E26</f>
        <v>5</v>
      </c>
      <c r="D130" s="273">
        <f>ROUND(D126,2)</f>
        <v>6057.8</v>
      </c>
      <c r="E130" s="274">
        <f t="shared" ref="E130:E135" si="0">C130*D130</f>
        <v>30289</v>
      </c>
    </row>
    <row r="131" spans="2:5" ht="21" customHeight="1">
      <c r="B131" s="271" t="s">
        <v>259</v>
      </c>
      <c r="C131" s="272">
        <f>Resumo!E29</f>
        <v>2</v>
      </c>
      <c r="D131" s="273">
        <f>ROUND(E126*2,2)</f>
        <v>11337.08</v>
      </c>
      <c r="E131" s="274">
        <f t="shared" si="0"/>
        <v>22674.16</v>
      </c>
    </row>
    <row r="132" spans="2:5" ht="21" customHeight="1">
      <c r="B132" s="271" t="s">
        <v>260</v>
      </c>
      <c r="C132" s="272">
        <f>Resumo!E30</f>
        <v>5</v>
      </c>
      <c r="D132" s="273">
        <f>ROUND(F126*2,2)</f>
        <v>13334.42</v>
      </c>
      <c r="E132" s="274">
        <f t="shared" si="0"/>
        <v>66672.100000000006</v>
      </c>
    </row>
    <row r="133" spans="2:5" ht="21" customHeight="1">
      <c r="B133" s="271" t="s">
        <v>261</v>
      </c>
      <c r="C133" s="272">
        <v>0</v>
      </c>
      <c r="D133" s="273">
        <f>ROUND(D126/220,2)</f>
        <v>27.54</v>
      </c>
      <c r="E133" s="274">
        <f t="shared" si="0"/>
        <v>0</v>
      </c>
    </row>
    <row r="134" spans="2:5" ht="21" customHeight="1">
      <c r="B134" s="271" t="s">
        <v>262</v>
      </c>
      <c r="C134" s="275">
        <f>Resumo!E31</f>
        <v>16.666666666666668</v>
      </c>
      <c r="D134" s="273">
        <f>ROUND(E126/220,2)</f>
        <v>25.77</v>
      </c>
      <c r="E134" s="274">
        <f t="shared" si="0"/>
        <v>429.5</v>
      </c>
    </row>
    <row r="135" spans="2:5" ht="21" customHeight="1">
      <c r="B135" s="271" t="s">
        <v>263</v>
      </c>
      <c r="C135" s="272">
        <f>Resumo!E32</f>
        <v>2</v>
      </c>
      <c r="D135" s="273">
        <f>ROUND(F126/220,2)</f>
        <v>30.31</v>
      </c>
      <c r="E135" s="274">
        <f t="shared" si="0"/>
        <v>60.62</v>
      </c>
    </row>
    <row r="136" spans="2:5" ht="19.5" customHeight="1">
      <c r="B136" s="280" t="s">
        <v>245</v>
      </c>
      <c r="C136" s="280"/>
      <c r="D136" s="276"/>
      <c r="E136" s="274">
        <f>SUM(E130:E135)</f>
        <v>120125.38</v>
      </c>
    </row>
    <row r="137" spans="2:5" ht="15">
      <c r="B137" s="170"/>
      <c r="C137" s="202"/>
      <c r="D137" s="121"/>
      <c r="E137" s="216"/>
    </row>
    <row r="138" spans="2:5">
      <c r="E138" s="226"/>
    </row>
    <row r="139" spans="2:5" ht="14.25">
      <c r="B139" s="170" t="s">
        <v>264</v>
      </c>
    </row>
  </sheetData>
  <mergeCells count="35">
    <mergeCell ref="B123:C123"/>
    <mergeCell ref="B124:C124"/>
    <mergeCell ref="B125:C125"/>
    <mergeCell ref="B128:E128"/>
    <mergeCell ref="B136:C136"/>
    <mergeCell ref="B117:F117"/>
    <mergeCell ref="B118:C118"/>
    <mergeCell ref="B119:C119"/>
    <mergeCell ref="B120:C120"/>
    <mergeCell ref="B121:C121"/>
    <mergeCell ref="B122:C122"/>
    <mergeCell ref="B29:F29"/>
    <mergeCell ref="B40:F40"/>
    <mergeCell ref="B69:F69"/>
    <mergeCell ref="B79:F79"/>
    <mergeCell ref="B97:F97"/>
    <mergeCell ref="B105:F105"/>
    <mergeCell ref="C21:F21"/>
    <mergeCell ref="C22:F22"/>
    <mergeCell ref="C23:F23"/>
    <mergeCell ref="C24:F24"/>
    <mergeCell ref="C25:F25"/>
    <mergeCell ref="C26:F26"/>
    <mergeCell ref="C10:F10"/>
    <mergeCell ref="C11:F11"/>
    <mergeCell ref="C12:F12"/>
    <mergeCell ref="B14:F14"/>
    <mergeCell ref="B19:F19"/>
    <mergeCell ref="B20:F20"/>
    <mergeCell ref="B1:E1"/>
    <mergeCell ref="B2:E2"/>
    <mergeCell ref="C4:F4"/>
    <mergeCell ref="C5:F5"/>
    <mergeCell ref="C6:F6"/>
    <mergeCell ref="C9:F9"/>
  </mergeCells>
  <pageMargins left="0.78740157480314998" right="0.78740157480314998" top="0.78740157480314898" bottom="0.78740157480314898" header="0.511811023622047" footer="0.511811023622047"/>
  <pageSetup paperSize="0" scale="65" fitToWidth="0" fitToHeight="0" orientation="portrait" horizontalDpi="0" verticalDpi="0" copies="0"/>
  <colBreaks count="1" manualBreakCount="1">
    <brk id="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A7668-30E1-4452-AD2B-9A37E4913088}">
  <dimension ref="B1:H138"/>
  <sheetViews>
    <sheetView workbookViewId="0"/>
  </sheetViews>
  <sheetFormatPr defaultRowHeight="12.75"/>
  <cols>
    <col min="1" max="1" width="6.140625" customWidth="1"/>
    <col min="2" max="2" width="73.140625" customWidth="1"/>
    <col min="3" max="3" width="15.28515625" customWidth="1"/>
    <col min="4" max="4" width="14.42578125" customWidth="1"/>
    <col min="5" max="5" width="15.5703125" customWidth="1"/>
    <col min="6" max="6" width="12.28515625" customWidth="1"/>
    <col min="7" max="8" width="10.7109375" customWidth="1"/>
    <col min="9" max="1024" width="8.5703125" customWidth="1"/>
    <col min="1025" max="1025" width="9.140625" customWidth="1"/>
  </cols>
  <sheetData>
    <row r="1" spans="2:6" ht="23.25">
      <c r="B1" s="227" t="s">
        <v>0</v>
      </c>
      <c r="C1" s="227"/>
      <c r="D1" s="227"/>
      <c r="E1" s="227"/>
    </row>
    <row r="2" spans="2:6" ht="16.7" customHeight="1">
      <c r="B2" s="228" t="s">
        <v>119</v>
      </c>
      <c r="C2" s="228"/>
      <c r="D2" s="228"/>
      <c r="E2" s="228"/>
    </row>
    <row r="3" spans="2:6" ht="14.25">
      <c r="B3" s="100"/>
      <c r="C3" s="100"/>
      <c r="D3" s="100"/>
      <c r="E3" s="101"/>
    </row>
    <row r="4" spans="2:6" ht="14.25">
      <c r="B4" s="102" t="s">
        <v>120</v>
      </c>
      <c r="C4" s="229" t="str">
        <f>Boa_Vista!C4</f>
        <v>35014.334990/2025-79</v>
      </c>
      <c r="D4" s="229"/>
      <c r="E4" s="229"/>
      <c r="F4" s="229"/>
    </row>
    <row r="5" spans="2:6" ht="14.25">
      <c r="B5" s="102" t="s">
        <v>122</v>
      </c>
      <c r="C5" s="229" t="str">
        <f>Boa_Vista!C5</f>
        <v>__/____</v>
      </c>
      <c r="D5" s="229"/>
      <c r="E5" s="229"/>
      <c r="F5" s="229"/>
    </row>
    <row r="6" spans="2:6" ht="14.25">
      <c r="B6" s="102" t="s">
        <v>124</v>
      </c>
      <c r="C6" s="229" t="str">
        <f>Boa_Vista!C6</f>
        <v>__/__/____</v>
      </c>
      <c r="D6" s="229"/>
      <c r="E6" s="229"/>
      <c r="F6" s="229"/>
    </row>
    <row r="7" spans="2:6" ht="14.25">
      <c r="B7" s="102"/>
      <c r="C7" s="100"/>
      <c r="D7" s="100"/>
      <c r="E7" s="101"/>
    </row>
    <row r="8" spans="2:6" ht="15">
      <c r="B8" s="103" t="s">
        <v>126</v>
      </c>
      <c r="C8" s="104"/>
      <c r="D8" s="105"/>
      <c r="E8" s="101"/>
    </row>
    <row r="9" spans="2:6" ht="15.75">
      <c r="B9" s="106" t="s">
        <v>127</v>
      </c>
      <c r="C9" s="278" t="str">
        <f>Boa_Vista!C9</f>
        <v>__/__/____</v>
      </c>
      <c r="D9" s="278"/>
      <c r="E9" s="278"/>
      <c r="F9" s="278"/>
    </row>
    <row r="10" spans="2:6" ht="15.75">
      <c r="B10" s="106" t="s">
        <v>128</v>
      </c>
      <c r="C10" s="231" t="s">
        <v>36</v>
      </c>
      <c r="D10" s="231"/>
      <c r="E10" s="231"/>
      <c r="F10" s="231"/>
    </row>
    <row r="11" spans="2:6" ht="15.75">
      <c r="B11" s="107" t="s">
        <v>129</v>
      </c>
      <c r="C11" s="278" t="str">
        <f>Boa_Vista!C11</f>
        <v>2025/2025</v>
      </c>
      <c r="D11" s="278"/>
      <c r="E11" s="278"/>
      <c r="F11" s="278"/>
    </row>
    <row r="12" spans="2:6" ht="15.75">
      <c r="B12" s="106" t="s">
        <v>131</v>
      </c>
      <c r="C12" s="278">
        <f>Boa_Vista!C12</f>
        <v>12</v>
      </c>
      <c r="D12" s="278"/>
      <c r="E12" s="278"/>
      <c r="F12" s="278"/>
    </row>
    <row r="13" spans="2:6" ht="14.25">
      <c r="B13" s="108"/>
      <c r="C13" s="109"/>
      <c r="D13" s="110"/>
      <c r="E13" s="101"/>
    </row>
    <row r="14" spans="2:6" ht="14.25" customHeight="1">
      <c r="B14" s="232" t="s">
        <v>132</v>
      </c>
      <c r="C14" s="232"/>
      <c r="D14" s="232"/>
      <c r="E14" s="232"/>
      <c r="F14" s="232"/>
    </row>
    <row r="15" spans="2:6" ht="57">
      <c r="B15" s="111" t="s">
        <v>133</v>
      </c>
      <c r="C15" s="111" t="s">
        <v>134</v>
      </c>
      <c r="D15" s="111" t="s">
        <v>247</v>
      </c>
      <c r="E15" s="111" t="s">
        <v>248</v>
      </c>
      <c r="F15" s="111" t="s">
        <v>249</v>
      </c>
    </row>
    <row r="16" spans="2:6" ht="60">
      <c r="B16" s="112" t="s">
        <v>137</v>
      </c>
      <c r="C16" s="113" t="s">
        <v>250</v>
      </c>
      <c r="D16" s="113">
        <f>Resumo!E36</f>
        <v>1</v>
      </c>
      <c r="E16" s="113">
        <f>Resumo!E37</f>
        <v>0</v>
      </c>
      <c r="F16" s="113">
        <f>Resumo!E38</f>
        <v>0</v>
      </c>
    </row>
    <row r="17" spans="2:6" ht="15">
      <c r="B17" s="115"/>
      <c r="C17" s="116"/>
      <c r="D17" s="105"/>
      <c r="E17" s="101"/>
    </row>
    <row r="18" spans="2:6" ht="15">
      <c r="B18" s="115"/>
      <c r="C18" s="116"/>
      <c r="D18" s="105"/>
      <c r="E18" s="101"/>
    </row>
    <row r="19" spans="2:6" ht="16.7" customHeight="1">
      <c r="B19" s="232" t="s">
        <v>139</v>
      </c>
      <c r="C19" s="232"/>
      <c r="D19" s="232"/>
      <c r="E19" s="232"/>
      <c r="F19" s="232"/>
    </row>
    <row r="20" spans="2:6" ht="16.7" customHeight="1">
      <c r="B20" s="233" t="s">
        <v>140</v>
      </c>
      <c r="C20" s="233"/>
      <c r="D20" s="233"/>
      <c r="E20" s="233"/>
      <c r="F20" s="233"/>
    </row>
    <row r="21" spans="2:6" ht="15.75">
      <c r="B21" s="117" t="s">
        <v>141</v>
      </c>
      <c r="C21" s="231" t="s">
        <v>142</v>
      </c>
      <c r="D21" s="231"/>
      <c r="E21" s="231"/>
      <c r="F21" s="231"/>
    </row>
    <row r="22" spans="2:6" ht="15.75">
      <c r="B22" s="117" t="s">
        <v>143</v>
      </c>
      <c r="C22" s="231" t="s">
        <v>144</v>
      </c>
      <c r="D22" s="231"/>
      <c r="E22" s="231"/>
      <c r="F22" s="231"/>
    </row>
    <row r="23" spans="2:6" ht="15.75">
      <c r="B23" s="118" t="s">
        <v>145</v>
      </c>
      <c r="C23" s="234">
        <f>Boa_Vista!C23</f>
        <v>1555.62</v>
      </c>
      <c r="D23" s="234"/>
      <c r="E23" s="234"/>
      <c r="F23" s="234"/>
    </row>
    <row r="24" spans="2:6" ht="15.75">
      <c r="B24" s="118" t="s">
        <v>146</v>
      </c>
      <c r="C24" s="231" t="s">
        <v>147</v>
      </c>
      <c r="D24" s="231"/>
      <c r="E24" s="231"/>
      <c r="F24" s="231"/>
    </row>
    <row r="25" spans="2:6" ht="15.75">
      <c r="B25" s="118" t="s">
        <v>148</v>
      </c>
      <c r="C25" s="231" t="str">
        <f>Boa_Vista!C25</f>
        <v>01 de janeiro</v>
      </c>
      <c r="D25" s="231"/>
      <c r="E25" s="231"/>
      <c r="F25" s="231"/>
    </row>
    <row r="26" spans="2:6" ht="15.75">
      <c r="B26" s="118" t="s">
        <v>150</v>
      </c>
      <c r="C26" s="231" t="str">
        <f>Boa_Vista!C26</f>
        <v>RR000015/2025</v>
      </c>
      <c r="D26" s="231"/>
      <c r="E26" s="231"/>
      <c r="F26" s="231"/>
    </row>
    <row r="27" spans="2:6" ht="15">
      <c r="B27" s="119"/>
      <c r="C27" s="120"/>
      <c r="D27" s="121"/>
      <c r="E27" s="101"/>
    </row>
    <row r="28" spans="2:6" ht="42.75">
      <c r="B28" s="122" t="s">
        <v>152</v>
      </c>
      <c r="C28" s="242" t="s">
        <v>153</v>
      </c>
      <c r="D28" s="242" t="s">
        <v>251</v>
      </c>
      <c r="E28" s="242" t="s">
        <v>252</v>
      </c>
      <c r="F28" s="242" t="s">
        <v>253</v>
      </c>
    </row>
    <row r="29" spans="2:6" ht="16.7" customHeight="1">
      <c r="B29" s="232" t="s">
        <v>154</v>
      </c>
      <c r="C29" s="232"/>
      <c r="D29" s="232"/>
      <c r="E29" s="232"/>
      <c r="F29" s="232"/>
    </row>
    <row r="30" spans="2:6" ht="28.5">
      <c r="B30" s="124" t="s">
        <v>155</v>
      </c>
      <c r="C30" s="125" t="s">
        <v>156</v>
      </c>
      <c r="D30" s="126" t="s">
        <v>157</v>
      </c>
      <c r="E30" s="126" t="s">
        <v>157</v>
      </c>
      <c r="F30" s="126" t="s">
        <v>157</v>
      </c>
    </row>
    <row r="31" spans="2:6" ht="15">
      <c r="B31" s="127" t="s">
        <v>158</v>
      </c>
      <c r="C31" s="243">
        <f>C23</f>
        <v>1555.62</v>
      </c>
      <c r="D31" s="243">
        <f>C31</f>
        <v>1555.62</v>
      </c>
      <c r="E31" s="243">
        <f>C31</f>
        <v>1555.62</v>
      </c>
      <c r="F31" s="243">
        <f>C31</f>
        <v>1555.62</v>
      </c>
    </row>
    <row r="32" spans="2:6" ht="15">
      <c r="B32" s="127" t="s">
        <v>159</v>
      </c>
      <c r="C32" s="281">
        <v>0.3</v>
      </c>
      <c r="D32" s="246">
        <f>D31*C32</f>
        <v>466.68599999999992</v>
      </c>
      <c r="E32" s="246">
        <f>E31*C32</f>
        <v>466.68599999999992</v>
      </c>
      <c r="F32" s="246">
        <f>F31*C32</f>
        <v>466.68599999999992</v>
      </c>
    </row>
    <row r="33" spans="2:6" ht="15">
      <c r="B33" s="127" t="s">
        <v>160</v>
      </c>
      <c r="C33" s="282"/>
      <c r="D33" s="246"/>
      <c r="E33" s="246"/>
      <c r="F33" s="246"/>
    </row>
    <row r="34" spans="2:6" ht="15">
      <c r="B34" s="127" t="s">
        <v>161</v>
      </c>
      <c r="C34" s="281">
        <v>0.2</v>
      </c>
      <c r="D34" s="246">
        <v>0</v>
      </c>
      <c r="E34" s="246">
        <v>0</v>
      </c>
      <c r="F34" s="246">
        <f>((F31+F32)*(7/12)*C34)</f>
        <v>235.9357</v>
      </c>
    </row>
    <row r="35" spans="2:6" ht="15">
      <c r="B35" s="127" t="s">
        <v>162</v>
      </c>
      <c r="C35" s="281">
        <v>1.2</v>
      </c>
      <c r="D35" s="246">
        <v>0</v>
      </c>
      <c r="E35" s="246">
        <v>0</v>
      </c>
      <c r="F35" s="246">
        <f>(F31+F32)*(1/12)*C35</f>
        <v>202.23059999999995</v>
      </c>
    </row>
    <row r="36" spans="2:6" ht="15">
      <c r="B36" s="127" t="s">
        <v>163</v>
      </c>
      <c r="C36" s="249"/>
      <c r="D36" s="246">
        <v>0</v>
      </c>
      <c r="E36" s="246">
        <v>0</v>
      </c>
      <c r="F36" s="246">
        <v>0</v>
      </c>
    </row>
    <row r="37" spans="2:6" ht="15">
      <c r="B37" s="127" t="s">
        <v>164</v>
      </c>
      <c r="C37" s="249"/>
      <c r="D37" s="246">
        <v>0</v>
      </c>
      <c r="E37" s="246">
        <v>0</v>
      </c>
      <c r="F37" s="246">
        <v>0</v>
      </c>
    </row>
    <row r="38" spans="2:6" ht="14.25">
      <c r="B38" s="136" t="s">
        <v>165</v>
      </c>
      <c r="C38" s="137"/>
      <c r="D38" s="138">
        <f>SUM(D31:D37)</f>
        <v>2022.3059999999998</v>
      </c>
      <c r="E38" s="138">
        <f>SUM(E31:E37)</f>
        <v>2022.3059999999998</v>
      </c>
      <c r="F38" s="138">
        <f>SUM(F31:F37)</f>
        <v>2460.4722999999994</v>
      </c>
    </row>
    <row r="39" spans="2:6" ht="15">
      <c r="B39" s="119"/>
      <c r="C39" s="120"/>
      <c r="D39" s="121"/>
      <c r="E39" s="101"/>
    </row>
    <row r="40" spans="2:6" ht="16.7" customHeight="1">
      <c r="B40" s="232" t="s">
        <v>166</v>
      </c>
      <c r="C40" s="232"/>
      <c r="D40" s="232"/>
      <c r="E40" s="232"/>
      <c r="F40" s="232"/>
    </row>
    <row r="41" spans="2:6" ht="14.25">
      <c r="B41" s="139" t="s">
        <v>167</v>
      </c>
      <c r="C41" s="140" t="s">
        <v>168</v>
      </c>
      <c r="D41" s="140" t="s">
        <v>157</v>
      </c>
      <c r="E41" s="140" t="s">
        <v>157</v>
      </c>
      <c r="F41" s="140" t="s">
        <v>157</v>
      </c>
    </row>
    <row r="42" spans="2:6" ht="15">
      <c r="B42" s="127" t="s">
        <v>169</v>
      </c>
      <c r="C42" s="250">
        <f>1/12</f>
        <v>8.3333333333333329E-2</v>
      </c>
      <c r="D42" s="190">
        <f>C42*D38</f>
        <v>168.52549999999997</v>
      </c>
      <c r="E42" s="190">
        <f>C42*E38</f>
        <v>168.52549999999997</v>
      </c>
      <c r="F42" s="190">
        <f>C42*F38</f>
        <v>205.03935833333327</v>
      </c>
    </row>
    <row r="43" spans="2:6" ht="45">
      <c r="B43" s="127" t="s">
        <v>170</v>
      </c>
      <c r="C43" s="250">
        <f>C42/3</f>
        <v>2.7777777777777776E-2</v>
      </c>
      <c r="D43" s="190">
        <f>C43*D38</f>
        <v>56.175166666666655</v>
      </c>
      <c r="E43" s="190">
        <f>C43*E38</f>
        <v>56.175166666666655</v>
      </c>
      <c r="F43" s="190">
        <f>C43*F38</f>
        <v>68.346452777777756</v>
      </c>
    </row>
    <row r="44" spans="2:6" ht="14.25">
      <c r="B44" s="143" t="s">
        <v>165</v>
      </c>
      <c r="C44" s="144">
        <f>SUM(C42:C43)</f>
        <v>0.1111111111111111</v>
      </c>
      <c r="D44" s="145">
        <f>SUM(D42:D43)</f>
        <v>224.70066666666662</v>
      </c>
      <c r="E44" s="145">
        <f>SUM(E42:E43)</f>
        <v>224.70066666666662</v>
      </c>
      <c r="F44" s="145">
        <f>SUM(F42:F43)</f>
        <v>273.38581111111102</v>
      </c>
    </row>
    <row r="45" spans="2:6" ht="14.25">
      <c r="B45" s="146" t="s">
        <v>171</v>
      </c>
      <c r="C45" s="140" t="s">
        <v>168</v>
      </c>
      <c r="D45" s="140" t="s">
        <v>157</v>
      </c>
      <c r="E45" s="140" t="s">
        <v>157</v>
      </c>
      <c r="F45" s="140" t="s">
        <v>157</v>
      </c>
    </row>
    <row r="46" spans="2:6" ht="15">
      <c r="B46" s="127" t="s">
        <v>172</v>
      </c>
      <c r="C46" s="250">
        <v>0.2</v>
      </c>
      <c r="D46" s="251">
        <f>C46*(D38+D44)</f>
        <v>449.40133333333324</v>
      </c>
      <c r="E46" s="251">
        <f>C46*(E38+E44)</f>
        <v>449.40133333333324</v>
      </c>
      <c r="F46" s="251">
        <f>C46*(F38+F44)</f>
        <v>546.77162222222216</v>
      </c>
    </row>
    <row r="47" spans="2:6" ht="15">
      <c r="B47" s="127" t="s">
        <v>173</v>
      </c>
      <c r="C47" s="250">
        <v>2.5000000000000001E-2</v>
      </c>
      <c r="D47" s="251">
        <f>C47*(D38+D44)</f>
        <v>56.175166666666655</v>
      </c>
      <c r="E47" s="251">
        <f>C47*(E38+E44)</f>
        <v>56.175166666666655</v>
      </c>
      <c r="F47" s="251">
        <f>C47*(F38+F44)</f>
        <v>68.34645277777777</v>
      </c>
    </row>
    <row r="48" spans="2:6" ht="15">
      <c r="B48" s="127" t="s">
        <v>174</v>
      </c>
      <c r="C48" s="250">
        <v>0.03</v>
      </c>
      <c r="D48" s="251">
        <f>C48*(D38+D44)</f>
        <v>67.410199999999989</v>
      </c>
      <c r="E48" s="251">
        <f>C48*(E38+E44)</f>
        <v>67.410199999999989</v>
      </c>
      <c r="F48" s="251">
        <f>C48*(F38+F44)</f>
        <v>82.015743333333319</v>
      </c>
    </row>
    <row r="49" spans="2:6" ht="15">
      <c r="B49" s="127" t="s">
        <v>175</v>
      </c>
      <c r="C49" s="250">
        <v>1.4999999999999999E-2</v>
      </c>
      <c r="D49" s="251">
        <f>C49*(D38+D44)</f>
        <v>33.705099999999995</v>
      </c>
      <c r="E49" s="251">
        <f>C49*(E38+E44)</f>
        <v>33.705099999999995</v>
      </c>
      <c r="F49" s="251">
        <f>C49*(F38+F44)</f>
        <v>41.007871666666659</v>
      </c>
    </row>
    <row r="50" spans="2:6" ht="15">
      <c r="B50" s="127" t="s">
        <v>176</v>
      </c>
      <c r="C50" s="250">
        <v>0.01</v>
      </c>
      <c r="D50" s="251">
        <f>C50*(D38+D44)</f>
        <v>22.470066666666664</v>
      </c>
      <c r="E50" s="251">
        <f>C50*(E38+E44)</f>
        <v>22.470066666666664</v>
      </c>
      <c r="F50" s="251">
        <f>C50*(F38+F44)</f>
        <v>27.338581111111107</v>
      </c>
    </row>
    <row r="51" spans="2:6" ht="15">
      <c r="B51" s="127" t="s">
        <v>177</v>
      </c>
      <c r="C51" s="250">
        <v>6.0000000000000001E-3</v>
      </c>
      <c r="D51" s="251">
        <f>C51*(D38+D44)</f>
        <v>13.482039999999998</v>
      </c>
      <c r="E51" s="251">
        <f>C51*(E38+E44)</f>
        <v>13.482039999999998</v>
      </c>
      <c r="F51" s="251">
        <f>C51*(F38+F44)</f>
        <v>16.403148666666663</v>
      </c>
    </row>
    <row r="52" spans="2:6" ht="15">
      <c r="B52" s="127" t="s">
        <v>178</v>
      </c>
      <c r="C52" s="250">
        <v>2E-3</v>
      </c>
      <c r="D52" s="251">
        <f>C52*(D38+D44)</f>
        <v>4.4940133333333323</v>
      </c>
      <c r="E52" s="251">
        <f>C52*(E38+E44)</f>
        <v>4.4940133333333323</v>
      </c>
      <c r="F52" s="251">
        <f>C52*(F38+F44)</f>
        <v>5.4677162222222213</v>
      </c>
    </row>
    <row r="53" spans="2:6" ht="15">
      <c r="B53" s="127" t="s">
        <v>179</v>
      </c>
      <c r="C53" s="250">
        <v>0.08</v>
      </c>
      <c r="D53" s="251">
        <f>C53*(D38+D44)</f>
        <v>179.76053333333331</v>
      </c>
      <c r="E53" s="251">
        <f>C53*(E38+E44)</f>
        <v>179.76053333333331</v>
      </c>
      <c r="F53" s="251">
        <f>C53*(F38+F44)</f>
        <v>218.70864888888886</v>
      </c>
    </row>
    <row r="54" spans="2:6" ht="14.25">
      <c r="B54" s="143" t="s">
        <v>165</v>
      </c>
      <c r="C54" s="144">
        <f>SUM(C46:C53)</f>
        <v>0.36800000000000005</v>
      </c>
      <c r="D54" s="148">
        <f>SUM(D46:D53)</f>
        <v>826.89845333333324</v>
      </c>
      <c r="E54" s="148">
        <f>SUM(E46:E53)</f>
        <v>826.89845333333324</v>
      </c>
      <c r="F54" s="148">
        <f>SUM(F46:F53)</f>
        <v>1006.0597848888888</v>
      </c>
    </row>
    <row r="55" spans="2:6" ht="28.5">
      <c r="B55" s="149" t="s">
        <v>180</v>
      </c>
      <c r="C55" s="150" t="s">
        <v>156</v>
      </c>
      <c r="D55" s="140" t="s">
        <v>157</v>
      </c>
      <c r="E55" s="140" t="s">
        <v>157</v>
      </c>
      <c r="F55" s="140" t="s">
        <v>157</v>
      </c>
    </row>
    <row r="56" spans="2:6" ht="15">
      <c r="B56" s="127" t="s">
        <v>181</v>
      </c>
      <c r="C56" s="252">
        <v>0</v>
      </c>
      <c r="D56" s="243">
        <f>IF((C56*26*2)-(D31*0.06)&lt;0,0,(C56*26*2)-(D31*0.06))</f>
        <v>0</v>
      </c>
      <c r="E56" s="243">
        <f>IF((C56*15*2)-(E31*0.06)&lt;0,0,(C56*15*2)-(E31*0.06))</f>
        <v>0</v>
      </c>
      <c r="F56" s="243">
        <f>IF((C56*15*2)-(F31*0.06)&lt;0,0,(C56*15*2)-(F31*0.06))</f>
        <v>0</v>
      </c>
    </row>
    <row r="57" spans="2:6" ht="15">
      <c r="B57" s="127" t="s">
        <v>182</v>
      </c>
      <c r="C57" s="253">
        <f>Memória_de_Cálculo!C6</f>
        <v>35.020000000000003</v>
      </c>
      <c r="D57" s="254">
        <f>Memória_de_Cálculo!E6</f>
        <v>819.46800000000007</v>
      </c>
      <c r="E57" s="254">
        <f>Memória_de_Cálculo!E7</f>
        <v>472.77000000000004</v>
      </c>
      <c r="F57" s="254">
        <f>Memória_de_Cálculo!E8</f>
        <v>472.77000000000004</v>
      </c>
    </row>
    <row r="58" spans="2:6" ht="15">
      <c r="B58" s="127" t="s">
        <v>183</v>
      </c>
      <c r="C58" s="252">
        <f>Boa_Vista!C58</f>
        <v>138.02000000000001</v>
      </c>
      <c r="D58" s="254">
        <f>C58</f>
        <v>138.02000000000001</v>
      </c>
      <c r="E58" s="254">
        <f>C58</f>
        <v>138.02000000000001</v>
      </c>
      <c r="F58" s="254">
        <f>C58</f>
        <v>138.02000000000001</v>
      </c>
    </row>
    <row r="59" spans="2:6" ht="15">
      <c r="B59" s="127" t="s">
        <v>184</v>
      </c>
      <c r="C59" s="255">
        <v>9.5500000000000004E-5</v>
      </c>
      <c r="D59" s="256">
        <f>((D31*(60+5))+1200)*C59</f>
        <v>9.7711111499999994</v>
      </c>
      <c r="E59" s="256">
        <f>((E31*(60+5))+1200)*C59</f>
        <v>9.7711111499999994</v>
      </c>
      <c r="F59" s="256">
        <f>((F31*(60+5))+1200)*C59</f>
        <v>9.7711111499999994</v>
      </c>
    </row>
    <row r="60" spans="2:6" ht="15">
      <c r="B60" s="127" t="s">
        <v>254</v>
      </c>
      <c r="C60" s="252">
        <f>Boa_Vista!C60</f>
        <v>14</v>
      </c>
      <c r="D60" s="256">
        <f>C60</f>
        <v>14</v>
      </c>
      <c r="E60" s="256">
        <f>C60</f>
        <v>14</v>
      </c>
      <c r="F60" s="256">
        <f>C60</f>
        <v>14</v>
      </c>
    </row>
    <row r="61" spans="2:6" ht="15">
      <c r="B61" s="127" t="s">
        <v>186</v>
      </c>
      <c r="C61" s="252"/>
      <c r="D61" s="256">
        <f>C61</f>
        <v>0</v>
      </c>
      <c r="E61" s="256">
        <f>C61</f>
        <v>0</v>
      </c>
      <c r="F61" s="256">
        <f>C61</f>
        <v>0</v>
      </c>
    </row>
    <row r="62" spans="2:6" ht="14.25">
      <c r="B62" s="143" t="s">
        <v>165</v>
      </c>
      <c r="C62" s="158"/>
      <c r="D62" s="159">
        <f>SUM(D56:D61)</f>
        <v>981.25911115000008</v>
      </c>
      <c r="E62" s="159">
        <f>SUM(E56:E61)</f>
        <v>634.5611111500001</v>
      </c>
      <c r="F62" s="159">
        <f>SUM(F56:F61)</f>
        <v>634.5611111500001</v>
      </c>
    </row>
    <row r="63" spans="2:6" ht="14.25">
      <c r="B63" s="160" t="s">
        <v>187</v>
      </c>
      <c r="C63" s="161" t="s">
        <v>168</v>
      </c>
      <c r="D63" s="126" t="s">
        <v>157</v>
      </c>
      <c r="E63" s="126" t="s">
        <v>157</v>
      </c>
      <c r="F63" s="126" t="s">
        <v>157</v>
      </c>
    </row>
    <row r="64" spans="2:6" ht="15">
      <c r="B64" s="162" t="s">
        <v>188</v>
      </c>
      <c r="C64" s="258">
        <f>C44</f>
        <v>0.1111111111111111</v>
      </c>
      <c r="D64" s="190">
        <f>D44</f>
        <v>224.70066666666662</v>
      </c>
      <c r="E64" s="190">
        <f>E44</f>
        <v>224.70066666666662</v>
      </c>
      <c r="F64" s="190">
        <f>F44</f>
        <v>273.38581111111102</v>
      </c>
    </row>
    <row r="65" spans="2:7" ht="15">
      <c r="B65" s="165" t="s">
        <v>189</v>
      </c>
      <c r="C65" s="258">
        <f>C54</f>
        <v>0.36800000000000005</v>
      </c>
      <c r="D65" s="190">
        <f>D54</f>
        <v>826.89845333333324</v>
      </c>
      <c r="E65" s="190">
        <f>E54</f>
        <v>826.89845333333324</v>
      </c>
      <c r="F65" s="190">
        <f>F54</f>
        <v>1006.0597848888888</v>
      </c>
    </row>
    <row r="66" spans="2:7" ht="15">
      <c r="B66" s="165" t="s">
        <v>190</v>
      </c>
      <c r="C66" s="190">
        <v>0</v>
      </c>
      <c r="D66" s="190">
        <f>D62</f>
        <v>981.25911115000008</v>
      </c>
      <c r="E66" s="190">
        <f>E62</f>
        <v>634.5611111500001</v>
      </c>
      <c r="F66" s="190">
        <f>F62</f>
        <v>634.5611111500001</v>
      </c>
    </row>
    <row r="67" spans="2:7" ht="14.25">
      <c r="B67" s="136" t="s">
        <v>165</v>
      </c>
      <c r="C67" s="168"/>
      <c r="D67" s="169">
        <f>SUM(D64:D66)</f>
        <v>2032.8582311499999</v>
      </c>
      <c r="E67" s="169">
        <f>SUM(E64:E66)</f>
        <v>1686.1602311500001</v>
      </c>
      <c r="F67" s="169">
        <f>SUM(F64:F66)</f>
        <v>1914.0067071499998</v>
      </c>
    </row>
    <row r="68" spans="2:7" ht="14.25">
      <c r="B68" s="170"/>
      <c r="C68" s="121"/>
      <c r="D68" s="121"/>
      <c r="E68" s="101"/>
    </row>
    <row r="69" spans="2:7" ht="16.7" customHeight="1">
      <c r="B69" s="232" t="s">
        <v>191</v>
      </c>
      <c r="C69" s="232"/>
      <c r="D69" s="232"/>
      <c r="E69" s="232"/>
      <c r="F69" s="232"/>
    </row>
    <row r="70" spans="2:7" ht="14.25">
      <c r="B70" s="171" t="s">
        <v>192</v>
      </c>
      <c r="C70" s="172" t="s">
        <v>168</v>
      </c>
      <c r="D70" s="173" t="s">
        <v>157</v>
      </c>
      <c r="E70" s="173" t="s">
        <v>157</v>
      </c>
      <c r="F70" s="173" t="s">
        <v>157</v>
      </c>
    </row>
    <row r="71" spans="2:7" ht="27.75">
      <c r="B71" s="127" t="s">
        <v>193</v>
      </c>
      <c r="C71" s="259">
        <f>1/12*0.05</f>
        <v>4.1666666666666666E-3</v>
      </c>
      <c r="D71" s="190">
        <f>C71*D38</f>
        <v>8.4262749999999986</v>
      </c>
      <c r="E71" s="190">
        <f>C71*E38</f>
        <v>8.4262749999999986</v>
      </c>
      <c r="F71" s="190">
        <f>C71*F38</f>
        <v>10.251967916666665</v>
      </c>
    </row>
    <row r="72" spans="2:7" ht="15">
      <c r="B72" s="175" t="s">
        <v>194</v>
      </c>
      <c r="C72" s="259">
        <f>C53*C71</f>
        <v>3.3333333333333332E-4</v>
      </c>
      <c r="D72" s="190">
        <f>C72*D38</f>
        <v>0.67410199999999987</v>
      </c>
      <c r="E72" s="190">
        <f>C72*E38</f>
        <v>0.67410199999999987</v>
      </c>
      <c r="F72" s="190">
        <f>C72*F38</f>
        <v>0.82015743333333313</v>
      </c>
    </row>
    <row r="73" spans="2:7" ht="15">
      <c r="B73" s="127" t="s">
        <v>195</v>
      </c>
      <c r="C73" s="259">
        <v>0</v>
      </c>
      <c r="D73" s="190">
        <f>C73*D38</f>
        <v>0</v>
      </c>
      <c r="E73" s="190">
        <f>C73*E38</f>
        <v>0</v>
      </c>
      <c r="F73" s="190">
        <f>C73*F38</f>
        <v>0</v>
      </c>
    </row>
    <row r="74" spans="2:7" ht="27.75">
      <c r="B74" s="127" t="s">
        <v>196</v>
      </c>
      <c r="C74" s="259">
        <f>1/30*7/12</f>
        <v>1.9444444444444445E-2</v>
      </c>
      <c r="D74" s="190">
        <f>C74*D38</f>
        <v>39.322616666666661</v>
      </c>
      <c r="E74" s="190">
        <f>C74*E38</f>
        <v>39.322616666666661</v>
      </c>
      <c r="F74" s="190">
        <f>C74*F38</f>
        <v>47.842516944444434</v>
      </c>
    </row>
    <row r="75" spans="2:7" ht="30">
      <c r="B75" s="127" t="s">
        <v>197</v>
      </c>
      <c r="C75" s="259">
        <f>C54*C74</f>
        <v>7.1555555555555565E-3</v>
      </c>
      <c r="D75" s="190">
        <f>C75*D38</f>
        <v>14.470722933333334</v>
      </c>
      <c r="E75" s="190">
        <f>C75*E38</f>
        <v>14.470722933333334</v>
      </c>
      <c r="F75" s="190">
        <f>C75*F38</f>
        <v>17.606046235555553</v>
      </c>
      <c r="G75" s="176"/>
    </row>
    <row r="76" spans="2:7" ht="30">
      <c r="B76" s="127" t="s">
        <v>198</v>
      </c>
      <c r="C76" s="260">
        <f>0.08*0.4*0.9*(1+1/12+1/12+1/3*1/12)</f>
        <v>3.4399999999999993E-2</v>
      </c>
      <c r="D76" s="190">
        <f>C76*D38</f>
        <v>69.567326399999985</v>
      </c>
      <c r="E76" s="190">
        <f>C76*E38</f>
        <v>69.567326399999985</v>
      </c>
      <c r="F76" s="190">
        <f>C76*F38</f>
        <v>84.64024711999997</v>
      </c>
    </row>
    <row r="77" spans="2:7" ht="14.25">
      <c r="B77" s="136" t="s">
        <v>165</v>
      </c>
      <c r="C77" s="178">
        <f>SUM(C71:C76)</f>
        <v>6.5500000000000003E-2</v>
      </c>
      <c r="D77" s="169">
        <f>SUM(D71:D76)</f>
        <v>132.46104299999996</v>
      </c>
      <c r="E77" s="169">
        <f>SUM(E71:E76)</f>
        <v>132.46104299999996</v>
      </c>
      <c r="F77" s="169">
        <f>SUM(F71:F76)</f>
        <v>161.16093564999994</v>
      </c>
    </row>
    <row r="78" spans="2:7">
      <c r="B78" s="179"/>
      <c r="C78" s="180"/>
      <c r="D78" s="180"/>
      <c r="E78" s="101"/>
    </row>
    <row r="79" spans="2:7" ht="16.7" customHeight="1">
      <c r="B79" s="232" t="s">
        <v>199</v>
      </c>
      <c r="C79" s="232"/>
      <c r="D79" s="232"/>
      <c r="E79" s="232"/>
      <c r="F79" s="232"/>
    </row>
    <row r="80" spans="2:7" ht="14.25">
      <c r="B80" s="181" t="s">
        <v>200</v>
      </c>
      <c r="C80" s="182" t="s">
        <v>168</v>
      </c>
      <c r="D80" s="183" t="s">
        <v>157</v>
      </c>
      <c r="E80" s="183" t="s">
        <v>157</v>
      </c>
      <c r="F80" s="183" t="s">
        <v>157</v>
      </c>
    </row>
    <row r="81" spans="2:6" ht="15">
      <c r="B81" s="127" t="s">
        <v>201</v>
      </c>
      <c r="C81" s="250">
        <f>Boa_Vista!C81</f>
        <v>8.3333333333333329E-2</v>
      </c>
      <c r="D81" s="251">
        <f>C81*(D38+D67+D77)</f>
        <v>348.96877284583331</v>
      </c>
      <c r="E81" s="251">
        <f>C81*(E38+E67+E77)</f>
        <v>320.07727284583325</v>
      </c>
      <c r="F81" s="251">
        <f>C81*(F38+F67+F77)</f>
        <v>377.96999523333329</v>
      </c>
    </row>
    <row r="82" spans="2:6" ht="15">
      <c r="B82" s="127" t="s">
        <v>202</v>
      </c>
      <c r="C82" s="189">
        <f>Boa_Vista!C82</f>
        <v>8.2000000000000007E-3</v>
      </c>
      <c r="D82" s="251">
        <f>C82*(D38+D67+D77)</f>
        <v>34.338527248030005</v>
      </c>
      <c r="E82" s="251">
        <f>C82*(E38+E67+E77)</f>
        <v>31.495603648029999</v>
      </c>
      <c r="F82" s="251">
        <f>C82*(F38+F67+F77)</f>
        <v>37.192247530959996</v>
      </c>
    </row>
    <row r="83" spans="2:6" ht="15">
      <c r="B83" s="127" t="s">
        <v>203</v>
      </c>
      <c r="C83" s="189">
        <f>Boa_Vista!C83</f>
        <v>3.6275555555555553E-4</v>
      </c>
      <c r="D83" s="251">
        <f>C83*(D38+D67+D77)</f>
        <v>1.5190843327827688</v>
      </c>
      <c r="E83" s="251">
        <f>C83*(E38+E67+E77)</f>
        <v>1.3933177071827685</v>
      </c>
      <c r="F83" s="251">
        <f>C83*(F38+F67+F77)</f>
        <v>1.645328587250382</v>
      </c>
    </row>
    <row r="84" spans="2:6" ht="15">
      <c r="B84" s="127" t="s">
        <v>204</v>
      </c>
      <c r="C84" s="189">
        <f>Boa_Vista!C84</f>
        <v>1.5305423328660365E-2</v>
      </c>
      <c r="D84" s="251">
        <f>C84*(D38+D67+D77)</f>
        <v>64.093377562663164</v>
      </c>
      <c r="E84" s="251">
        <f>C84*(E38+E67+E77)</f>
        <v>58.787017905463266</v>
      </c>
      <c r="F84" s="251">
        <f>C84*(F38+F67+F77)</f>
        <v>69.41988939093487</v>
      </c>
    </row>
    <row r="85" spans="2:6" ht="15">
      <c r="B85" s="127" t="s">
        <v>205</v>
      </c>
      <c r="C85" s="189">
        <f>Boa_Vista!C85</f>
        <v>1.0654335999999999E-3</v>
      </c>
      <c r="D85" s="251">
        <f>C85*(D38+D67+D77)</f>
        <v>4.4616366712886215</v>
      </c>
      <c r="E85" s="251">
        <f>C85*(E38+E67+E77)</f>
        <v>4.092252973035821</v>
      </c>
      <c r="F85" s="251">
        <f>C85*(F38+F67+F77)</f>
        <v>4.8324231925611976</v>
      </c>
    </row>
    <row r="86" spans="2:6" ht="15">
      <c r="B86" s="127" t="s">
        <v>206</v>
      </c>
      <c r="C86" s="189">
        <f>Boa_Vista!C86</f>
        <v>0</v>
      </c>
      <c r="D86" s="251">
        <f>C86*(D38+D67+D77)</f>
        <v>0</v>
      </c>
      <c r="E86" s="251">
        <f>C86*(E38+E67+E77)</f>
        <v>0</v>
      </c>
      <c r="F86" s="251">
        <f>C86*(F38+F67+F77)</f>
        <v>0</v>
      </c>
    </row>
    <row r="87" spans="2:6" ht="14.25">
      <c r="B87" s="136" t="s">
        <v>165</v>
      </c>
      <c r="C87" s="185">
        <f>SUM(C81:C86)</f>
        <v>0.10826694581754924</v>
      </c>
      <c r="D87" s="169">
        <f>SUM(D81:D86)</f>
        <v>453.38139866059782</v>
      </c>
      <c r="E87" s="169">
        <f>SUM(E81:E86)</f>
        <v>415.84546507954508</v>
      </c>
      <c r="F87" s="169">
        <f>SUM(F81:F86)</f>
        <v>491.05988393503975</v>
      </c>
    </row>
    <row r="88" spans="2:6" ht="14.25">
      <c r="B88" s="186" t="s">
        <v>207</v>
      </c>
      <c r="C88" s="187" t="s">
        <v>168</v>
      </c>
      <c r="D88" s="140" t="s">
        <v>157</v>
      </c>
      <c r="E88" s="140" t="s">
        <v>157</v>
      </c>
      <c r="F88" s="140" t="s">
        <v>157</v>
      </c>
    </row>
    <row r="89" spans="2:6" ht="30">
      <c r="B89" s="188" t="s">
        <v>208</v>
      </c>
      <c r="C89" s="189">
        <v>0.5</v>
      </c>
      <c r="D89" s="190">
        <v>0</v>
      </c>
      <c r="E89" s="190">
        <f>(E38/220)*15*1.5</f>
        <v>206.82675</v>
      </c>
      <c r="F89" s="190">
        <f>(F38/220)*15*1.5</f>
        <v>251.63921249999993</v>
      </c>
    </row>
    <row r="90" spans="2:6" ht="14.25">
      <c r="B90" s="136" t="s">
        <v>165</v>
      </c>
      <c r="C90" s="185"/>
      <c r="D90" s="169">
        <f>SUM(D89:D89)</f>
        <v>0</v>
      </c>
      <c r="E90" s="169">
        <f>SUM(E89:E89)</f>
        <v>206.82675</v>
      </c>
      <c r="F90" s="169">
        <f>SUM(F89:F89)</f>
        <v>251.63921249999993</v>
      </c>
    </row>
    <row r="91" spans="2:6" ht="14.25">
      <c r="B91" s="191"/>
      <c r="C91" s="192"/>
      <c r="D91" s="121"/>
      <c r="E91" s="121"/>
    </row>
    <row r="92" spans="2:6" ht="14.25">
      <c r="B92" s="193" t="s">
        <v>209</v>
      </c>
      <c r="C92" s="194" t="s">
        <v>168</v>
      </c>
      <c r="D92" s="195" t="s">
        <v>157</v>
      </c>
      <c r="E92" s="195" t="s">
        <v>157</v>
      </c>
      <c r="F92" s="195" t="s">
        <v>157</v>
      </c>
    </row>
    <row r="93" spans="2:6" ht="15">
      <c r="B93" s="261" t="s">
        <v>210</v>
      </c>
      <c r="C93" s="189">
        <f>C87</f>
        <v>0.10826694581754924</v>
      </c>
      <c r="D93" s="190">
        <f>D87</f>
        <v>453.38139866059782</v>
      </c>
      <c r="E93" s="190">
        <f>E87</f>
        <v>415.84546507954508</v>
      </c>
      <c r="F93" s="190">
        <f>F87</f>
        <v>491.05988393503975</v>
      </c>
    </row>
    <row r="94" spans="2:6" ht="15">
      <c r="B94" s="262" t="s">
        <v>211</v>
      </c>
      <c r="C94" s="189">
        <f>C89</f>
        <v>0.5</v>
      </c>
      <c r="D94" s="190">
        <f>D90</f>
        <v>0</v>
      </c>
      <c r="E94" s="190">
        <f>E90</f>
        <v>206.82675</v>
      </c>
      <c r="F94" s="190">
        <f>F90</f>
        <v>251.63921249999993</v>
      </c>
    </row>
    <row r="95" spans="2:6" ht="14.25">
      <c r="B95" s="136" t="s">
        <v>165</v>
      </c>
      <c r="C95" s="197"/>
      <c r="D95" s="169">
        <f>SUM(D93:D94)</f>
        <v>453.38139866059782</v>
      </c>
      <c r="E95" s="169">
        <f>SUM(E93:E94)</f>
        <v>622.67221507954514</v>
      </c>
      <c r="F95" s="169">
        <f>SUM(F93:F94)</f>
        <v>742.69909643503968</v>
      </c>
    </row>
    <row r="96" spans="2:6">
      <c r="B96" s="179"/>
      <c r="C96" s="198"/>
      <c r="D96" s="180"/>
      <c r="E96" s="101"/>
    </row>
    <row r="97" spans="2:8" ht="16.7" customHeight="1">
      <c r="B97" s="232" t="s">
        <v>212</v>
      </c>
      <c r="C97" s="232"/>
      <c r="D97" s="232"/>
      <c r="E97" s="232"/>
      <c r="F97" s="232"/>
    </row>
    <row r="98" spans="2:8" ht="14.25">
      <c r="B98" s="193" t="s">
        <v>213</v>
      </c>
      <c r="C98" s="194" t="s">
        <v>214</v>
      </c>
      <c r="D98" s="195" t="s">
        <v>157</v>
      </c>
      <c r="E98" s="195" t="s">
        <v>157</v>
      </c>
      <c r="F98" s="195" t="s">
        <v>157</v>
      </c>
    </row>
    <row r="99" spans="2:8" ht="15">
      <c r="B99" s="127" t="s">
        <v>215</v>
      </c>
      <c r="C99" s="263">
        <f>Boa_Vista!C99</f>
        <v>75.492499999999993</v>
      </c>
      <c r="D99" s="264">
        <f>C99</f>
        <v>75.492499999999993</v>
      </c>
      <c r="E99" s="264">
        <f>C99</f>
        <v>75.492499999999993</v>
      </c>
      <c r="F99" s="264">
        <f>C99</f>
        <v>75.492499999999993</v>
      </c>
    </row>
    <row r="100" spans="2:8" ht="15">
      <c r="B100" s="127" t="s">
        <v>216</v>
      </c>
      <c r="C100" s="263">
        <f>Boa_Vista!C100</f>
        <v>12.125833333333333</v>
      </c>
      <c r="D100" s="264">
        <f>C100</f>
        <v>12.125833333333333</v>
      </c>
      <c r="E100" s="264">
        <f>C100/2</f>
        <v>6.0629166666666663</v>
      </c>
      <c r="F100" s="264">
        <f>C100/2</f>
        <v>6.0629166666666663</v>
      </c>
    </row>
    <row r="101" spans="2:8" ht="15">
      <c r="B101" s="127" t="s">
        <v>255</v>
      </c>
      <c r="C101" s="263">
        <f>Boa_Vista!C101</f>
        <v>0</v>
      </c>
      <c r="D101" s="190">
        <f>C101</f>
        <v>0</v>
      </c>
      <c r="E101" s="190">
        <f>C101</f>
        <v>0</v>
      </c>
      <c r="F101" s="190">
        <f>C101</f>
        <v>0</v>
      </c>
    </row>
    <row r="102" spans="2:8" ht="15">
      <c r="B102" s="127" t="s">
        <v>217</v>
      </c>
      <c r="C102" s="263">
        <f>Boa_Vista!C102</f>
        <v>0</v>
      </c>
      <c r="D102" s="190">
        <f>C102</f>
        <v>0</v>
      </c>
      <c r="E102" s="190">
        <f>C102</f>
        <v>0</v>
      </c>
      <c r="F102" s="190">
        <f>C102</f>
        <v>0</v>
      </c>
    </row>
    <row r="103" spans="2:8" ht="14.25">
      <c r="B103" s="201" t="s">
        <v>165</v>
      </c>
      <c r="C103" s="169">
        <f>SUM(C99:C102)</f>
        <v>87.618333333333325</v>
      </c>
      <c r="D103" s="169">
        <f>SUM(D99:D102)</f>
        <v>87.618333333333325</v>
      </c>
      <c r="E103" s="169">
        <f>SUM(E99:E102)</f>
        <v>81.555416666666659</v>
      </c>
      <c r="F103" s="169">
        <f>SUM(F99:F102)</f>
        <v>81.555416666666659</v>
      </c>
    </row>
    <row r="104" spans="2:8" ht="14.25">
      <c r="B104" s="170"/>
      <c r="C104" s="202"/>
      <c r="D104" s="121"/>
      <c r="E104" s="101"/>
    </row>
    <row r="105" spans="2:8" ht="16.7" customHeight="1">
      <c r="B105" s="232" t="s">
        <v>218</v>
      </c>
      <c r="C105" s="232"/>
      <c r="D105" s="232"/>
      <c r="E105" s="232"/>
      <c r="F105" s="232"/>
    </row>
    <row r="106" spans="2:8" ht="14.25">
      <c r="B106" s="124" t="s">
        <v>219</v>
      </c>
      <c r="C106" s="172" t="s">
        <v>168</v>
      </c>
      <c r="D106" s="126" t="s">
        <v>157</v>
      </c>
      <c r="E106" s="126" t="s">
        <v>157</v>
      </c>
      <c r="F106" s="126" t="s">
        <v>157</v>
      </c>
    </row>
    <row r="107" spans="2:8" ht="15">
      <c r="B107" s="127" t="s">
        <v>220</v>
      </c>
      <c r="C107" s="177">
        <v>0.06</v>
      </c>
      <c r="D107" s="190">
        <f>C107*(D38+D67+D77+D95+D103)</f>
        <v>283.7175003686358</v>
      </c>
      <c r="E107" s="190">
        <f>C107*(E38+E67+E77+E95+E103)</f>
        <v>272.70929435377269</v>
      </c>
      <c r="F107" s="190">
        <f>C107*(F38+F67+F77+F95+F103)</f>
        <v>321.59366735410237</v>
      </c>
      <c r="H107" s="203"/>
    </row>
    <row r="108" spans="2:8" ht="15">
      <c r="B108" s="127" t="s">
        <v>221</v>
      </c>
      <c r="C108" s="177">
        <v>6.7900000000000002E-2</v>
      </c>
      <c r="D108" s="190">
        <f>C108*(D38+D67+D77+D95+D103+D107)</f>
        <v>340.33805619220328</v>
      </c>
      <c r="E108" s="190">
        <f>C108*(E38+E67+E77+E95+E103+E107)</f>
        <v>327.13297919697396</v>
      </c>
      <c r="F108" s="190">
        <f>C108*(F38+F67+F77+F95+F103+F107)</f>
        <v>385.77304356906944</v>
      </c>
      <c r="H108" s="203"/>
    </row>
    <row r="109" spans="2:8" ht="15">
      <c r="B109" s="127" t="s">
        <v>222</v>
      </c>
      <c r="C109" s="259">
        <f>SUM(C110:C114)</f>
        <v>7.6499999999999999E-2</v>
      </c>
      <c r="D109" s="190">
        <f>((D38+D67+D77+D95+D103+D107+D108)/(1-C109))*C109</f>
        <v>443.40017655323754</v>
      </c>
      <c r="E109" s="190">
        <f>((E38+E67+E77+E95+E103+E107+E108)/(1-C109))*C109</f>
        <v>426.1963012752488</v>
      </c>
      <c r="F109" s="190">
        <f>((F38+F67+F77+F95+F103+F107+F108)/(1-C109))*C109</f>
        <v>502.59391365685235</v>
      </c>
      <c r="H109" s="203"/>
    </row>
    <row r="110" spans="2:8" ht="15">
      <c r="B110" s="204" t="s">
        <v>223</v>
      </c>
      <c r="C110" s="259">
        <f>0.03</f>
        <v>0.03</v>
      </c>
      <c r="D110" s="265">
        <f>((D38+D67+D77+D95+D103+D107+D108)/(1-C109))*C110</f>
        <v>173.88242217774021</v>
      </c>
      <c r="E110" s="265">
        <f>((E38+E67+E77+E95+E103+E107+E108)/(1-C109))*C110</f>
        <v>167.13580442166619</v>
      </c>
      <c r="F110" s="265">
        <f>((F38+F67+F77+F95+F103+F107+F108)/(1-C109))*C110</f>
        <v>197.09565241445191</v>
      </c>
    </row>
    <row r="111" spans="2:8" ht="15">
      <c r="B111" s="204" t="s">
        <v>224</v>
      </c>
      <c r="C111" s="259">
        <f>0.0065</f>
        <v>6.4999999999999997E-3</v>
      </c>
      <c r="D111" s="265">
        <f>((D38+D67+D77+D95+D103+D107+D108)/(1-C109))*C111</f>
        <v>37.674524805177043</v>
      </c>
      <c r="E111" s="265">
        <f>((E38+E67+E77+E95+E103+E107+E108)/(1-C109))*C111</f>
        <v>36.212757624694341</v>
      </c>
      <c r="F111" s="265">
        <f>((F38+F67+F77+F95+F103+F107+F108)/(1-C109))*C111</f>
        <v>42.704058023131246</v>
      </c>
    </row>
    <row r="112" spans="2:8" ht="15">
      <c r="B112" s="204" t="s">
        <v>225</v>
      </c>
      <c r="C112" s="266"/>
      <c r="D112" s="267"/>
      <c r="E112" s="267"/>
      <c r="F112" s="267"/>
    </row>
    <row r="113" spans="2:6" ht="15">
      <c r="B113" s="204" t="s">
        <v>226</v>
      </c>
      <c r="C113" s="259">
        <v>0.04</v>
      </c>
      <c r="D113" s="265">
        <f>((D38+D67+D77+D95+D103+D107+D108)/(1-C109))*C113</f>
        <v>231.84322957032029</v>
      </c>
      <c r="E113" s="265">
        <f>((E38+E67+E77+E95+E103+E107+E108)/(1-C109))*C113</f>
        <v>222.84773922888829</v>
      </c>
      <c r="F113" s="265">
        <f>((F38+F67+F77+F95+F103+F107+F108)/(1-C109))*C113</f>
        <v>262.79420321926921</v>
      </c>
    </row>
    <row r="114" spans="2:6" ht="15">
      <c r="B114" s="204" t="s">
        <v>227</v>
      </c>
      <c r="C114" s="268"/>
      <c r="D114" s="269"/>
      <c r="E114" s="269"/>
      <c r="F114" s="269"/>
    </row>
    <row r="115" spans="2:6" ht="15">
      <c r="B115" s="201" t="s">
        <v>165</v>
      </c>
      <c r="C115" s="210"/>
      <c r="D115" s="169">
        <f>SUM(D107:D109)</f>
        <v>1067.4557331140766</v>
      </c>
      <c r="E115" s="169">
        <f>SUM(E107:E109)</f>
        <v>1026.0385748259955</v>
      </c>
      <c r="F115" s="169">
        <f>SUM(F107:F109)</f>
        <v>1209.9606245800242</v>
      </c>
    </row>
    <row r="116" spans="2:6">
      <c r="B116" s="179"/>
      <c r="C116" s="198"/>
      <c r="D116" s="180"/>
      <c r="E116" s="101"/>
    </row>
    <row r="117" spans="2:6" ht="16.7" customHeight="1">
      <c r="B117" s="235" t="s">
        <v>228</v>
      </c>
      <c r="C117" s="235"/>
      <c r="D117" s="235"/>
      <c r="E117" s="235"/>
      <c r="F117" s="235"/>
    </row>
    <row r="118" spans="2:6" ht="16.7" customHeight="1">
      <c r="B118" s="236" t="s">
        <v>229</v>
      </c>
      <c r="C118" s="236"/>
      <c r="D118" s="211" t="s">
        <v>157</v>
      </c>
      <c r="E118" s="211" t="s">
        <v>157</v>
      </c>
      <c r="F118" s="211" t="s">
        <v>157</v>
      </c>
    </row>
    <row r="119" spans="2:6" ht="16.7" customHeight="1">
      <c r="B119" s="237" t="s">
        <v>230</v>
      </c>
      <c r="C119" s="237"/>
      <c r="D119" s="158">
        <f>D38</f>
        <v>2022.3059999999998</v>
      </c>
      <c r="E119" s="158">
        <f>E38</f>
        <v>2022.3059999999998</v>
      </c>
      <c r="F119" s="158">
        <f>F38</f>
        <v>2460.4722999999994</v>
      </c>
    </row>
    <row r="120" spans="2:6" ht="16.7" customHeight="1">
      <c r="B120" s="237" t="s">
        <v>231</v>
      </c>
      <c r="C120" s="237"/>
      <c r="D120" s="158">
        <f>D67</f>
        <v>2032.8582311499999</v>
      </c>
      <c r="E120" s="158">
        <f>E67</f>
        <v>1686.1602311500001</v>
      </c>
      <c r="F120" s="158">
        <f>F67</f>
        <v>1914.0067071499998</v>
      </c>
    </row>
    <row r="121" spans="2:6" ht="16.7" customHeight="1">
      <c r="B121" s="237" t="s">
        <v>232</v>
      </c>
      <c r="C121" s="237"/>
      <c r="D121" s="158">
        <f>D77</f>
        <v>132.46104299999996</v>
      </c>
      <c r="E121" s="158">
        <f>E77</f>
        <v>132.46104299999996</v>
      </c>
      <c r="F121" s="158">
        <f>F77</f>
        <v>161.16093564999994</v>
      </c>
    </row>
    <row r="122" spans="2:6" ht="16.7" customHeight="1">
      <c r="B122" s="237" t="s">
        <v>233</v>
      </c>
      <c r="C122" s="237"/>
      <c r="D122" s="158">
        <f>D95</f>
        <v>453.38139866059782</v>
      </c>
      <c r="E122" s="158">
        <f>E95</f>
        <v>622.67221507954514</v>
      </c>
      <c r="F122" s="158">
        <f>F95</f>
        <v>742.69909643503968</v>
      </c>
    </row>
    <row r="123" spans="2:6" ht="16.7" customHeight="1">
      <c r="B123" s="237" t="s">
        <v>234</v>
      </c>
      <c r="C123" s="237"/>
      <c r="D123" s="158">
        <f>D103</f>
        <v>87.618333333333325</v>
      </c>
      <c r="E123" s="158">
        <f>E103</f>
        <v>81.555416666666659</v>
      </c>
      <c r="F123" s="158">
        <f>F103</f>
        <v>81.555416666666659</v>
      </c>
    </row>
    <row r="124" spans="2:6" ht="16.7" customHeight="1">
      <c r="B124" s="238" t="s">
        <v>235</v>
      </c>
      <c r="C124" s="238"/>
      <c r="D124" s="212">
        <f>SUM(D119:D123)</f>
        <v>4728.6250061439305</v>
      </c>
      <c r="E124" s="212">
        <f>SUM(E119:E123)</f>
        <v>4545.1549058962119</v>
      </c>
      <c r="F124" s="212">
        <f>SUM(F119:F123)</f>
        <v>5359.8944559017064</v>
      </c>
    </row>
    <row r="125" spans="2:6" ht="16.7" customHeight="1">
      <c r="B125" s="237" t="s">
        <v>236</v>
      </c>
      <c r="C125" s="237"/>
      <c r="D125" s="158">
        <f>D115</f>
        <v>1067.4557331140766</v>
      </c>
      <c r="E125" s="158">
        <f>E115</f>
        <v>1026.0385748259955</v>
      </c>
      <c r="F125" s="158">
        <f>F115</f>
        <v>1209.9606245800242</v>
      </c>
    </row>
    <row r="126" spans="2:6" ht="15">
      <c r="B126" s="213" t="s">
        <v>237</v>
      </c>
      <c r="C126" s="214"/>
      <c r="D126" s="215">
        <f>ROUND(D119+D120+D121+D122+D123+D125,2)</f>
        <v>5796.08</v>
      </c>
      <c r="E126" s="215">
        <f>ROUND(E119+E120+E121+E122+E123+E125,2)</f>
        <v>5571.19</v>
      </c>
      <c r="F126" s="215">
        <f>ROUND(F119+F120+F121+F122+F123+F125,2)</f>
        <v>6569.86</v>
      </c>
    </row>
    <row r="127" spans="2:6" ht="15">
      <c r="B127" s="170"/>
      <c r="C127" s="202"/>
      <c r="D127" s="121"/>
      <c r="E127" s="216"/>
    </row>
    <row r="128" spans="2:6" ht="18">
      <c r="B128" s="279" t="s">
        <v>238</v>
      </c>
      <c r="C128" s="279"/>
      <c r="D128" s="279"/>
      <c r="E128" s="279"/>
    </row>
    <row r="129" spans="2:5" ht="25.5">
      <c r="B129" s="270" t="s">
        <v>239</v>
      </c>
      <c r="C129" s="270" t="s">
        <v>256</v>
      </c>
      <c r="D129" s="270" t="s">
        <v>257</v>
      </c>
      <c r="E129" s="270" t="s">
        <v>242</v>
      </c>
    </row>
    <row r="130" spans="2:5" ht="20.25" customHeight="1">
      <c r="B130" s="271" t="s">
        <v>258</v>
      </c>
      <c r="C130" s="272">
        <f>Resumo!E36</f>
        <v>1</v>
      </c>
      <c r="D130" s="273">
        <f>ROUND(D126,2)</f>
        <v>5796.08</v>
      </c>
      <c r="E130" s="274">
        <f t="shared" ref="E130:E135" si="0">C130*D130</f>
        <v>5796.08</v>
      </c>
    </row>
    <row r="131" spans="2:5" ht="20.25" customHeight="1">
      <c r="B131" s="271" t="s">
        <v>259</v>
      </c>
      <c r="C131" s="272">
        <f>Resumo!E37</f>
        <v>0</v>
      </c>
      <c r="D131" s="273">
        <f>ROUND(E126*2,2)</f>
        <v>11142.38</v>
      </c>
      <c r="E131" s="274">
        <f t="shared" si="0"/>
        <v>0</v>
      </c>
    </row>
    <row r="132" spans="2:5" ht="20.25" customHeight="1">
      <c r="B132" s="271" t="s">
        <v>260</v>
      </c>
      <c r="C132" s="272">
        <f>Resumo!E38</f>
        <v>0</v>
      </c>
      <c r="D132" s="273">
        <f>ROUND(F126*2,2)</f>
        <v>13139.72</v>
      </c>
      <c r="E132" s="274">
        <f t="shared" si="0"/>
        <v>0</v>
      </c>
    </row>
    <row r="133" spans="2:5" ht="20.25" customHeight="1">
      <c r="B133" s="271" t="s">
        <v>261</v>
      </c>
      <c r="C133" s="272" t="e">
        <f>Resumo!#REF!</f>
        <v>#REF!</v>
      </c>
      <c r="D133" s="273">
        <f>ROUND(D126/220,2)</f>
        <v>26.35</v>
      </c>
      <c r="E133" s="274" t="e">
        <f t="shared" si="0"/>
        <v>#REF!</v>
      </c>
    </row>
    <row r="134" spans="2:5" ht="20.25" customHeight="1">
      <c r="B134" s="271" t="s">
        <v>262</v>
      </c>
      <c r="C134" s="272">
        <f>Resumo!E39</f>
        <v>0</v>
      </c>
      <c r="D134" s="273">
        <f>ROUND(E126/220,2)</f>
        <v>25.32</v>
      </c>
      <c r="E134" s="274">
        <f t="shared" si="0"/>
        <v>0</v>
      </c>
    </row>
    <row r="135" spans="2:5" ht="20.25" customHeight="1">
      <c r="B135" s="271" t="s">
        <v>263</v>
      </c>
      <c r="C135" s="272">
        <f>Resumo!E40</f>
        <v>0</v>
      </c>
      <c r="D135" s="273">
        <f>ROUND(F126/220,2)</f>
        <v>29.86</v>
      </c>
      <c r="E135" s="274">
        <f t="shared" si="0"/>
        <v>0</v>
      </c>
    </row>
    <row r="136" spans="2:5" ht="20.25" customHeight="1">
      <c r="B136" s="280" t="s">
        <v>245</v>
      </c>
      <c r="C136" s="280"/>
      <c r="D136" s="276"/>
      <c r="E136" s="274" t="e">
        <f>SUM(E130:E135)</f>
        <v>#REF!</v>
      </c>
    </row>
    <row r="137" spans="2:5" ht="15">
      <c r="B137" s="170"/>
      <c r="C137" s="202"/>
      <c r="D137" s="121"/>
      <c r="E137" s="216"/>
    </row>
    <row r="138" spans="2:5" ht="14.25">
      <c r="B138" s="170" t="s">
        <v>264</v>
      </c>
      <c r="E138" s="226"/>
    </row>
  </sheetData>
  <mergeCells count="35">
    <mergeCell ref="B123:C123"/>
    <mergeCell ref="B124:C124"/>
    <mergeCell ref="B125:C125"/>
    <mergeCell ref="B128:E128"/>
    <mergeCell ref="B136:C136"/>
    <mergeCell ref="B117:F117"/>
    <mergeCell ref="B118:C118"/>
    <mergeCell ref="B119:C119"/>
    <mergeCell ref="B120:C120"/>
    <mergeCell ref="B121:C121"/>
    <mergeCell ref="B122:C122"/>
    <mergeCell ref="B29:F29"/>
    <mergeCell ref="B40:F40"/>
    <mergeCell ref="B69:F69"/>
    <mergeCell ref="B79:F79"/>
    <mergeCell ref="B97:F97"/>
    <mergeCell ref="B105:F105"/>
    <mergeCell ref="C21:F21"/>
    <mergeCell ref="C22:F22"/>
    <mergeCell ref="C23:F23"/>
    <mergeCell ref="C24:F24"/>
    <mergeCell ref="C25:F25"/>
    <mergeCell ref="C26:F26"/>
    <mergeCell ref="C10:F10"/>
    <mergeCell ref="C11:F11"/>
    <mergeCell ref="C12:F12"/>
    <mergeCell ref="B14:F14"/>
    <mergeCell ref="B19:F19"/>
    <mergeCell ref="B20:F20"/>
    <mergeCell ref="B1:E1"/>
    <mergeCell ref="B2:E2"/>
    <mergeCell ref="C4:F4"/>
    <mergeCell ref="C5:F5"/>
    <mergeCell ref="C6:F6"/>
    <mergeCell ref="C9:F9"/>
  </mergeCells>
  <pageMargins left="0.78740157480314998" right="0.78740157480314998" top="0.78740157480314898" bottom="0.78740157480314898" header="0.511811023622047" footer="0.511811023622047"/>
  <pageSetup paperSize="0" scale="65" fitToWidth="0" fitToHeight="0" orientation="portrait" horizontalDpi="0" verticalDpi="0" copies="0"/>
  <colBreaks count="1" manualBreakCount="1">
    <brk id="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CEE5D-27AD-4F91-8FD7-3DD5480CBF82}">
  <dimension ref="B1:H139"/>
  <sheetViews>
    <sheetView workbookViewId="0"/>
  </sheetViews>
  <sheetFormatPr defaultRowHeight="12.75"/>
  <cols>
    <col min="1" max="1" width="6.140625" customWidth="1"/>
    <col min="2" max="2" width="73.140625" customWidth="1"/>
    <col min="3" max="3" width="15.28515625" customWidth="1"/>
    <col min="4" max="4" width="14.42578125" customWidth="1"/>
    <col min="5" max="5" width="15.5703125" customWidth="1"/>
    <col min="6" max="6" width="12.28515625" customWidth="1"/>
    <col min="7" max="8" width="10.7109375" customWidth="1"/>
    <col min="9" max="1024" width="8.5703125" customWidth="1"/>
    <col min="1025" max="1025" width="9.140625" customWidth="1"/>
  </cols>
  <sheetData>
    <row r="1" spans="2:6" ht="23.25">
      <c r="B1" s="227" t="s">
        <v>0</v>
      </c>
      <c r="C1" s="227"/>
      <c r="D1" s="227"/>
      <c r="E1" s="227"/>
    </row>
    <row r="2" spans="2:6" ht="16.7" customHeight="1">
      <c r="B2" s="228" t="s">
        <v>119</v>
      </c>
      <c r="C2" s="228"/>
      <c r="D2" s="228"/>
      <c r="E2" s="228"/>
    </row>
    <row r="3" spans="2:6" ht="14.25">
      <c r="B3" s="100"/>
      <c r="C3" s="100"/>
      <c r="D3" s="100"/>
      <c r="E3" s="101"/>
    </row>
    <row r="4" spans="2:6" ht="14.25">
      <c r="B4" s="102" t="s">
        <v>120</v>
      </c>
      <c r="C4" s="229" t="str">
        <f>Boa_Vista!C4</f>
        <v>35014.334990/2025-79</v>
      </c>
      <c r="D4" s="229"/>
      <c r="E4" s="229"/>
      <c r="F4" s="229"/>
    </row>
    <row r="5" spans="2:6" ht="14.25">
      <c r="B5" s="102" t="s">
        <v>122</v>
      </c>
      <c r="C5" s="229" t="str">
        <f>Boa_Vista!C5</f>
        <v>__/____</v>
      </c>
      <c r="D5" s="229"/>
      <c r="E5" s="229"/>
      <c r="F5" s="229"/>
    </row>
    <row r="6" spans="2:6" ht="14.25">
      <c r="B6" s="102" t="s">
        <v>124</v>
      </c>
      <c r="C6" s="229" t="str">
        <f>Boa_Vista!C6</f>
        <v>__/__/____</v>
      </c>
      <c r="D6" s="229"/>
      <c r="E6" s="229"/>
      <c r="F6" s="229"/>
    </row>
    <row r="7" spans="2:6" ht="14.25">
      <c r="B7" s="102"/>
      <c r="C7" s="100"/>
      <c r="D7" s="100"/>
      <c r="E7" s="101"/>
    </row>
    <row r="8" spans="2:6" ht="15">
      <c r="B8" s="103" t="s">
        <v>126</v>
      </c>
      <c r="C8" s="104"/>
      <c r="D8" s="105"/>
      <c r="E8" s="101"/>
    </row>
    <row r="9" spans="2:6" ht="15.75">
      <c r="B9" s="106" t="s">
        <v>127</v>
      </c>
      <c r="C9" s="278" t="str">
        <f>Boa_Vista!C9</f>
        <v>__/__/____</v>
      </c>
      <c r="D9" s="278"/>
      <c r="E9" s="278"/>
      <c r="F9" s="278"/>
    </row>
    <row r="10" spans="2:6" ht="15.75">
      <c r="B10" s="106" t="s">
        <v>128</v>
      </c>
      <c r="C10" s="231" t="s">
        <v>38</v>
      </c>
      <c r="D10" s="231"/>
      <c r="E10" s="231"/>
      <c r="F10" s="231"/>
    </row>
    <row r="11" spans="2:6" ht="15.75">
      <c r="B11" s="107" t="s">
        <v>129</v>
      </c>
      <c r="C11" s="278" t="str">
        <f>Boa_Vista!C11</f>
        <v>2025/2025</v>
      </c>
      <c r="D11" s="278"/>
      <c r="E11" s="278"/>
      <c r="F11" s="278"/>
    </row>
    <row r="12" spans="2:6" ht="15.75">
      <c r="B12" s="106" t="s">
        <v>131</v>
      </c>
      <c r="C12" s="278">
        <f>Boa_Vista!C12</f>
        <v>12</v>
      </c>
      <c r="D12" s="278"/>
      <c r="E12" s="278"/>
      <c r="F12" s="278"/>
    </row>
    <row r="13" spans="2:6" ht="14.25">
      <c r="B13" s="108"/>
      <c r="C13" s="109"/>
      <c r="D13" s="110"/>
      <c r="E13" s="101"/>
    </row>
    <row r="14" spans="2:6" ht="14.25" customHeight="1">
      <c r="B14" s="232" t="s">
        <v>132</v>
      </c>
      <c r="C14" s="232"/>
      <c r="D14" s="232"/>
      <c r="E14" s="232"/>
      <c r="F14" s="232"/>
    </row>
    <row r="15" spans="2:6" ht="57">
      <c r="B15" s="111" t="s">
        <v>133</v>
      </c>
      <c r="C15" s="111" t="s">
        <v>134</v>
      </c>
      <c r="D15" s="111" t="s">
        <v>247</v>
      </c>
      <c r="E15" s="111" t="s">
        <v>248</v>
      </c>
      <c r="F15" s="111" t="s">
        <v>249</v>
      </c>
    </row>
    <row r="16" spans="2:6" ht="60">
      <c r="B16" s="112" t="s">
        <v>137</v>
      </c>
      <c r="C16" s="113" t="s">
        <v>250</v>
      </c>
      <c r="D16" s="113">
        <f>Resumo!E44</f>
        <v>1</v>
      </c>
      <c r="E16" s="113">
        <f>Resumo!E45</f>
        <v>0</v>
      </c>
      <c r="F16" s="113">
        <f>Resumo!E46</f>
        <v>0</v>
      </c>
    </row>
    <row r="17" spans="2:6" ht="15">
      <c r="B17" s="115"/>
      <c r="C17" s="116"/>
      <c r="D17" s="105"/>
      <c r="E17" s="101"/>
    </row>
    <row r="18" spans="2:6" ht="15">
      <c r="B18" s="115"/>
      <c r="C18" s="116"/>
      <c r="D18" s="105"/>
      <c r="E18" s="101"/>
    </row>
    <row r="19" spans="2:6" ht="16.7" customHeight="1">
      <c r="B19" s="232" t="s">
        <v>139</v>
      </c>
      <c r="C19" s="232"/>
      <c r="D19" s="232"/>
      <c r="E19" s="232"/>
      <c r="F19" s="232"/>
    </row>
    <row r="20" spans="2:6" ht="16.7" customHeight="1">
      <c r="B20" s="233" t="s">
        <v>140</v>
      </c>
      <c r="C20" s="233"/>
      <c r="D20" s="233"/>
      <c r="E20" s="233"/>
      <c r="F20" s="233"/>
    </row>
    <row r="21" spans="2:6" ht="15.75">
      <c r="B21" s="117" t="s">
        <v>141</v>
      </c>
      <c r="C21" s="231" t="s">
        <v>142</v>
      </c>
      <c r="D21" s="231"/>
      <c r="E21" s="231"/>
      <c r="F21" s="231"/>
    </row>
    <row r="22" spans="2:6" ht="15.75">
      <c r="B22" s="117" t="s">
        <v>143</v>
      </c>
      <c r="C22" s="231" t="s">
        <v>144</v>
      </c>
      <c r="D22" s="231"/>
      <c r="E22" s="231"/>
      <c r="F22" s="231"/>
    </row>
    <row r="23" spans="2:6" ht="15.75">
      <c r="B23" s="118" t="s">
        <v>145</v>
      </c>
      <c r="C23" s="234">
        <f>Boa_Vista!C23</f>
        <v>1555.62</v>
      </c>
      <c r="D23" s="234"/>
      <c r="E23" s="234"/>
      <c r="F23" s="234"/>
    </row>
    <row r="24" spans="2:6" ht="15.75">
      <c r="B24" s="118" t="s">
        <v>146</v>
      </c>
      <c r="C24" s="231" t="s">
        <v>147</v>
      </c>
      <c r="D24" s="231"/>
      <c r="E24" s="231"/>
      <c r="F24" s="231"/>
    </row>
    <row r="25" spans="2:6" ht="15.75">
      <c r="B25" s="118" t="s">
        <v>148</v>
      </c>
      <c r="C25" s="231" t="str">
        <f>Boa_Vista!C25</f>
        <v>01 de janeiro</v>
      </c>
      <c r="D25" s="231"/>
      <c r="E25" s="231"/>
      <c r="F25" s="231"/>
    </row>
    <row r="26" spans="2:6" ht="15.75">
      <c r="B26" s="118" t="s">
        <v>150</v>
      </c>
      <c r="C26" s="231" t="str">
        <f>Boa_Vista!C26</f>
        <v>RR000015/2025</v>
      </c>
      <c r="D26" s="231"/>
      <c r="E26" s="231"/>
      <c r="F26" s="231"/>
    </row>
    <row r="27" spans="2:6" ht="15">
      <c r="B27" s="119"/>
      <c r="C27" s="120"/>
      <c r="D27" s="121"/>
      <c r="E27" s="101"/>
    </row>
    <row r="28" spans="2:6" ht="42.75">
      <c r="B28" s="122" t="s">
        <v>152</v>
      </c>
      <c r="C28" s="242" t="s">
        <v>153</v>
      </c>
      <c r="D28" s="242" t="s">
        <v>251</v>
      </c>
      <c r="E28" s="242" t="s">
        <v>252</v>
      </c>
      <c r="F28" s="242" t="s">
        <v>253</v>
      </c>
    </row>
    <row r="29" spans="2:6" ht="16.7" customHeight="1">
      <c r="B29" s="232" t="s">
        <v>154</v>
      </c>
      <c r="C29" s="232"/>
      <c r="D29" s="232"/>
      <c r="E29" s="232"/>
      <c r="F29" s="232"/>
    </row>
    <row r="30" spans="2:6" ht="28.5">
      <c r="B30" s="124" t="s">
        <v>155</v>
      </c>
      <c r="C30" s="125" t="s">
        <v>156</v>
      </c>
      <c r="D30" s="126" t="s">
        <v>157</v>
      </c>
      <c r="E30" s="126" t="s">
        <v>157</v>
      </c>
      <c r="F30" s="126" t="s">
        <v>157</v>
      </c>
    </row>
    <row r="31" spans="2:6" ht="15">
      <c r="B31" s="127" t="s">
        <v>265</v>
      </c>
      <c r="C31" s="243">
        <f>C23</f>
        <v>1555.62</v>
      </c>
      <c r="D31" s="243">
        <f>C31</f>
        <v>1555.62</v>
      </c>
      <c r="E31" s="243">
        <f>C31</f>
        <v>1555.62</v>
      </c>
      <c r="F31" s="243">
        <f>C31</f>
        <v>1555.62</v>
      </c>
    </row>
    <row r="32" spans="2:6" ht="15">
      <c r="B32" s="127" t="s">
        <v>159</v>
      </c>
      <c r="C32" s="281">
        <v>0.3</v>
      </c>
      <c r="D32" s="246">
        <f>D31*C32</f>
        <v>466.68599999999992</v>
      </c>
      <c r="E32" s="246">
        <f>E31*C32</f>
        <v>466.68599999999992</v>
      </c>
      <c r="F32" s="246">
        <f>F31*C32</f>
        <v>466.68599999999992</v>
      </c>
    </row>
    <row r="33" spans="2:6" ht="15">
      <c r="B33" s="127" t="s">
        <v>160</v>
      </c>
      <c r="C33" s="282"/>
      <c r="D33" s="246"/>
      <c r="E33" s="246"/>
      <c r="F33" s="246"/>
    </row>
    <row r="34" spans="2:6" ht="15">
      <c r="B34" s="127" t="s">
        <v>161</v>
      </c>
      <c r="C34" s="281">
        <v>0.2</v>
      </c>
      <c r="D34" s="246">
        <v>0</v>
      </c>
      <c r="E34" s="246">
        <v>0</v>
      </c>
      <c r="F34" s="246">
        <f>((F31+F32)*(7/12)*C34)</f>
        <v>235.9357</v>
      </c>
    </row>
    <row r="35" spans="2:6" ht="15">
      <c r="B35" s="127" t="s">
        <v>162</v>
      </c>
      <c r="C35" s="281">
        <v>1.2</v>
      </c>
      <c r="D35" s="246">
        <v>0</v>
      </c>
      <c r="E35" s="246">
        <v>0</v>
      </c>
      <c r="F35" s="246">
        <f>(F31+F32)*(1/12)*C35</f>
        <v>202.23059999999995</v>
      </c>
    </row>
    <row r="36" spans="2:6" ht="15">
      <c r="B36" s="127" t="s">
        <v>163</v>
      </c>
      <c r="C36" s="249"/>
      <c r="D36" s="246">
        <v>0</v>
      </c>
      <c r="E36" s="246">
        <v>0</v>
      </c>
      <c r="F36" s="246">
        <v>0</v>
      </c>
    </row>
    <row r="37" spans="2:6" ht="15">
      <c r="B37" s="127" t="s">
        <v>164</v>
      </c>
      <c r="C37" s="249"/>
      <c r="D37" s="246">
        <v>0</v>
      </c>
      <c r="E37" s="246">
        <v>0</v>
      </c>
      <c r="F37" s="246">
        <v>0</v>
      </c>
    </row>
    <row r="38" spans="2:6" ht="14.25">
      <c r="B38" s="136" t="s">
        <v>165</v>
      </c>
      <c r="C38" s="137"/>
      <c r="D38" s="138">
        <f>SUM(D31:D37)</f>
        <v>2022.3059999999998</v>
      </c>
      <c r="E38" s="138">
        <f>SUM(E31:E37)</f>
        <v>2022.3059999999998</v>
      </c>
      <c r="F38" s="138">
        <f>SUM(F31:F37)</f>
        <v>2460.4722999999994</v>
      </c>
    </row>
    <row r="39" spans="2:6" ht="15">
      <c r="B39" s="119"/>
      <c r="C39" s="120"/>
      <c r="D39" s="121"/>
      <c r="E39" s="101"/>
    </row>
    <row r="40" spans="2:6" ht="16.7" customHeight="1">
      <c r="B40" s="232" t="s">
        <v>166</v>
      </c>
      <c r="C40" s="232"/>
      <c r="D40" s="232"/>
      <c r="E40" s="232"/>
      <c r="F40" s="232"/>
    </row>
    <row r="41" spans="2:6" ht="14.25">
      <c r="B41" s="139" t="s">
        <v>167</v>
      </c>
      <c r="C41" s="140" t="s">
        <v>168</v>
      </c>
      <c r="D41" s="140" t="s">
        <v>157</v>
      </c>
      <c r="E41" s="140" t="s">
        <v>157</v>
      </c>
      <c r="F41" s="140" t="s">
        <v>157</v>
      </c>
    </row>
    <row r="42" spans="2:6" ht="15">
      <c r="B42" s="127" t="s">
        <v>169</v>
      </c>
      <c r="C42" s="250">
        <f>1/12</f>
        <v>8.3333333333333329E-2</v>
      </c>
      <c r="D42" s="190">
        <f>C42*D38</f>
        <v>168.52549999999997</v>
      </c>
      <c r="E42" s="190">
        <f>C42*E38</f>
        <v>168.52549999999997</v>
      </c>
      <c r="F42" s="190">
        <f>C42*F38</f>
        <v>205.03935833333327</v>
      </c>
    </row>
    <row r="43" spans="2:6" ht="45">
      <c r="B43" s="127" t="s">
        <v>170</v>
      </c>
      <c r="C43" s="250">
        <f>C42/3</f>
        <v>2.7777777777777776E-2</v>
      </c>
      <c r="D43" s="190">
        <f>C43*D38</f>
        <v>56.175166666666655</v>
      </c>
      <c r="E43" s="190">
        <f>C43*E38</f>
        <v>56.175166666666655</v>
      </c>
      <c r="F43" s="190">
        <f>C43*F38</f>
        <v>68.346452777777756</v>
      </c>
    </row>
    <row r="44" spans="2:6" ht="14.25">
      <c r="B44" s="143" t="s">
        <v>165</v>
      </c>
      <c r="C44" s="144">
        <f>SUM(C42:C43)</f>
        <v>0.1111111111111111</v>
      </c>
      <c r="D44" s="145">
        <f>SUM(D42:D43)</f>
        <v>224.70066666666662</v>
      </c>
      <c r="E44" s="145">
        <f>SUM(E42:E43)</f>
        <v>224.70066666666662</v>
      </c>
      <c r="F44" s="145">
        <f>SUM(F42:F43)</f>
        <v>273.38581111111102</v>
      </c>
    </row>
    <row r="45" spans="2:6" ht="14.25">
      <c r="B45" s="146" t="s">
        <v>171</v>
      </c>
      <c r="C45" s="140" t="s">
        <v>168</v>
      </c>
      <c r="D45" s="140" t="s">
        <v>157</v>
      </c>
      <c r="E45" s="140" t="s">
        <v>157</v>
      </c>
      <c r="F45" s="140" t="s">
        <v>157</v>
      </c>
    </row>
    <row r="46" spans="2:6" ht="15">
      <c r="B46" s="127" t="s">
        <v>172</v>
      </c>
      <c r="C46" s="250">
        <v>0.2</v>
      </c>
      <c r="D46" s="251">
        <f>C46*(D38+D44)</f>
        <v>449.40133333333324</v>
      </c>
      <c r="E46" s="251">
        <f>C46*(E38+E44)</f>
        <v>449.40133333333324</v>
      </c>
      <c r="F46" s="251">
        <f>C46*(F38+F44)</f>
        <v>546.77162222222216</v>
      </c>
    </row>
    <row r="47" spans="2:6" ht="15">
      <c r="B47" s="127" t="s">
        <v>173</v>
      </c>
      <c r="C47" s="250">
        <v>2.5000000000000001E-2</v>
      </c>
      <c r="D47" s="251">
        <f>C47*(D38+D44)</f>
        <v>56.175166666666655</v>
      </c>
      <c r="E47" s="251">
        <f>C47*(E38+E44)</f>
        <v>56.175166666666655</v>
      </c>
      <c r="F47" s="251">
        <f>C47*(F38+F44)</f>
        <v>68.34645277777777</v>
      </c>
    </row>
    <row r="48" spans="2:6" ht="15">
      <c r="B48" s="127" t="s">
        <v>174</v>
      </c>
      <c r="C48" s="250">
        <v>0.03</v>
      </c>
      <c r="D48" s="251">
        <f>C48*(D38+D44)</f>
        <v>67.410199999999989</v>
      </c>
      <c r="E48" s="251">
        <f>C48*(E38+E44)</f>
        <v>67.410199999999989</v>
      </c>
      <c r="F48" s="251">
        <f>C48*(F38+F44)</f>
        <v>82.015743333333319</v>
      </c>
    </row>
    <row r="49" spans="2:6" ht="15">
      <c r="B49" s="127" t="s">
        <v>175</v>
      </c>
      <c r="C49" s="250">
        <v>1.4999999999999999E-2</v>
      </c>
      <c r="D49" s="251">
        <f>C49*(D38+D44)</f>
        <v>33.705099999999995</v>
      </c>
      <c r="E49" s="251">
        <f>C49*(E38+E44)</f>
        <v>33.705099999999995</v>
      </c>
      <c r="F49" s="251">
        <f>C49*(F38+F44)</f>
        <v>41.007871666666659</v>
      </c>
    </row>
    <row r="50" spans="2:6" ht="15">
      <c r="B50" s="127" t="s">
        <v>176</v>
      </c>
      <c r="C50" s="250">
        <v>0.01</v>
      </c>
      <c r="D50" s="251">
        <f>C50*(D38+D44)</f>
        <v>22.470066666666664</v>
      </c>
      <c r="E50" s="251">
        <f>C50*(E38+E44)</f>
        <v>22.470066666666664</v>
      </c>
      <c r="F50" s="251">
        <f>C50*(F38+F44)</f>
        <v>27.338581111111107</v>
      </c>
    </row>
    <row r="51" spans="2:6" ht="15">
      <c r="B51" s="127" t="s">
        <v>177</v>
      </c>
      <c r="C51" s="250">
        <v>6.0000000000000001E-3</v>
      </c>
      <c r="D51" s="251">
        <f>C51*(D38+D44)</f>
        <v>13.482039999999998</v>
      </c>
      <c r="E51" s="251">
        <f>C51*(E38+E44)</f>
        <v>13.482039999999998</v>
      </c>
      <c r="F51" s="251">
        <f>C51*(F38+F44)</f>
        <v>16.403148666666663</v>
      </c>
    </row>
    <row r="52" spans="2:6" ht="15">
      <c r="B52" s="127" t="s">
        <v>178</v>
      </c>
      <c r="C52" s="250">
        <v>2E-3</v>
      </c>
      <c r="D52" s="251">
        <f>C52*(D38+D44)</f>
        <v>4.4940133333333323</v>
      </c>
      <c r="E52" s="251">
        <f>C52*(E38+E44)</f>
        <v>4.4940133333333323</v>
      </c>
      <c r="F52" s="251">
        <f>C52*(F38+F44)</f>
        <v>5.4677162222222213</v>
      </c>
    </row>
    <row r="53" spans="2:6" ht="15">
      <c r="B53" s="127" t="s">
        <v>179</v>
      </c>
      <c r="C53" s="250">
        <v>0.08</v>
      </c>
      <c r="D53" s="251">
        <f>C53*(D38+D44)</f>
        <v>179.76053333333331</v>
      </c>
      <c r="E53" s="251">
        <f>C53*(E38+E44)</f>
        <v>179.76053333333331</v>
      </c>
      <c r="F53" s="251">
        <f>C53*(F38+F44)</f>
        <v>218.70864888888886</v>
      </c>
    </row>
    <row r="54" spans="2:6" ht="14.25">
      <c r="B54" s="143" t="s">
        <v>165</v>
      </c>
      <c r="C54" s="144">
        <f>SUM(C46:C53)</f>
        <v>0.36800000000000005</v>
      </c>
      <c r="D54" s="148">
        <f>SUM(D46:D53)</f>
        <v>826.89845333333324</v>
      </c>
      <c r="E54" s="148">
        <f>SUM(E46:E53)</f>
        <v>826.89845333333324</v>
      </c>
      <c r="F54" s="148">
        <f>SUM(F46:F53)</f>
        <v>1006.0597848888888</v>
      </c>
    </row>
    <row r="55" spans="2:6" ht="28.5">
      <c r="B55" s="149" t="s">
        <v>180</v>
      </c>
      <c r="C55" s="150" t="s">
        <v>156</v>
      </c>
      <c r="D55" s="140" t="s">
        <v>157</v>
      </c>
      <c r="E55" s="140" t="s">
        <v>157</v>
      </c>
      <c r="F55" s="140" t="s">
        <v>157</v>
      </c>
    </row>
    <row r="56" spans="2:6" ht="15">
      <c r="B56" s="127" t="s">
        <v>181</v>
      </c>
      <c r="C56" s="252">
        <v>0</v>
      </c>
      <c r="D56" s="243">
        <f>IF((C56*26*2)-(D31*0.06)&lt;0,0,(C56*26*2)-(D31*0.06))</f>
        <v>0</v>
      </c>
      <c r="E56" s="243">
        <f>IF((C56*15*2)-(E31*0.06)&lt;0,0,(C56*15*2)-(E31*0.06))</f>
        <v>0</v>
      </c>
      <c r="F56" s="243">
        <f>IF((C56*15*2)-(F31*0.06)&lt;0,0,(C56*15*2)-(F31*0.06))</f>
        <v>0</v>
      </c>
    </row>
    <row r="57" spans="2:6" ht="15">
      <c r="B57" s="127" t="s">
        <v>182</v>
      </c>
      <c r="C57" s="253">
        <f>Memória_de_Cálculo!C6</f>
        <v>35.020000000000003</v>
      </c>
      <c r="D57" s="254">
        <f>Memória_de_Cálculo!E6</f>
        <v>819.46800000000007</v>
      </c>
      <c r="E57" s="254">
        <f>Memória_de_Cálculo!E7</f>
        <v>472.77000000000004</v>
      </c>
      <c r="F57" s="254">
        <f>Memória_de_Cálculo!E8</f>
        <v>472.77000000000004</v>
      </c>
    </row>
    <row r="58" spans="2:6" ht="15">
      <c r="B58" s="127" t="s">
        <v>183</v>
      </c>
      <c r="C58" s="252">
        <f>Boa_Vista!C58</f>
        <v>138.02000000000001</v>
      </c>
      <c r="D58" s="254">
        <f>C58</f>
        <v>138.02000000000001</v>
      </c>
      <c r="E58" s="254">
        <f>C58</f>
        <v>138.02000000000001</v>
      </c>
      <c r="F58" s="254">
        <f>C58</f>
        <v>138.02000000000001</v>
      </c>
    </row>
    <row r="59" spans="2:6" ht="15">
      <c r="B59" s="127" t="s">
        <v>184</v>
      </c>
      <c r="C59" s="283">
        <v>9.5500000000000004E-5</v>
      </c>
      <c r="D59" s="256">
        <f>((D31*(60+5))+1200)*C59</f>
        <v>9.7711111499999994</v>
      </c>
      <c r="E59" s="256">
        <f>((E31*(60+5))+1200)*C59</f>
        <v>9.7711111499999994</v>
      </c>
      <c r="F59" s="256">
        <f>((F31*(60+5))+1200)*C59</f>
        <v>9.7711111499999994</v>
      </c>
    </row>
    <row r="60" spans="2:6" ht="15">
      <c r="B60" s="127" t="s">
        <v>254</v>
      </c>
      <c r="C60" s="252">
        <f>Boa_Vista!C60</f>
        <v>14</v>
      </c>
      <c r="D60" s="256">
        <f>C60</f>
        <v>14</v>
      </c>
      <c r="E60" s="256">
        <f>C60</f>
        <v>14</v>
      </c>
      <c r="F60" s="256">
        <f>C60</f>
        <v>14</v>
      </c>
    </row>
    <row r="61" spans="2:6" ht="15">
      <c r="B61" s="127" t="s">
        <v>186</v>
      </c>
      <c r="C61" s="252"/>
      <c r="D61" s="256">
        <f>C61</f>
        <v>0</v>
      </c>
      <c r="E61" s="256">
        <f>C61</f>
        <v>0</v>
      </c>
      <c r="F61" s="256">
        <f>C61</f>
        <v>0</v>
      </c>
    </row>
    <row r="62" spans="2:6" ht="14.25">
      <c r="B62" s="143" t="s">
        <v>165</v>
      </c>
      <c r="C62" s="158"/>
      <c r="D62" s="159">
        <f>SUM(D56:D61)</f>
        <v>981.25911115000008</v>
      </c>
      <c r="E62" s="159">
        <f>SUM(E56:E61)</f>
        <v>634.5611111500001</v>
      </c>
      <c r="F62" s="159">
        <f>SUM(F56:F61)</f>
        <v>634.5611111500001</v>
      </c>
    </row>
    <row r="63" spans="2:6" ht="14.25">
      <c r="B63" s="160" t="s">
        <v>187</v>
      </c>
      <c r="C63" s="161" t="s">
        <v>168</v>
      </c>
      <c r="D63" s="126" t="s">
        <v>157</v>
      </c>
      <c r="E63" s="126" t="s">
        <v>157</v>
      </c>
      <c r="F63" s="126" t="s">
        <v>157</v>
      </c>
    </row>
    <row r="64" spans="2:6" ht="15">
      <c r="B64" s="162" t="s">
        <v>188</v>
      </c>
      <c r="C64" s="258">
        <f>C44</f>
        <v>0.1111111111111111</v>
      </c>
      <c r="D64" s="190">
        <f>D44</f>
        <v>224.70066666666662</v>
      </c>
      <c r="E64" s="190">
        <f>E44</f>
        <v>224.70066666666662</v>
      </c>
      <c r="F64" s="190">
        <f>F44</f>
        <v>273.38581111111102</v>
      </c>
    </row>
    <row r="65" spans="2:7" ht="15">
      <c r="B65" s="165" t="s">
        <v>189</v>
      </c>
      <c r="C65" s="258">
        <f>C54</f>
        <v>0.36800000000000005</v>
      </c>
      <c r="D65" s="190">
        <f>D54</f>
        <v>826.89845333333324</v>
      </c>
      <c r="E65" s="190">
        <f>E54</f>
        <v>826.89845333333324</v>
      </c>
      <c r="F65" s="190">
        <f>F54</f>
        <v>1006.0597848888888</v>
      </c>
    </row>
    <row r="66" spans="2:7" ht="15">
      <c r="B66" s="165" t="s">
        <v>190</v>
      </c>
      <c r="C66" s="190">
        <v>0</v>
      </c>
      <c r="D66" s="190">
        <f>D62</f>
        <v>981.25911115000008</v>
      </c>
      <c r="E66" s="190">
        <f>E62</f>
        <v>634.5611111500001</v>
      </c>
      <c r="F66" s="190">
        <f>F62</f>
        <v>634.5611111500001</v>
      </c>
    </row>
    <row r="67" spans="2:7" ht="14.25">
      <c r="B67" s="136" t="s">
        <v>165</v>
      </c>
      <c r="C67" s="168"/>
      <c r="D67" s="169">
        <f>SUM(D64:D66)</f>
        <v>2032.8582311499999</v>
      </c>
      <c r="E67" s="169">
        <f>SUM(E64:E66)</f>
        <v>1686.1602311500001</v>
      </c>
      <c r="F67" s="169">
        <f>SUM(F64:F66)</f>
        <v>1914.0067071499998</v>
      </c>
    </row>
    <row r="68" spans="2:7" ht="14.25">
      <c r="B68" s="170"/>
      <c r="C68" s="121"/>
      <c r="D68" s="121"/>
      <c r="E68" s="101"/>
    </row>
    <row r="69" spans="2:7" ht="16.7" customHeight="1">
      <c r="B69" s="232" t="s">
        <v>191</v>
      </c>
      <c r="C69" s="232"/>
      <c r="D69" s="232"/>
      <c r="E69" s="232"/>
      <c r="F69" s="232"/>
    </row>
    <row r="70" spans="2:7" ht="14.25">
      <c r="B70" s="171" t="s">
        <v>192</v>
      </c>
      <c r="C70" s="172" t="s">
        <v>168</v>
      </c>
      <c r="D70" s="173" t="s">
        <v>157</v>
      </c>
      <c r="E70" s="173" t="s">
        <v>157</v>
      </c>
      <c r="F70" s="173" t="s">
        <v>157</v>
      </c>
    </row>
    <row r="71" spans="2:7" ht="27.75">
      <c r="B71" s="127" t="s">
        <v>193</v>
      </c>
      <c r="C71" s="259">
        <f>1/12*0.05</f>
        <v>4.1666666666666666E-3</v>
      </c>
      <c r="D71" s="190">
        <f>C71*D38</f>
        <v>8.4262749999999986</v>
      </c>
      <c r="E71" s="190">
        <f>C71*E38</f>
        <v>8.4262749999999986</v>
      </c>
      <c r="F71" s="190">
        <f>C71*F38</f>
        <v>10.251967916666665</v>
      </c>
    </row>
    <row r="72" spans="2:7" ht="15">
      <c r="B72" s="175" t="s">
        <v>194</v>
      </c>
      <c r="C72" s="259">
        <f>C53*C71</f>
        <v>3.3333333333333332E-4</v>
      </c>
      <c r="D72" s="190">
        <f>C72*D38</f>
        <v>0.67410199999999987</v>
      </c>
      <c r="E72" s="190">
        <f>C72*E38</f>
        <v>0.67410199999999987</v>
      </c>
      <c r="F72" s="190">
        <f>C72*F38</f>
        <v>0.82015743333333313</v>
      </c>
    </row>
    <row r="73" spans="2:7" ht="15">
      <c r="B73" s="127" t="s">
        <v>195</v>
      </c>
      <c r="C73" s="259">
        <v>0</v>
      </c>
      <c r="D73" s="190">
        <f>C73*D38</f>
        <v>0</v>
      </c>
      <c r="E73" s="190">
        <f>C73*E38</f>
        <v>0</v>
      </c>
      <c r="F73" s="190">
        <f>C73*F38</f>
        <v>0</v>
      </c>
    </row>
    <row r="74" spans="2:7" ht="27.75">
      <c r="B74" s="127" t="s">
        <v>196</v>
      </c>
      <c r="C74" s="259">
        <f>1/30*7/12</f>
        <v>1.9444444444444445E-2</v>
      </c>
      <c r="D74" s="190">
        <f>C74*D38</f>
        <v>39.322616666666661</v>
      </c>
      <c r="E74" s="190">
        <f>C74*E38</f>
        <v>39.322616666666661</v>
      </c>
      <c r="F74" s="190">
        <f>C74*F38</f>
        <v>47.842516944444434</v>
      </c>
    </row>
    <row r="75" spans="2:7" ht="30">
      <c r="B75" s="127" t="s">
        <v>197</v>
      </c>
      <c r="C75" s="259">
        <f>C54*C74</f>
        <v>7.1555555555555565E-3</v>
      </c>
      <c r="D75" s="190">
        <f>C75*D38</f>
        <v>14.470722933333334</v>
      </c>
      <c r="E75" s="190">
        <f>C75*E38</f>
        <v>14.470722933333334</v>
      </c>
      <c r="F75" s="190">
        <f>C75*F38</f>
        <v>17.606046235555553</v>
      </c>
      <c r="G75" s="176"/>
    </row>
    <row r="76" spans="2:7" ht="30">
      <c r="B76" s="127" t="s">
        <v>198</v>
      </c>
      <c r="C76" s="260">
        <f>0.08*0.4*0.9*(1+1/12+1/12+1/3*1/12)</f>
        <v>3.4399999999999993E-2</v>
      </c>
      <c r="D76" s="190">
        <f>C76*D38</f>
        <v>69.567326399999985</v>
      </c>
      <c r="E76" s="190">
        <f>C76*E38</f>
        <v>69.567326399999985</v>
      </c>
      <c r="F76" s="190">
        <f>C76*F38</f>
        <v>84.64024711999997</v>
      </c>
    </row>
    <row r="77" spans="2:7" ht="14.25">
      <c r="B77" s="136" t="s">
        <v>165</v>
      </c>
      <c r="C77" s="178">
        <f>SUM(C71:C76)</f>
        <v>6.5500000000000003E-2</v>
      </c>
      <c r="D77" s="169">
        <f>SUM(D71:D76)</f>
        <v>132.46104299999996</v>
      </c>
      <c r="E77" s="169">
        <f>SUM(E71:E76)</f>
        <v>132.46104299999996</v>
      </c>
      <c r="F77" s="169">
        <f>SUM(F71:F76)</f>
        <v>161.16093564999994</v>
      </c>
    </row>
    <row r="78" spans="2:7">
      <c r="B78" s="179"/>
      <c r="C78" s="180"/>
      <c r="D78" s="180"/>
      <c r="E78" s="101"/>
    </row>
    <row r="79" spans="2:7" ht="16.7" customHeight="1">
      <c r="B79" s="232" t="s">
        <v>199</v>
      </c>
      <c r="C79" s="232"/>
      <c r="D79" s="232"/>
      <c r="E79" s="232"/>
      <c r="F79" s="232"/>
    </row>
    <row r="80" spans="2:7" ht="14.25">
      <c r="B80" s="181" t="s">
        <v>200</v>
      </c>
      <c r="C80" s="182" t="s">
        <v>168</v>
      </c>
      <c r="D80" s="183" t="s">
        <v>157</v>
      </c>
      <c r="E80" s="183" t="s">
        <v>157</v>
      </c>
      <c r="F80" s="183" t="s">
        <v>157</v>
      </c>
    </row>
    <row r="81" spans="2:6" ht="15">
      <c r="B81" s="127" t="s">
        <v>201</v>
      </c>
      <c r="C81" s="250">
        <f>Boa_Vista!C81</f>
        <v>8.3333333333333329E-2</v>
      </c>
      <c r="D81" s="251">
        <f>C81*(D38+D67+D77)</f>
        <v>348.96877284583331</v>
      </c>
      <c r="E81" s="251">
        <f>C81*(E38+E67+E77)</f>
        <v>320.07727284583325</v>
      </c>
      <c r="F81" s="251">
        <f>C81*(F38+F67+F77)</f>
        <v>377.96999523333329</v>
      </c>
    </row>
    <row r="82" spans="2:6" ht="15">
      <c r="B82" s="127" t="s">
        <v>202</v>
      </c>
      <c r="C82" s="189">
        <f>Boa_Vista!C82</f>
        <v>8.2000000000000007E-3</v>
      </c>
      <c r="D82" s="251">
        <f>C82*(D38+D67+D77)</f>
        <v>34.338527248030005</v>
      </c>
      <c r="E82" s="251">
        <f>C82*(E38+E67+E77)</f>
        <v>31.495603648029999</v>
      </c>
      <c r="F82" s="251">
        <f>C82*(F38+F67+F77)</f>
        <v>37.192247530959996</v>
      </c>
    </row>
    <row r="83" spans="2:6" ht="15">
      <c r="B83" s="127" t="s">
        <v>203</v>
      </c>
      <c r="C83" s="189">
        <f>Boa_Vista!C83</f>
        <v>3.6275555555555553E-4</v>
      </c>
      <c r="D83" s="251">
        <f>C83*(D38+D67+D77)</f>
        <v>1.5190843327827688</v>
      </c>
      <c r="E83" s="251">
        <f>C83*(E38+E67+E77)</f>
        <v>1.3933177071827685</v>
      </c>
      <c r="F83" s="251">
        <f>C83*(F38+F67+F77)</f>
        <v>1.645328587250382</v>
      </c>
    </row>
    <row r="84" spans="2:6" ht="15">
      <c r="B84" s="127" t="s">
        <v>204</v>
      </c>
      <c r="C84" s="189">
        <f>Boa_Vista!C84</f>
        <v>1.5305423328660365E-2</v>
      </c>
      <c r="D84" s="251">
        <f>C84*(D38+D67+D77)</f>
        <v>64.093377562663164</v>
      </c>
      <c r="E84" s="251">
        <f>C84*(E38+E67+E77)</f>
        <v>58.787017905463266</v>
      </c>
      <c r="F84" s="251">
        <f>C84*(F38+F67+F77)</f>
        <v>69.41988939093487</v>
      </c>
    </row>
    <row r="85" spans="2:6" ht="15">
      <c r="B85" s="127" t="s">
        <v>205</v>
      </c>
      <c r="C85" s="189">
        <f>Boa_Vista!C85</f>
        <v>1.0654335999999999E-3</v>
      </c>
      <c r="D85" s="251">
        <f>C85*(D38+D67+D77)</f>
        <v>4.4616366712886215</v>
      </c>
      <c r="E85" s="251">
        <f>C85*(E38+E67+E77)</f>
        <v>4.092252973035821</v>
      </c>
      <c r="F85" s="251">
        <f>C85*(F38+F67+F77)</f>
        <v>4.8324231925611976</v>
      </c>
    </row>
    <row r="86" spans="2:6" ht="15">
      <c r="B86" s="127" t="s">
        <v>206</v>
      </c>
      <c r="C86" s="189">
        <f>Boa_Vista!C86</f>
        <v>0</v>
      </c>
      <c r="D86" s="251">
        <f>C86*(D38+D67+D77)</f>
        <v>0</v>
      </c>
      <c r="E86" s="251">
        <f>C86*(E38+E67+E77)</f>
        <v>0</v>
      </c>
      <c r="F86" s="251">
        <f>C86*(F38+F67+F77)</f>
        <v>0</v>
      </c>
    </row>
    <row r="87" spans="2:6" ht="14.25">
      <c r="B87" s="136" t="s">
        <v>165</v>
      </c>
      <c r="C87" s="185">
        <f>SUM(C81:C86)</f>
        <v>0.10826694581754924</v>
      </c>
      <c r="D87" s="169">
        <f>SUM(D81:D86)</f>
        <v>453.38139866059782</v>
      </c>
      <c r="E87" s="169">
        <f>SUM(E81:E86)</f>
        <v>415.84546507954508</v>
      </c>
      <c r="F87" s="169">
        <f>SUM(F81:F86)</f>
        <v>491.05988393503975</v>
      </c>
    </row>
    <row r="88" spans="2:6" ht="14.25">
      <c r="B88" s="186" t="s">
        <v>207</v>
      </c>
      <c r="C88" s="187" t="s">
        <v>168</v>
      </c>
      <c r="D88" s="140" t="s">
        <v>157</v>
      </c>
      <c r="E88" s="140" t="s">
        <v>157</v>
      </c>
      <c r="F88" s="140" t="s">
        <v>157</v>
      </c>
    </row>
    <row r="89" spans="2:6" ht="30">
      <c r="B89" s="188" t="s">
        <v>208</v>
      </c>
      <c r="C89" s="189">
        <v>0.5</v>
      </c>
      <c r="D89" s="190">
        <v>0</v>
      </c>
      <c r="E89" s="190">
        <f>(E38/220)*15*1.5</f>
        <v>206.82675</v>
      </c>
      <c r="F89" s="190">
        <f>(F38/220)*15*1.5</f>
        <v>251.63921249999993</v>
      </c>
    </row>
    <row r="90" spans="2:6" ht="14.25">
      <c r="B90" s="136" t="s">
        <v>165</v>
      </c>
      <c r="C90" s="185"/>
      <c r="D90" s="169">
        <f>SUM(D89:D89)</f>
        <v>0</v>
      </c>
      <c r="E90" s="169">
        <f>SUM(E89:E89)</f>
        <v>206.82675</v>
      </c>
      <c r="F90" s="169">
        <f>SUM(F89:F89)</f>
        <v>251.63921249999993</v>
      </c>
    </row>
    <row r="91" spans="2:6" ht="14.25">
      <c r="B91" s="191"/>
      <c r="C91" s="192"/>
      <c r="D91" s="121"/>
      <c r="E91" s="121"/>
    </row>
    <row r="92" spans="2:6" ht="14.25">
      <c r="B92" s="193" t="s">
        <v>209</v>
      </c>
      <c r="C92" s="194" t="s">
        <v>168</v>
      </c>
      <c r="D92" s="195" t="s">
        <v>157</v>
      </c>
      <c r="E92" s="195" t="s">
        <v>157</v>
      </c>
      <c r="F92" s="195" t="s">
        <v>157</v>
      </c>
    </row>
    <row r="93" spans="2:6" ht="15">
      <c r="B93" s="261" t="s">
        <v>210</v>
      </c>
      <c r="C93" s="189">
        <f>C87</f>
        <v>0.10826694581754924</v>
      </c>
      <c r="D93" s="190">
        <f>D87</f>
        <v>453.38139866059782</v>
      </c>
      <c r="E93" s="190">
        <f>E87</f>
        <v>415.84546507954508</v>
      </c>
      <c r="F93" s="190">
        <f>F87</f>
        <v>491.05988393503975</v>
      </c>
    </row>
    <row r="94" spans="2:6" ht="15">
      <c r="B94" s="262" t="s">
        <v>211</v>
      </c>
      <c r="C94" s="189">
        <f>C89</f>
        <v>0.5</v>
      </c>
      <c r="D94" s="190">
        <f>D90</f>
        <v>0</v>
      </c>
      <c r="E94" s="190">
        <f>E90</f>
        <v>206.82675</v>
      </c>
      <c r="F94" s="190">
        <f>F90</f>
        <v>251.63921249999993</v>
      </c>
    </row>
    <row r="95" spans="2:6" ht="14.25">
      <c r="B95" s="136" t="s">
        <v>165</v>
      </c>
      <c r="C95" s="197"/>
      <c r="D95" s="169">
        <f>SUM(D93:D94)</f>
        <v>453.38139866059782</v>
      </c>
      <c r="E95" s="169">
        <f>SUM(E93:E94)</f>
        <v>622.67221507954514</v>
      </c>
      <c r="F95" s="169">
        <f>SUM(F93:F94)</f>
        <v>742.69909643503968</v>
      </c>
    </row>
    <row r="96" spans="2:6">
      <c r="B96" s="179"/>
      <c r="C96" s="198"/>
      <c r="D96" s="180"/>
      <c r="E96" s="101"/>
    </row>
    <row r="97" spans="2:8" ht="16.7" customHeight="1">
      <c r="B97" s="232" t="s">
        <v>212</v>
      </c>
      <c r="C97" s="232"/>
      <c r="D97" s="232"/>
      <c r="E97" s="232"/>
      <c r="F97" s="232"/>
    </row>
    <row r="98" spans="2:8" ht="14.25">
      <c r="B98" s="193" t="s">
        <v>213</v>
      </c>
      <c r="C98" s="194" t="s">
        <v>214</v>
      </c>
      <c r="D98" s="195" t="s">
        <v>157</v>
      </c>
      <c r="E98" s="195" t="s">
        <v>157</v>
      </c>
      <c r="F98" s="195" t="s">
        <v>157</v>
      </c>
    </row>
    <row r="99" spans="2:8" ht="15">
      <c r="B99" s="127" t="s">
        <v>215</v>
      </c>
      <c r="C99" s="263">
        <f>Boa_Vista!C99</f>
        <v>75.492499999999993</v>
      </c>
      <c r="D99" s="264">
        <f>C99</f>
        <v>75.492499999999993</v>
      </c>
      <c r="E99" s="264">
        <f>C99</f>
        <v>75.492499999999993</v>
      </c>
      <c r="F99" s="264">
        <f>C99</f>
        <v>75.492499999999993</v>
      </c>
    </row>
    <row r="100" spans="2:8" ht="15">
      <c r="B100" s="127" t="s">
        <v>216</v>
      </c>
      <c r="C100" s="263">
        <f>Boa_Vista!C100</f>
        <v>12.125833333333333</v>
      </c>
      <c r="D100" s="264">
        <f>C100</f>
        <v>12.125833333333333</v>
      </c>
      <c r="E100" s="264">
        <f>C100/2</f>
        <v>6.0629166666666663</v>
      </c>
      <c r="F100" s="264">
        <f>C100/2</f>
        <v>6.0629166666666663</v>
      </c>
    </row>
    <row r="101" spans="2:8" ht="15">
      <c r="B101" s="127" t="s">
        <v>255</v>
      </c>
      <c r="C101" s="263">
        <f>Boa_Vista!C101</f>
        <v>0</v>
      </c>
      <c r="D101" s="190">
        <f>C101</f>
        <v>0</v>
      </c>
      <c r="E101" s="190">
        <f>C101</f>
        <v>0</v>
      </c>
      <c r="F101" s="190">
        <f>C101</f>
        <v>0</v>
      </c>
    </row>
    <row r="102" spans="2:8" ht="15">
      <c r="B102" s="127" t="s">
        <v>217</v>
      </c>
      <c r="C102" s="263">
        <f>Boa_Vista!C102</f>
        <v>0</v>
      </c>
      <c r="D102" s="190">
        <f>C102</f>
        <v>0</v>
      </c>
      <c r="E102" s="190">
        <f>C102</f>
        <v>0</v>
      </c>
      <c r="F102" s="190">
        <f>C102</f>
        <v>0</v>
      </c>
    </row>
    <row r="103" spans="2:8" ht="14.25">
      <c r="B103" s="201" t="s">
        <v>165</v>
      </c>
      <c r="C103" s="169">
        <f>SUM(C99:C102)</f>
        <v>87.618333333333325</v>
      </c>
      <c r="D103" s="169">
        <f>SUM(D99:D102)</f>
        <v>87.618333333333325</v>
      </c>
      <c r="E103" s="169">
        <f>SUM(E99:E102)</f>
        <v>81.555416666666659</v>
      </c>
      <c r="F103" s="169">
        <f>SUM(F99:F102)</f>
        <v>81.555416666666659</v>
      </c>
    </row>
    <row r="104" spans="2:8" ht="14.25">
      <c r="B104" s="170"/>
      <c r="C104" s="202"/>
      <c r="D104" s="121"/>
      <c r="E104" s="101"/>
    </row>
    <row r="105" spans="2:8" ht="16.7" customHeight="1">
      <c r="B105" s="232" t="s">
        <v>218</v>
      </c>
      <c r="C105" s="232"/>
      <c r="D105" s="232"/>
      <c r="E105" s="232"/>
      <c r="F105" s="232"/>
    </row>
    <row r="106" spans="2:8" ht="14.25">
      <c r="B106" s="124" t="s">
        <v>219</v>
      </c>
      <c r="C106" s="172" t="s">
        <v>168</v>
      </c>
      <c r="D106" s="126" t="s">
        <v>157</v>
      </c>
      <c r="E106" s="126" t="s">
        <v>157</v>
      </c>
      <c r="F106" s="126" t="s">
        <v>157</v>
      </c>
    </row>
    <row r="107" spans="2:8" ht="15">
      <c r="B107" s="127" t="s">
        <v>220</v>
      </c>
      <c r="C107" s="177">
        <v>0.06</v>
      </c>
      <c r="D107" s="190">
        <f>C107*(D38+D67+D77+D95+D103)</f>
        <v>283.7175003686358</v>
      </c>
      <c r="E107" s="190">
        <f>C107*(E38+E67+E77+E95+E103)</f>
        <v>272.70929435377269</v>
      </c>
      <c r="F107" s="190">
        <f>C107*(F38+F67+F77+F95+F103)</f>
        <v>321.59366735410237</v>
      </c>
      <c r="H107" s="203"/>
    </row>
    <row r="108" spans="2:8" ht="15">
      <c r="B108" s="127" t="s">
        <v>221</v>
      </c>
      <c r="C108" s="177">
        <v>6.7900000000000002E-2</v>
      </c>
      <c r="D108" s="190">
        <f>C108*(D38+D67+D77+D95+D103+D107)</f>
        <v>340.33805619220328</v>
      </c>
      <c r="E108" s="190">
        <f>C108*(E38+E67+E77+E95+E103+E107)</f>
        <v>327.13297919697396</v>
      </c>
      <c r="F108" s="190">
        <f>C108*(F38+F67+F77+F95+F103+F107)</f>
        <v>385.77304356906944</v>
      </c>
      <c r="H108" s="203"/>
    </row>
    <row r="109" spans="2:8" ht="15">
      <c r="B109" s="127" t="s">
        <v>222</v>
      </c>
      <c r="C109" s="259">
        <f>SUM(C110:C114)</f>
        <v>8.6499999999999994E-2</v>
      </c>
      <c r="D109" s="190">
        <f>((D38+D67+D77+D95+D103+D107+D108)/(1-C109))*C109</f>
        <v>506.84933626049542</v>
      </c>
      <c r="E109" s="190">
        <f>((E38+E67+E77+E95+E103+E107+E108)/(1-C109))*C109</f>
        <v>487.18364096569445</v>
      </c>
      <c r="F109" s="190">
        <f>((F38+F67+F77+F95+F103+F107+F108)/(1-C109))*C109</f>
        <v>574.51350950230096</v>
      </c>
      <c r="H109" s="203"/>
    </row>
    <row r="110" spans="2:8" ht="15">
      <c r="B110" s="204" t="s">
        <v>223</v>
      </c>
      <c r="C110" s="259">
        <f>0.03</f>
        <v>0.03</v>
      </c>
      <c r="D110" s="265">
        <f>((D38+D67+D77+D95+D103+D107+D108)/(1-C109))*C110</f>
        <v>175.78589696895796</v>
      </c>
      <c r="E110" s="265">
        <f>((E38+E67+E77+E95+E103+E107+E108)/(1-C109))*C110</f>
        <v>168.96542461237956</v>
      </c>
      <c r="F110" s="265">
        <f>((F38+F67+F77+F95+F103+F107+F108)/(1-C109))*C110</f>
        <v>199.25324028981538</v>
      </c>
    </row>
    <row r="111" spans="2:8" ht="15">
      <c r="B111" s="204" t="s">
        <v>224</v>
      </c>
      <c r="C111" s="259">
        <f>0.0065</f>
        <v>6.4999999999999997E-3</v>
      </c>
      <c r="D111" s="265">
        <f>((D38+D67+D77+D95+D103+D107+D108)/(1-C109))*C111</f>
        <v>38.086944343274226</v>
      </c>
      <c r="E111" s="265">
        <f>((E38+E67+E77+E95+E103+E107+E108)/(1-C109))*C111</f>
        <v>36.609175332682241</v>
      </c>
      <c r="F111" s="265">
        <f>((F38+F67+F77+F95+F103+F107+F108)/(1-C109))*C111</f>
        <v>43.171535396126664</v>
      </c>
    </row>
    <row r="112" spans="2:8" ht="15">
      <c r="B112" s="204" t="s">
        <v>225</v>
      </c>
      <c r="C112" s="266"/>
      <c r="D112" s="267"/>
      <c r="E112" s="267"/>
      <c r="F112" s="267"/>
    </row>
    <row r="113" spans="2:6" ht="15">
      <c r="B113" s="204" t="s">
        <v>226</v>
      </c>
      <c r="C113" s="259">
        <v>0.05</v>
      </c>
      <c r="D113" s="265">
        <f>((D38+D67+D77+D95+D103+D107+D108)/(1-C109))*C113</f>
        <v>292.97649494826328</v>
      </c>
      <c r="E113" s="265">
        <f>((E38+E67+E77+E95+E103+E107+E108)/(1-C109))*C113</f>
        <v>281.60904102063267</v>
      </c>
      <c r="F113" s="265">
        <f>((F38+F67+F77+F95+F103+F107+F108)/(1-C109))*C113</f>
        <v>332.08873381635902</v>
      </c>
    </row>
    <row r="114" spans="2:6" ht="15">
      <c r="B114" s="204" t="s">
        <v>227</v>
      </c>
      <c r="C114" s="268"/>
      <c r="D114" s="269"/>
      <c r="E114" s="269"/>
      <c r="F114" s="269"/>
    </row>
    <row r="115" spans="2:6" ht="15">
      <c r="B115" s="201" t="s">
        <v>165</v>
      </c>
      <c r="C115" s="210"/>
      <c r="D115" s="169">
        <f>SUM(D107:D109)</f>
        <v>1130.9048928213344</v>
      </c>
      <c r="E115" s="169">
        <f>SUM(E107:E109)</f>
        <v>1087.0259145164412</v>
      </c>
      <c r="F115" s="169">
        <f>SUM(F107:F109)</f>
        <v>1281.8802204254728</v>
      </c>
    </row>
    <row r="116" spans="2:6">
      <c r="B116" s="179"/>
      <c r="C116" s="198"/>
      <c r="D116" s="180"/>
      <c r="E116" s="101"/>
    </row>
    <row r="117" spans="2:6" ht="16.7" customHeight="1">
      <c r="B117" s="235" t="s">
        <v>228</v>
      </c>
      <c r="C117" s="235"/>
      <c r="D117" s="235"/>
      <c r="E117" s="235"/>
      <c r="F117" s="235"/>
    </row>
    <row r="118" spans="2:6" ht="16.7" customHeight="1">
      <c r="B118" s="236" t="s">
        <v>229</v>
      </c>
      <c r="C118" s="236"/>
      <c r="D118" s="211" t="s">
        <v>157</v>
      </c>
      <c r="E118" s="211" t="s">
        <v>157</v>
      </c>
      <c r="F118" s="211" t="s">
        <v>157</v>
      </c>
    </row>
    <row r="119" spans="2:6" ht="16.7" customHeight="1">
      <c r="B119" s="237" t="s">
        <v>230</v>
      </c>
      <c r="C119" s="237"/>
      <c r="D119" s="158">
        <f>D38</f>
        <v>2022.3059999999998</v>
      </c>
      <c r="E119" s="158">
        <f>E38</f>
        <v>2022.3059999999998</v>
      </c>
      <c r="F119" s="158">
        <f>F38</f>
        <v>2460.4722999999994</v>
      </c>
    </row>
    <row r="120" spans="2:6" ht="16.7" customHeight="1">
      <c r="B120" s="237" t="s">
        <v>231</v>
      </c>
      <c r="C120" s="237"/>
      <c r="D120" s="158">
        <f>D67</f>
        <v>2032.8582311499999</v>
      </c>
      <c r="E120" s="158">
        <f>E67</f>
        <v>1686.1602311500001</v>
      </c>
      <c r="F120" s="158">
        <f>F67</f>
        <v>1914.0067071499998</v>
      </c>
    </row>
    <row r="121" spans="2:6" ht="16.7" customHeight="1">
      <c r="B121" s="237" t="s">
        <v>232</v>
      </c>
      <c r="C121" s="237"/>
      <c r="D121" s="158">
        <f>D77</f>
        <v>132.46104299999996</v>
      </c>
      <c r="E121" s="158">
        <f>E77</f>
        <v>132.46104299999996</v>
      </c>
      <c r="F121" s="158">
        <f>F77</f>
        <v>161.16093564999994</v>
      </c>
    </row>
    <row r="122" spans="2:6" ht="16.7" customHeight="1">
      <c r="B122" s="237" t="s">
        <v>233</v>
      </c>
      <c r="C122" s="237"/>
      <c r="D122" s="158">
        <f>D95</f>
        <v>453.38139866059782</v>
      </c>
      <c r="E122" s="158">
        <f>E95</f>
        <v>622.67221507954514</v>
      </c>
      <c r="F122" s="158">
        <f>F95</f>
        <v>742.69909643503968</v>
      </c>
    </row>
    <row r="123" spans="2:6" ht="16.7" customHeight="1">
      <c r="B123" s="237" t="s">
        <v>234</v>
      </c>
      <c r="C123" s="237"/>
      <c r="D123" s="158">
        <f>D103</f>
        <v>87.618333333333325</v>
      </c>
      <c r="E123" s="158">
        <f>E103</f>
        <v>81.555416666666659</v>
      </c>
      <c r="F123" s="158">
        <f>F103</f>
        <v>81.555416666666659</v>
      </c>
    </row>
    <row r="124" spans="2:6" ht="16.7" customHeight="1">
      <c r="B124" s="238" t="s">
        <v>235</v>
      </c>
      <c r="C124" s="238"/>
      <c r="D124" s="212">
        <f>SUM(D119:D123)</f>
        <v>4728.6250061439305</v>
      </c>
      <c r="E124" s="212">
        <f>SUM(E119:E123)</f>
        <v>4545.1549058962119</v>
      </c>
      <c r="F124" s="212">
        <f>SUM(F119:F123)</f>
        <v>5359.8944559017064</v>
      </c>
    </row>
    <row r="125" spans="2:6" ht="16.7" customHeight="1">
      <c r="B125" s="237" t="s">
        <v>236</v>
      </c>
      <c r="C125" s="237"/>
      <c r="D125" s="158">
        <f>D115</f>
        <v>1130.9048928213344</v>
      </c>
      <c r="E125" s="158">
        <f>E115</f>
        <v>1087.0259145164412</v>
      </c>
      <c r="F125" s="158">
        <f>F115</f>
        <v>1281.8802204254728</v>
      </c>
    </row>
    <row r="126" spans="2:6" ht="15">
      <c r="B126" s="213" t="s">
        <v>237</v>
      </c>
      <c r="C126" s="214"/>
      <c r="D126" s="215">
        <f>ROUND(D119+D120+D121+D122+D123+D125,2)</f>
        <v>5859.53</v>
      </c>
      <c r="E126" s="215">
        <f>ROUND(E119+E120+E121+E122+E123+E125,2)</f>
        <v>5632.18</v>
      </c>
      <c r="F126" s="215">
        <f>ROUND(F119+F120+F121+F122+F123+F125,2)</f>
        <v>6641.77</v>
      </c>
    </row>
    <row r="127" spans="2:6" ht="15">
      <c r="B127" s="170"/>
      <c r="C127" s="202"/>
      <c r="D127" s="121"/>
      <c r="E127" s="216"/>
    </row>
    <row r="128" spans="2:6" ht="18">
      <c r="B128" s="279" t="s">
        <v>238</v>
      </c>
      <c r="C128" s="279"/>
      <c r="D128" s="279"/>
      <c r="E128" s="279"/>
    </row>
    <row r="129" spans="2:5" ht="25.5">
      <c r="B129" s="270" t="s">
        <v>239</v>
      </c>
      <c r="C129" s="270" t="s">
        <v>256</v>
      </c>
      <c r="D129" s="270" t="s">
        <v>257</v>
      </c>
      <c r="E129" s="270" t="s">
        <v>242</v>
      </c>
    </row>
    <row r="130" spans="2:5" ht="19.5" customHeight="1">
      <c r="B130" s="271" t="s">
        <v>258</v>
      </c>
      <c r="C130" s="272">
        <f>Resumo!E44</f>
        <v>1</v>
      </c>
      <c r="D130" s="273">
        <f>ROUND(D126,2)</f>
        <v>5859.53</v>
      </c>
      <c r="E130" s="274">
        <f t="shared" ref="E130:E135" si="0">C130*D130</f>
        <v>5859.53</v>
      </c>
    </row>
    <row r="131" spans="2:5" ht="19.5" customHeight="1">
      <c r="B131" s="271" t="s">
        <v>259</v>
      </c>
      <c r="C131" s="272">
        <f>Resumo!E45</f>
        <v>0</v>
      </c>
      <c r="D131" s="273">
        <f>ROUND(E126*2,2)</f>
        <v>11264.36</v>
      </c>
      <c r="E131" s="274">
        <f t="shared" si="0"/>
        <v>0</v>
      </c>
    </row>
    <row r="132" spans="2:5" ht="19.5" customHeight="1">
      <c r="B132" s="271" t="s">
        <v>260</v>
      </c>
      <c r="C132" s="272">
        <f>Resumo!E46</f>
        <v>0</v>
      </c>
      <c r="D132" s="273">
        <f>ROUND(F126*2,2)</f>
        <v>13283.54</v>
      </c>
      <c r="E132" s="274">
        <f t="shared" si="0"/>
        <v>0</v>
      </c>
    </row>
    <row r="133" spans="2:5" ht="19.5" customHeight="1">
      <c r="B133" s="271" t="s">
        <v>261</v>
      </c>
      <c r="C133" s="272" t="e">
        <f>Resumo!#REF!</f>
        <v>#REF!</v>
      </c>
      <c r="D133" s="273">
        <f>ROUND(D126/220,2)</f>
        <v>26.63</v>
      </c>
      <c r="E133" s="274" t="e">
        <f t="shared" si="0"/>
        <v>#REF!</v>
      </c>
    </row>
    <row r="134" spans="2:5" ht="19.5" customHeight="1">
      <c r="B134" s="271" t="s">
        <v>262</v>
      </c>
      <c r="C134" s="272">
        <f>Resumo!E47</f>
        <v>0</v>
      </c>
      <c r="D134" s="273">
        <f>ROUND(E126/220,2)</f>
        <v>25.6</v>
      </c>
      <c r="E134" s="274">
        <f t="shared" si="0"/>
        <v>0</v>
      </c>
    </row>
    <row r="135" spans="2:5" ht="19.5" customHeight="1">
      <c r="B135" s="271" t="s">
        <v>263</v>
      </c>
      <c r="C135" s="272">
        <f>Resumo!E48</f>
        <v>0</v>
      </c>
      <c r="D135" s="273">
        <f>ROUND(F126/220,2)</f>
        <v>30.19</v>
      </c>
      <c r="E135" s="274">
        <f t="shared" si="0"/>
        <v>0</v>
      </c>
    </row>
    <row r="136" spans="2:5" ht="18" customHeight="1">
      <c r="B136" s="280" t="s">
        <v>245</v>
      </c>
      <c r="C136" s="280"/>
      <c r="D136" s="276"/>
      <c r="E136" s="274" t="e">
        <f>SUM(E130:E135)</f>
        <v>#REF!</v>
      </c>
    </row>
    <row r="137" spans="2:5" ht="15">
      <c r="B137" s="170"/>
      <c r="C137" s="202"/>
      <c r="D137" s="121"/>
      <c r="E137" s="216"/>
    </row>
    <row r="138" spans="2:5">
      <c r="E138" s="226"/>
    </row>
    <row r="139" spans="2:5" ht="14.25">
      <c r="B139" s="170" t="s">
        <v>264</v>
      </c>
    </row>
  </sheetData>
  <mergeCells count="35">
    <mergeCell ref="B123:C123"/>
    <mergeCell ref="B124:C124"/>
    <mergeCell ref="B125:C125"/>
    <mergeCell ref="B128:E128"/>
    <mergeCell ref="B136:C136"/>
    <mergeCell ref="B117:F117"/>
    <mergeCell ref="B118:C118"/>
    <mergeCell ref="B119:C119"/>
    <mergeCell ref="B120:C120"/>
    <mergeCell ref="B121:C121"/>
    <mergeCell ref="B122:C122"/>
    <mergeCell ref="B29:F29"/>
    <mergeCell ref="B40:F40"/>
    <mergeCell ref="B69:F69"/>
    <mergeCell ref="B79:F79"/>
    <mergeCell ref="B97:F97"/>
    <mergeCell ref="B105:F105"/>
    <mergeCell ref="C21:F21"/>
    <mergeCell ref="C22:F22"/>
    <mergeCell ref="C23:F23"/>
    <mergeCell ref="C24:F24"/>
    <mergeCell ref="C25:F25"/>
    <mergeCell ref="C26:F26"/>
    <mergeCell ref="C10:F10"/>
    <mergeCell ref="C11:F11"/>
    <mergeCell ref="C12:F12"/>
    <mergeCell ref="B14:F14"/>
    <mergeCell ref="B19:F19"/>
    <mergeCell ref="B20:F20"/>
    <mergeCell ref="B1:E1"/>
    <mergeCell ref="B2:E2"/>
    <mergeCell ref="C4:F4"/>
    <mergeCell ref="C5:F5"/>
    <mergeCell ref="C6:F6"/>
    <mergeCell ref="C9:F9"/>
  </mergeCells>
  <pageMargins left="0.78740157480314998" right="0.78740157480314998" top="0.78740157480314898" bottom="0.78740157480314898" header="0.511811023622047" footer="0.511811023622047"/>
  <pageSetup paperSize="0" scale="65" fitToWidth="0" fitToHeight="0" orientation="portrait" horizontalDpi="0" verticalDpi="0" copies="0"/>
  <colBreaks count="1" manualBreakCount="1">
    <brk id="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C937C-24EB-4BEA-A173-DC80648923D4}">
  <dimension ref="B1:H138"/>
  <sheetViews>
    <sheetView workbookViewId="0"/>
  </sheetViews>
  <sheetFormatPr defaultRowHeight="12.75"/>
  <cols>
    <col min="1" max="1" width="6.140625" customWidth="1"/>
    <col min="2" max="2" width="73.140625" customWidth="1"/>
    <col min="3" max="3" width="15.28515625" customWidth="1"/>
    <col min="4" max="4" width="14.42578125" customWidth="1"/>
    <col min="5" max="5" width="15.5703125" customWidth="1"/>
    <col min="6" max="6" width="12.28515625" customWidth="1"/>
    <col min="7" max="8" width="10.7109375" customWidth="1"/>
    <col min="9" max="1024" width="8.5703125" customWidth="1"/>
    <col min="1025" max="1025" width="9.140625" customWidth="1"/>
  </cols>
  <sheetData>
    <row r="1" spans="2:6" ht="23.25">
      <c r="B1" s="227" t="s">
        <v>0</v>
      </c>
      <c r="C1" s="227"/>
      <c r="D1" s="227"/>
      <c r="E1" s="227"/>
    </row>
    <row r="2" spans="2:6" ht="16.7" customHeight="1">
      <c r="B2" s="228" t="s">
        <v>119</v>
      </c>
      <c r="C2" s="228"/>
      <c r="D2" s="228"/>
      <c r="E2" s="228"/>
    </row>
    <row r="3" spans="2:6" ht="14.25">
      <c r="B3" s="100"/>
      <c r="C3" s="100"/>
      <c r="D3" s="100"/>
      <c r="E3" s="101"/>
    </row>
    <row r="4" spans="2:6" ht="14.25">
      <c r="B4" s="102" t="s">
        <v>120</v>
      </c>
      <c r="C4" s="229" t="str">
        <f>Boa_Vista!C4</f>
        <v>35014.334990/2025-79</v>
      </c>
      <c r="D4" s="229"/>
      <c r="E4" s="229"/>
      <c r="F4" s="229"/>
    </row>
    <row r="5" spans="2:6" ht="14.25">
      <c r="B5" s="102" t="s">
        <v>122</v>
      </c>
      <c r="C5" s="229" t="str">
        <f>Boa_Vista!C5</f>
        <v>__/____</v>
      </c>
      <c r="D5" s="229"/>
      <c r="E5" s="229"/>
      <c r="F5" s="229"/>
    </row>
    <row r="6" spans="2:6" ht="14.25">
      <c r="B6" s="102" t="s">
        <v>124</v>
      </c>
      <c r="C6" s="229" t="str">
        <f>Boa_Vista!C6</f>
        <v>__/__/____</v>
      </c>
      <c r="D6" s="229"/>
      <c r="E6" s="229"/>
      <c r="F6" s="229"/>
    </row>
    <row r="7" spans="2:6" ht="14.25">
      <c r="B7" s="102"/>
      <c r="C7" s="100"/>
      <c r="D7" s="100"/>
      <c r="E7" s="101"/>
    </row>
    <row r="8" spans="2:6" ht="15">
      <c r="B8" s="103" t="s">
        <v>126</v>
      </c>
      <c r="C8" s="104"/>
      <c r="D8" s="105"/>
      <c r="E8" s="101"/>
    </row>
    <row r="9" spans="2:6" ht="15.75">
      <c r="B9" s="106" t="s">
        <v>127</v>
      </c>
      <c r="C9" s="278" t="str">
        <f>Boa_Vista!C9</f>
        <v>__/__/____</v>
      </c>
      <c r="D9" s="278"/>
      <c r="E9" s="278"/>
      <c r="F9" s="278"/>
    </row>
    <row r="10" spans="2:6" ht="15.75">
      <c r="B10" s="106" t="s">
        <v>128</v>
      </c>
      <c r="C10" s="231" t="s">
        <v>39</v>
      </c>
      <c r="D10" s="231"/>
      <c r="E10" s="231"/>
      <c r="F10" s="231"/>
    </row>
    <row r="11" spans="2:6" ht="15.75">
      <c r="B11" s="107" t="s">
        <v>129</v>
      </c>
      <c r="C11" s="278" t="str">
        <f>Boa_Vista!C11</f>
        <v>2025/2025</v>
      </c>
      <c r="D11" s="278"/>
      <c r="E11" s="278"/>
      <c r="F11" s="278"/>
    </row>
    <row r="12" spans="2:6" ht="15.75">
      <c r="B12" s="106" t="s">
        <v>131</v>
      </c>
      <c r="C12" s="278">
        <f>Boa_Vista!C12</f>
        <v>12</v>
      </c>
      <c r="D12" s="278"/>
      <c r="E12" s="278"/>
      <c r="F12" s="278"/>
    </row>
    <row r="13" spans="2:6" ht="14.25">
      <c r="B13" s="108"/>
      <c r="C13" s="109"/>
      <c r="D13" s="110"/>
      <c r="E13" s="101"/>
    </row>
    <row r="14" spans="2:6" ht="14.25" customHeight="1">
      <c r="B14" s="232" t="s">
        <v>132</v>
      </c>
      <c r="C14" s="232"/>
      <c r="D14" s="232"/>
      <c r="E14" s="232"/>
      <c r="F14" s="232"/>
    </row>
    <row r="15" spans="2:6" ht="57">
      <c r="B15" s="111" t="s">
        <v>133</v>
      </c>
      <c r="C15" s="111" t="s">
        <v>134</v>
      </c>
      <c r="D15" s="111" t="s">
        <v>247</v>
      </c>
      <c r="E15" s="111" t="s">
        <v>248</v>
      </c>
      <c r="F15" s="111" t="s">
        <v>249</v>
      </c>
    </row>
    <row r="16" spans="2:6" ht="60">
      <c r="B16" s="112" t="s">
        <v>137</v>
      </c>
      <c r="C16" s="113" t="s">
        <v>250</v>
      </c>
      <c r="D16" s="113">
        <f>Resumo!E52</f>
        <v>1</v>
      </c>
      <c r="E16" s="113">
        <f>Resumo!E53</f>
        <v>0</v>
      </c>
      <c r="F16" s="113">
        <f>Resumo!E54</f>
        <v>0</v>
      </c>
    </row>
    <row r="17" spans="2:6" ht="15">
      <c r="B17" s="115"/>
      <c r="C17" s="116"/>
      <c r="D17" s="105"/>
      <c r="E17" s="101"/>
    </row>
    <row r="18" spans="2:6" ht="15">
      <c r="B18" s="115"/>
      <c r="C18" s="116"/>
      <c r="D18" s="105"/>
      <c r="E18" s="101"/>
    </row>
    <row r="19" spans="2:6" ht="16.7" customHeight="1">
      <c r="B19" s="232" t="s">
        <v>139</v>
      </c>
      <c r="C19" s="232"/>
      <c r="D19" s="232"/>
      <c r="E19" s="232"/>
      <c r="F19" s="232"/>
    </row>
    <row r="20" spans="2:6" ht="16.7" customHeight="1">
      <c r="B20" s="233" t="s">
        <v>140</v>
      </c>
      <c r="C20" s="233"/>
      <c r="D20" s="233"/>
      <c r="E20" s="233"/>
      <c r="F20" s="233"/>
    </row>
    <row r="21" spans="2:6" ht="15.75">
      <c r="B21" s="117" t="s">
        <v>141</v>
      </c>
      <c r="C21" s="231" t="s">
        <v>142</v>
      </c>
      <c r="D21" s="231"/>
      <c r="E21" s="231"/>
      <c r="F21" s="231"/>
    </row>
    <row r="22" spans="2:6" ht="15.75">
      <c r="B22" s="117" t="s">
        <v>143</v>
      </c>
      <c r="C22" s="231" t="s">
        <v>144</v>
      </c>
      <c r="D22" s="231"/>
      <c r="E22" s="231"/>
      <c r="F22" s="231"/>
    </row>
    <row r="23" spans="2:6" ht="15.75">
      <c r="B23" s="118" t="s">
        <v>145</v>
      </c>
      <c r="C23" s="234">
        <f>Boa_Vista!C23</f>
        <v>1555.62</v>
      </c>
      <c r="D23" s="234"/>
      <c r="E23" s="234"/>
      <c r="F23" s="234"/>
    </row>
    <row r="24" spans="2:6" ht="15.75">
      <c r="B24" s="118" t="s">
        <v>146</v>
      </c>
      <c r="C24" s="231" t="s">
        <v>147</v>
      </c>
      <c r="D24" s="231"/>
      <c r="E24" s="231"/>
      <c r="F24" s="231"/>
    </row>
    <row r="25" spans="2:6" ht="15.75">
      <c r="B25" s="118" t="s">
        <v>148</v>
      </c>
      <c r="C25" s="231" t="str">
        <f>Boa_Vista!C25</f>
        <v>01 de janeiro</v>
      </c>
      <c r="D25" s="231"/>
      <c r="E25" s="231"/>
      <c r="F25" s="231"/>
    </row>
    <row r="26" spans="2:6" ht="15.75">
      <c r="B26" s="118" t="s">
        <v>150</v>
      </c>
      <c r="C26" s="231" t="str">
        <f>Boa_Vista!C26</f>
        <v>RR000015/2025</v>
      </c>
      <c r="D26" s="231"/>
      <c r="E26" s="231"/>
      <c r="F26" s="231"/>
    </row>
    <row r="27" spans="2:6" ht="15">
      <c r="B27" s="119"/>
      <c r="C27" s="120"/>
      <c r="D27" s="121"/>
      <c r="E27" s="101"/>
    </row>
    <row r="28" spans="2:6" ht="42.75">
      <c r="B28" s="122" t="s">
        <v>152</v>
      </c>
      <c r="C28" s="242" t="s">
        <v>153</v>
      </c>
      <c r="D28" s="242" t="s">
        <v>251</v>
      </c>
      <c r="E28" s="242" t="s">
        <v>252</v>
      </c>
      <c r="F28" s="242" t="s">
        <v>253</v>
      </c>
    </row>
    <row r="29" spans="2:6" ht="16.7" customHeight="1">
      <c r="B29" s="232" t="s">
        <v>154</v>
      </c>
      <c r="C29" s="232"/>
      <c r="D29" s="232"/>
      <c r="E29" s="232"/>
      <c r="F29" s="232"/>
    </row>
    <row r="30" spans="2:6" ht="28.5">
      <c r="B30" s="124" t="s">
        <v>155</v>
      </c>
      <c r="C30" s="125" t="s">
        <v>156</v>
      </c>
      <c r="D30" s="126" t="s">
        <v>157</v>
      </c>
      <c r="E30" s="126" t="s">
        <v>157</v>
      </c>
      <c r="F30" s="126" t="s">
        <v>157</v>
      </c>
    </row>
    <row r="31" spans="2:6" ht="15">
      <c r="B31" s="127" t="s">
        <v>158</v>
      </c>
      <c r="C31" s="243">
        <f>C23</f>
        <v>1555.62</v>
      </c>
      <c r="D31" s="243">
        <f>C31</f>
        <v>1555.62</v>
      </c>
      <c r="E31" s="243">
        <f>C31</f>
        <v>1555.62</v>
      </c>
      <c r="F31" s="243">
        <f>C31</f>
        <v>1555.62</v>
      </c>
    </row>
    <row r="32" spans="2:6" ht="15">
      <c r="B32" s="127" t="s">
        <v>159</v>
      </c>
      <c r="C32" s="281">
        <v>0.3</v>
      </c>
      <c r="D32" s="246">
        <f>D31*C32</f>
        <v>466.68599999999992</v>
      </c>
      <c r="E32" s="246">
        <f>E31*C32</f>
        <v>466.68599999999992</v>
      </c>
      <c r="F32" s="246">
        <f>F31*C32</f>
        <v>466.68599999999992</v>
      </c>
    </row>
    <row r="33" spans="2:6" ht="15">
      <c r="B33" s="127" t="s">
        <v>160</v>
      </c>
      <c r="C33" s="282"/>
      <c r="D33" s="246"/>
      <c r="E33" s="246"/>
      <c r="F33" s="246"/>
    </row>
    <row r="34" spans="2:6" ht="15">
      <c r="B34" s="127" t="s">
        <v>161</v>
      </c>
      <c r="C34" s="281">
        <v>0.2</v>
      </c>
      <c r="D34" s="246">
        <v>0</v>
      </c>
      <c r="E34" s="246">
        <v>0</v>
      </c>
      <c r="F34" s="246">
        <f>((F31+F32)*(7/12)*C34)</f>
        <v>235.9357</v>
      </c>
    </row>
    <row r="35" spans="2:6" ht="15">
      <c r="B35" s="127" t="s">
        <v>162</v>
      </c>
      <c r="C35" s="281">
        <v>1.2</v>
      </c>
      <c r="D35" s="246">
        <v>0</v>
      </c>
      <c r="E35" s="246">
        <v>0</v>
      </c>
      <c r="F35" s="246">
        <f>(F31+F32)*(1/12)*C35</f>
        <v>202.23059999999995</v>
      </c>
    </row>
    <row r="36" spans="2:6" ht="15">
      <c r="B36" s="127" t="s">
        <v>163</v>
      </c>
      <c r="C36" s="249"/>
      <c r="D36" s="246">
        <v>0</v>
      </c>
      <c r="E36" s="246">
        <v>0</v>
      </c>
      <c r="F36" s="246">
        <v>0</v>
      </c>
    </row>
    <row r="37" spans="2:6" ht="15">
      <c r="B37" s="127" t="s">
        <v>164</v>
      </c>
      <c r="C37" s="249"/>
      <c r="D37" s="246">
        <v>0</v>
      </c>
      <c r="E37" s="246">
        <v>0</v>
      </c>
      <c r="F37" s="246">
        <v>0</v>
      </c>
    </row>
    <row r="38" spans="2:6" ht="14.25">
      <c r="B38" s="136" t="s">
        <v>165</v>
      </c>
      <c r="C38" s="137"/>
      <c r="D38" s="138">
        <f>SUM(D31:D37)</f>
        <v>2022.3059999999998</v>
      </c>
      <c r="E38" s="138">
        <f>SUM(E31:E37)</f>
        <v>2022.3059999999998</v>
      </c>
      <c r="F38" s="138">
        <f>SUM(F31:F37)</f>
        <v>2460.4722999999994</v>
      </c>
    </row>
    <row r="39" spans="2:6" ht="15">
      <c r="B39" s="119"/>
      <c r="C39" s="120"/>
      <c r="D39" s="121"/>
      <c r="E39" s="101"/>
    </row>
    <row r="40" spans="2:6" ht="16.7" customHeight="1">
      <c r="B40" s="232" t="s">
        <v>166</v>
      </c>
      <c r="C40" s="232"/>
      <c r="D40" s="232"/>
      <c r="E40" s="232"/>
      <c r="F40" s="232"/>
    </row>
    <row r="41" spans="2:6" ht="14.25">
      <c r="B41" s="139" t="s">
        <v>167</v>
      </c>
      <c r="C41" s="140" t="s">
        <v>168</v>
      </c>
      <c r="D41" s="140" t="s">
        <v>157</v>
      </c>
      <c r="E41" s="140" t="s">
        <v>157</v>
      </c>
      <c r="F41" s="140" t="s">
        <v>157</v>
      </c>
    </row>
    <row r="42" spans="2:6" ht="15">
      <c r="B42" s="127" t="s">
        <v>169</v>
      </c>
      <c r="C42" s="250">
        <f>1/12</f>
        <v>8.3333333333333329E-2</v>
      </c>
      <c r="D42" s="190">
        <f>C42*D38</f>
        <v>168.52549999999997</v>
      </c>
      <c r="E42" s="190">
        <f>C42*E38</f>
        <v>168.52549999999997</v>
      </c>
      <c r="F42" s="190">
        <f>C42*F38</f>
        <v>205.03935833333327</v>
      </c>
    </row>
    <row r="43" spans="2:6" ht="45">
      <c r="B43" s="127" t="s">
        <v>170</v>
      </c>
      <c r="C43" s="250">
        <f>C42/3</f>
        <v>2.7777777777777776E-2</v>
      </c>
      <c r="D43" s="190">
        <f>C43*D38</f>
        <v>56.175166666666655</v>
      </c>
      <c r="E43" s="190">
        <f>C43*E38</f>
        <v>56.175166666666655</v>
      </c>
      <c r="F43" s="190">
        <f>C43*F38</f>
        <v>68.346452777777756</v>
      </c>
    </row>
    <row r="44" spans="2:6" ht="14.25">
      <c r="B44" s="143" t="s">
        <v>165</v>
      </c>
      <c r="C44" s="144">
        <f>SUM(C42:C43)</f>
        <v>0.1111111111111111</v>
      </c>
      <c r="D44" s="145">
        <f>SUM(D42:D43)</f>
        <v>224.70066666666662</v>
      </c>
      <c r="E44" s="145">
        <f>SUM(E42:E43)</f>
        <v>224.70066666666662</v>
      </c>
      <c r="F44" s="145">
        <f>SUM(F42:F43)</f>
        <v>273.38581111111102</v>
      </c>
    </row>
    <row r="45" spans="2:6" ht="14.25">
      <c r="B45" s="146" t="s">
        <v>171</v>
      </c>
      <c r="C45" s="140" t="s">
        <v>168</v>
      </c>
      <c r="D45" s="140" t="s">
        <v>157</v>
      </c>
      <c r="E45" s="140" t="s">
        <v>157</v>
      </c>
      <c r="F45" s="140" t="s">
        <v>157</v>
      </c>
    </row>
    <row r="46" spans="2:6" ht="15">
      <c r="B46" s="127" t="s">
        <v>172</v>
      </c>
      <c r="C46" s="250">
        <v>0.2</v>
      </c>
      <c r="D46" s="251">
        <f>C46*(D38+D44)</f>
        <v>449.40133333333324</v>
      </c>
      <c r="E46" s="251">
        <f>C46*(E38+E44)</f>
        <v>449.40133333333324</v>
      </c>
      <c r="F46" s="251">
        <f>C46*(F38+F44)</f>
        <v>546.77162222222216</v>
      </c>
    </row>
    <row r="47" spans="2:6" ht="15">
      <c r="B47" s="127" t="s">
        <v>173</v>
      </c>
      <c r="C47" s="250">
        <v>2.5000000000000001E-2</v>
      </c>
      <c r="D47" s="251">
        <f>C47*(D38+D44)</f>
        <v>56.175166666666655</v>
      </c>
      <c r="E47" s="251">
        <f>C47*(E38+E44)</f>
        <v>56.175166666666655</v>
      </c>
      <c r="F47" s="251">
        <f>C47*(F38+F44)</f>
        <v>68.34645277777777</v>
      </c>
    </row>
    <row r="48" spans="2:6" ht="15">
      <c r="B48" s="127" t="s">
        <v>174</v>
      </c>
      <c r="C48" s="250">
        <v>0.03</v>
      </c>
      <c r="D48" s="251">
        <f>C48*(D38+D44)</f>
        <v>67.410199999999989</v>
      </c>
      <c r="E48" s="251">
        <f>C48*(E38+E44)</f>
        <v>67.410199999999989</v>
      </c>
      <c r="F48" s="251">
        <f>C48*(F38+F44)</f>
        <v>82.015743333333319</v>
      </c>
    </row>
    <row r="49" spans="2:6" ht="15">
      <c r="B49" s="127" t="s">
        <v>175</v>
      </c>
      <c r="C49" s="250">
        <v>1.4999999999999999E-2</v>
      </c>
      <c r="D49" s="251">
        <f>C49*(D38+D44)</f>
        <v>33.705099999999995</v>
      </c>
      <c r="E49" s="251">
        <f>C49*(E38+E44)</f>
        <v>33.705099999999995</v>
      </c>
      <c r="F49" s="251">
        <f>C49*(F38+F44)</f>
        <v>41.007871666666659</v>
      </c>
    </row>
    <row r="50" spans="2:6" ht="15">
      <c r="B50" s="127" t="s">
        <v>176</v>
      </c>
      <c r="C50" s="250">
        <v>0.01</v>
      </c>
      <c r="D50" s="251">
        <f>C50*(D38+D44)</f>
        <v>22.470066666666664</v>
      </c>
      <c r="E50" s="251">
        <f>C50*(E38+E44)</f>
        <v>22.470066666666664</v>
      </c>
      <c r="F50" s="251">
        <f>C50*(F38+F44)</f>
        <v>27.338581111111107</v>
      </c>
    </row>
    <row r="51" spans="2:6" ht="15">
      <c r="B51" s="127" t="s">
        <v>177</v>
      </c>
      <c r="C51" s="250">
        <v>6.0000000000000001E-3</v>
      </c>
      <c r="D51" s="251">
        <f>C51*(D38+D44)</f>
        <v>13.482039999999998</v>
      </c>
      <c r="E51" s="251">
        <f>C51*(E38+E44)</f>
        <v>13.482039999999998</v>
      </c>
      <c r="F51" s="251">
        <f>C51*(F38+F44)</f>
        <v>16.403148666666663</v>
      </c>
    </row>
    <row r="52" spans="2:6" ht="15">
      <c r="B52" s="127" t="s">
        <v>178</v>
      </c>
      <c r="C52" s="250">
        <v>2E-3</v>
      </c>
      <c r="D52" s="251">
        <f>C52*(D38+D44)</f>
        <v>4.4940133333333323</v>
      </c>
      <c r="E52" s="251">
        <f>C52*(E38+E44)</f>
        <v>4.4940133333333323</v>
      </c>
      <c r="F52" s="251">
        <f>C52*(F38+F44)</f>
        <v>5.4677162222222213</v>
      </c>
    </row>
    <row r="53" spans="2:6" ht="15">
      <c r="B53" s="127" t="s">
        <v>179</v>
      </c>
      <c r="C53" s="250">
        <v>0.08</v>
      </c>
      <c r="D53" s="251">
        <f>C53*(D38+D44)</f>
        <v>179.76053333333331</v>
      </c>
      <c r="E53" s="251">
        <f>C53*(E38+E44)</f>
        <v>179.76053333333331</v>
      </c>
      <c r="F53" s="251">
        <f>C53*(F38+F44)</f>
        <v>218.70864888888886</v>
      </c>
    </row>
    <row r="54" spans="2:6" ht="14.25">
      <c r="B54" s="143" t="s">
        <v>165</v>
      </c>
      <c r="C54" s="144">
        <f>SUM(C46:C53)</f>
        <v>0.36800000000000005</v>
      </c>
      <c r="D54" s="148">
        <f>SUM(D46:D53)</f>
        <v>826.89845333333324</v>
      </c>
      <c r="E54" s="148">
        <f>SUM(E46:E53)</f>
        <v>826.89845333333324</v>
      </c>
      <c r="F54" s="148">
        <f>SUM(F46:F53)</f>
        <v>1006.0597848888888</v>
      </c>
    </row>
    <row r="55" spans="2:6" ht="28.5">
      <c r="B55" s="149" t="s">
        <v>180</v>
      </c>
      <c r="C55" s="150" t="s">
        <v>156</v>
      </c>
      <c r="D55" s="140" t="s">
        <v>157</v>
      </c>
      <c r="E55" s="140" t="s">
        <v>157</v>
      </c>
      <c r="F55" s="140" t="s">
        <v>157</v>
      </c>
    </row>
    <row r="56" spans="2:6" ht="15">
      <c r="B56" s="127" t="s">
        <v>181</v>
      </c>
      <c r="C56" s="252">
        <v>0</v>
      </c>
      <c r="D56" s="243">
        <f>IF((C56*26*2)-(D31*0.06)&lt;0,0,(C56*26*2)-(D31*0.06))</f>
        <v>0</v>
      </c>
      <c r="E56" s="243">
        <f>IF((C56*15*2)-(E31*0.06)&lt;0,0,(C56*15*2)-(E31*0.06))</f>
        <v>0</v>
      </c>
      <c r="F56" s="243">
        <f>IF((C56*15*2)-(F31*0.06)&lt;0,0,(C56*15*2)-(F31*0.06))</f>
        <v>0</v>
      </c>
    </row>
    <row r="57" spans="2:6" ht="15">
      <c r="B57" s="127" t="s">
        <v>182</v>
      </c>
      <c r="C57" s="253">
        <f>Memória_de_Cálculo!C6</f>
        <v>35.020000000000003</v>
      </c>
      <c r="D57" s="254">
        <f>Memória_de_Cálculo!E6</f>
        <v>819.46800000000007</v>
      </c>
      <c r="E57" s="254">
        <f>Memória_de_Cálculo!E7</f>
        <v>472.77000000000004</v>
      </c>
      <c r="F57" s="254">
        <f>Memória_de_Cálculo!E8</f>
        <v>472.77000000000004</v>
      </c>
    </row>
    <row r="58" spans="2:6" ht="15">
      <c r="B58" s="127" t="s">
        <v>183</v>
      </c>
      <c r="C58" s="253">
        <f>Boa_Vista!C58</f>
        <v>138.02000000000001</v>
      </c>
      <c r="D58" s="254">
        <f>C58</f>
        <v>138.02000000000001</v>
      </c>
      <c r="E58" s="254">
        <f>C58</f>
        <v>138.02000000000001</v>
      </c>
      <c r="F58" s="254">
        <f>C58</f>
        <v>138.02000000000001</v>
      </c>
    </row>
    <row r="59" spans="2:6" ht="15">
      <c r="B59" s="127" t="s">
        <v>184</v>
      </c>
      <c r="C59" s="255">
        <v>9.5500000000000004E-5</v>
      </c>
      <c r="D59" s="256">
        <f>((D31*(60+5))+1200)*C59</f>
        <v>9.7711111499999994</v>
      </c>
      <c r="E59" s="256">
        <f>((E31*(60+5))+1200)*C59</f>
        <v>9.7711111499999994</v>
      </c>
      <c r="F59" s="256">
        <f>((F31*(60+5))+1200)*C59</f>
        <v>9.7711111499999994</v>
      </c>
    </row>
    <row r="60" spans="2:6" ht="15">
      <c r="B60" s="127" t="s">
        <v>254</v>
      </c>
      <c r="C60" s="253">
        <f>Boa_Vista!C60</f>
        <v>14</v>
      </c>
      <c r="D60" s="256">
        <f>C60</f>
        <v>14</v>
      </c>
      <c r="E60" s="256">
        <f>C60</f>
        <v>14</v>
      </c>
      <c r="F60" s="256">
        <f>C60</f>
        <v>14</v>
      </c>
    </row>
    <row r="61" spans="2:6" ht="15">
      <c r="B61" s="127" t="s">
        <v>186</v>
      </c>
      <c r="C61" s="257"/>
      <c r="D61" s="256">
        <f>C61</f>
        <v>0</v>
      </c>
      <c r="E61" s="256">
        <f>C61</f>
        <v>0</v>
      </c>
      <c r="F61" s="256">
        <f>C61</f>
        <v>0</v>
      </c>
    </row>
    <row r="62" spans="2:6" ht="14.25">
      <c r="B62" s="143" t="s">
        <v>165</v>
      </c>
      <c r="C62" s="158"/>
      <c r="D62" s="159">
        <f>SUM(D56:D61)</f>
        <v>981.25911115000008</v>
      </c>
      <c r="E62" s="159">
        <f>SUM(E56:E61)</f>
        <v>634.5611111500001</v>
      </c>
      <c r="F62" s="159">
        <f>SUM(F56:F61)</f>
        <v>634.5611111500001</v>
      </c>
    </row>
    <row r="63" spans="2:6" ht="14.25">
      <c r="B63" s="160" t="s">
        <v>187</v>
      </c>
      <c r="C63" s="161" t="s">
        <v>168</v>
      </c>
      <c r="D63" s="126" t="s">
        <v>157</v>
      </c>
      <c r="E63" s="126" t="s">
        <v>157</v>
      </c>
      <c r="F63" s="126" t="s">
        <v>157</v>
      </c>
    </row>
    <row r="64" spans="2:6" ht="15">
      <c r="B64" s="162" t="s">
        <v>188</v>
      </c>
      <c r="C64" s="258">
        <f>C44</f>
        <v>0.1111111111111111</v>
      </c>
      <c r="D64" s="190">
        <f>D44</f>
        <v>224.70066666666662</v>
      </c>
      <c r="E64" s="190">
        <f>E44</f>
        <v>224.70066666666662</v>
      </c>
      <c r="F64" s="190">
        <f>F44</f>
        <v>273.38581111111102</v>
      </c>
    </row>
    <row r="65" spans="2:7" ht="15">
      <c r="B65" s="165" t="s">
        <v>189</v>
      </c>
      <c r="C65" s="258">
        <f>C54</f>
        <v>0.36800000000000005</v>
      </c>
      <c r="D65" s="190">
        <f>D54</f>
        <v>826.89845333333324</v>
      </c>
      <c r="E65" s="190">
        <f>E54</f>
        <v>826.89845333333324</v>
      </c>
      <c r="F65" s="190">
        <f>F54</f>
        <v>1006.0597848888888</v>
      </c>
    </row>
    <row r="66" spans="2:7" ht="15">
      <c r="B66" s="165" t="s">
        <v>190</v>
      </c>
      <c r="C66" s="190">
        <v>0</v>
      </c>
      <c r="D66" s="190">
        <f>D62</f>
        <v>981.25911115000008</v>
      </c>
      <c r="E66" s="190">
        <f>E62</f>
        <v>634.5611111500001</v>
      </c>
      <c r="F66" s="190">
        <f>F62</f>
        <v>634.5611111500001</v>
      </c>
    </row>
    <row r="67" spans="2:7" ht="14.25">
      <c r="B67" s="136" t="s">
        <v>165</v>
      </c>
      <c r="C67" s="168"/>
      <c r="D67" s="169">
        <f>SUM(D64:D66)</f>
        <v>2032.8582311499999</v>
      </c>
      <c r="E67" s="169">
        <f>SUM(E64:E66)</f>
        <v>1686.1602311500001</v>
      </c>
      <c r="F67" s="169">
        <f>SUM(F64:F66)</f>
        <v>1914.0067071499998</v>
      </c>
    </row>
    <row r="68" spans="2:7" ht="14.25">
      <c r="B68" s="170"/>
      <c r="C68" s="121"/>
      <c r="D68" s="121"/>
      <c r="E68" s="101"/>
    </row>
    <row r="69" spans="2:7" ht="16.7" customHeight="1">
      <c r="B69" s="232" t="s">
        <v>191</v>
      </c>
      <c r="C69" s="232"/>
      <c r="D69" s="232"/>
      <c r="E69" s="232"/>
      <c r="F69" s="232"/>
    </row>
    <row r="70" spans="2:7" ht="14.25">
      <c r="B70" s="171" t="s">
        <v>192</v>
      </c>
      <c r="C70" s="172" t="s">
        <v>168</v>
      </c>
      <c r="D70" s="173" t="s">
        <v>157</v>
      </c>
      <c r="E70" s="173" t="s">
        <v>157</v>
      </c>
      <c r="F70" s="173" t="s">
        <v>157</v>
      </c>
    </row>
    <row r="71" spans="2:7" ht="27.75">
      <c r="B71" s="127" t="s">
        <v>193</v>
      </c>
      <c r="C71" s="259">
        <f>1/12*0.05</f>
        <v>4.1666666666666666E-3</v>
      </c>
      <c r="D71" s="190">
        <f>C71*D38</f>
        <v>8.4262749999999986</v>
      </c>
      <c r="E71" s="190">
        <f>C71*E38</f>
        <v>8.4262749999999986</v>
      </c>
      <c r="F71" s="190">
        <f>C71*F38</f>
        <v>10.251967916666665</v>
      </c>
    </row>
    <row r="72" spans="2:7" ht="15">
      <c r="B72" s="175" t="s">
        <v>194</v>
      </c>
      <c r="C72" s="259">
        <f>C53*C71</f>
        <v>3.3333333333333332E-4</v>
      </c>
      <c r="D72" s="190">
        <f>C72*D38</f>
        <v>0.67410199999999987</v>
      </c>
      <c r="E72" s="190">
        <f>C72*E38</f>
        <v>0.67410199999999987</v>
      </c>
      <c r="F72" s="190">
        <f>C72*F38</f>
        <v>0.82015743333333313</v>
      </c>
    </row>
    <row r="73" spans="2:7" ht="15">
      <c r="B73" s="127" t="s">
        <v>195</v>
      </c>
      <c r="C73" s="259">
        <v>0</v>
      </c>
      <c r="D73" s="190">
        <f>C73*D38</f>
        <v>0</v>
      </c>
      <c r="E73" s="190">
        <f>C73*E38</f>
        <v>0</v>
      </c>
      <c r="F73" s="190">
        <f>C73*F38</f>
        <v>0</v>
      </c>
    </row>
    <row r="74" spans="2:7" ht="27.75">
      <c r="B74" s="127" t="s">
        <v>196</v>
      </c>
      <c r="C74" s="259">
        <f>1/30*7/12</f>
        <v>1.9444444444444445E-2</v>
      </c>
      <c r="D74" s="190">
        <f>C74*D38</f>
        <v>39.322616666666661</v>
      </c>
      <c r="E74" s="190">
        <f>C74*E38</f>
        <v>39.322616666666661</v>
      </c>
      <c r="F74" s="190">
        <f>C74*F38</f>
        <v>47.842516944444434</v>
      </c>
    </row>
    <row r="75" spans="2:7" ht="30">
      <c r="B75" s="127" t="s">
        <v>197</v>
      </c>
      <c r="C75" s="259">
        <f>C54*C74</f>
        <v>7.1555555555555565E-3</v>
      </c>
      <c r="D75" s="190">
        <f>C75*D38</f>
        <v>14.470722933333334</v>
      </c>
      <c r="E75" s="190">
        <f>C75*E38</f>
        <v>14.470722933333334</v>
      </c>
      <c r="F75" s="190">
        <f>C75*F38</f>
        <v>17.606046235555553</v>
      </c>
      <c r="G75" s="176"/>
    </row>
    <row r="76" spans="2:7" ht="30">
      <c r="B76" s="127" t="s">
        <v>198</v>
      </c>
      <c r="C76" s="260">
        <f>0.08*0.4*0.9*(1+1/12+1/12+1/3*1/12)</f>
        <v>3.4399999999999993E-2</v>
      </c>
      <c r="D76" s="190">
        <f>C76*D38</f>
        <v>69.567326399999985</v>
      </c>
      <c r="E76" s="190">
        <f>C76*E38</f>
        <v>69.567326399999985</v>
      </c>
      <c r="F76" s="190">
        <f>C76*F38</f>
        <v>84.64024711999997</v>
      </c>
    </row>
    <row r="77" spans="2:7" ht="14.25">
      <c r="B77" s="136" t="s">
        <v>165</v>
      </c>
      <c r="C77" s="178">
        <f>SUM(C71:C76)</f>
        <v>6.5500000000000003E-2</v>
      </c>
      <c r="D77" s="169">
        <f>SUM(D71:D76)</f>
        <v>132.46104299999996</v>
      </c>
      <c r="E77" s="169">
        <f>SUM(E71:E76)</f>
        <v>132.46104299999996</v>
      </c>
      <c r="F77" s="169">
        <f>SUM(F71:F76)</f>
        <v>161.16093564999994</v>
      </c>
    </row>
    <row r="78" spans="2:7">
      <c r="B78" s="179"/>
      <c r="C78" s="180"/>
      <c r="D78" s="180"/>
      <c r="E78" s="101"/>
    </row>
    <row r="79" spans="2:7" ht="16.7" customHeight="1">
      <c r="B79" s="232" t="s">
        <v>199</v>
      </c>
      <c r="C79" s="232"/>
      <c r="D79" s="232"/>
      <c r="E79" s="232"/>
      <c r="F79" s="232"/>
    </row>
    <row r="80" spans="2:7" ht="14.25">
      <c r="B80" s="181" t="s">
        <v>200</v>
      </c>
      <c r="C80" s="182" t="s">
        <v>168</v>
      </c>
      <c r="D80" s="183" t="s">
        <v>157</v>
      </c>
      <c r="E80" s="183" t="s">
        <v>157</v>
      </c>
      <c r="F80" s="183" t="s">
        <v>157</v>
      </c>
    </row>
    <row r="81" spans="2:6" ht="15">
      <c r="B81" s="127" t="s">
        <v>201</v>
      </c>
      <c r="C81" s="250">
        <f>Boa_Vista!C81</f>
        <v>8.3333333333333329E-2</v>
      </c>
      <c r="D81" s="251">
        <f>C81*(D38+D67+D77)</f>
        <v>348.96877284583331</v>
      </c>
      <c r="E81" s="251">
        <f>C81*(E38+E67+E77)</f>
        <v>320.07727284583325</v>
      </c>
      <c r="F81" s="251">
        <f>C81*(F38+F67+F77)</f>
        <v>377.96999523333329</v>
      </c>
    </row>
    <row r="82" spans="2:6" ht="15">
      <c r="B82" s="127" t="s">
        <v>202</v>
      </c>
      <c r="C82" s="189">
        <f>Boa_Vista!C82</f>
        <v>8.2000000000000007E-3</v>
      </c>
      <c r="D82" s="251">
        <f>C82*(D38+D67+D77)</f>
        <v>34.338527248030005</v>
      </c>
      <c r="E82" s="251">
        <f>C82*(E38+E67+E77)</f>
        <v>31.495603648029999</v>
      </c>
      <c r="F82" s="251">
        <f>C82*(F38+F67+F77)</f>
        <v>37.192247530959996</v>
      </c>
    </row>
    <row r="83" spans="2:6" ht="15">
      <c r="B83" s="127" t="s">
        <v>203</v>
      </c>
      <c r="C83" s="189">
        <f>Boa_Vista!C83</f>
        <v>3.6275555555555553E-4</v>
      </c>
      <c r="D83" s="251">
        <f>C83*(D38+D67+D77)</f>
        <v>1.5190843327827688</v>
      </c>
      <c r="E83" s="251">
        <f>C83*(E38+E67+E77)</f>
        <v>1.3933177071827685</v>
      </c>
      <c r="F83" s="251">
        <f>C83*(F38+F67+F77)</f>
        <v>1.645328587250382</v>
      </c>
    </row>
    <row r="84" spans="2:6" ht="15">
      <c r="B84" s="127" t="s">
        <v>204</v>
      </c>
      <c r="C84" s="189">
        <f>Boa_Vista!C84</f>
        <v>1.5305423328660365E-2</v>
      </c>
      <c r="D84" s="251">
        <f>C84*(D38+D67+D77)</f>
        <v>64.093377562663164</v>
      </c>
      <c r="E84" s="251">
        <f>C84*(E38+E67+E77)</f>
        <v>58.787017905463266</v>
      </c>
      <c r="F84" s="251">
        <f>C84*(F38+F67+F77)</f>
        <v>69.41988939093487</v>
      </c>
    </row>
    <row r="85" spans="2:6" ht="15">
      <c r="B85" s="127" t="s">
        <v>205</v>
      </c>
      <c r="C85" s="189">
        <f>Boa_Vista!C85</f>
        <v>1.0654335999999999E-3</v>
      </c>
      <c r="D85" s="251">
        <f>C85*(D38+D67+D77)</f>
        <v>4.4616366712886215</v>
      </c>
      <c r="E85" s="251">
        <f>C85*(E38+E67+E77)</f>
        <v>4.092252973035821</v>
      </c>
      <c r="F85" s="251">
        <f>C85*(F38+F67+F77)</f>
        <v>4.8324231925611976</v>
      </c>
    </row>
    <row r="86" spans="2:6" ht="15">
      <c r="B86" s="127" t="s">
        <v>206</v>
      </c>
      <c r="C86" s="189">
        <f>Boa_Vista!C86</f>
        <v>0</v>
      </c>
      <c r="D86" s="251">
        <f>C86*(D38+D67+D77)</f>
        <v>0</v>
      </c>
      <c r="E86" s="251">
        <f>C86*(E38+E67+E77)</f>
        <v>0</v>
      </c>
      <c r="F86" s="251">
        <f>C86*(F38+F67+F77)</f>
        <v>0</v>
      </c>
    </row>
    <row r="87" spans="2:6" ht="14.25">
      <c r="B87" s="136" t="s">
        <v>165</v>
      </c>
      <c r="C87" s="185">
        <f>SUM(C81:C86)</f>
        <v>0.10826694581754924</v>
      </c>
      <c r="D87" s="169">
        <f>SUM(D81:D86)</f>
        <v>453.38139866059782</v>
      </c>
      <c r="E87" s="169">
        <f>SUM(E81:E86)</f>
        <v>415.84546507954508</v>
      </c>
      <c r="F87" s="169">
        <f>SUM(F81:F86)</f>
        <v>491.05988393503975</v>
      </c>
    </row>
    <row r="88" spans="2:6" ht="14.25">
      <c r="B88" s="186" t="s">
        <v>207</v>
      </c>
      <c r="C88" s="187" t="s">
        <v>168</v>
      </c>
      <c r="D88" s="140" t="s">
        <v>157</v>
      </c>
      <c r="E88" s="140" t="s">
        <v>157</v>
      </c>
      <c r="F88" s="140" t="s">
        <v>157</v>
      </c>
    </row>
    <row r="89" spans="2:6" ht="30">
      <c r="B89" s="188" t="s">
        <v>208</v>
      </c>
      <c r="C89" s="189">
        <v>0.5</v>
      </c>
      <c r="D89" s="190">
        <v>0</v>
      </c>
      <c r="E89" s="190">
        <f>(E38/220)*15*1.5</f>
        <v>206.82675</v>
      </c>
      <c r="F89" s="190">
        <f>(F38/220)*15*1.5</f>
        <v>251.63921249999993</v>
      </c>
    </row>
    <row r="90" spans="2:6" ht="14.25">
      <c r="B90" s="136" t="s">
        <v>165</v>
      </c>
      <c r="C90" s="185"/>
      <c r="D90" s="169">
        <f>SUM(D89:D89)</f>
        <v>0</v>
      </c>
      <c r="E90" s="169">
        <f>SUM(E89:E89)</f>
        <v>206.82675</v>
      </c>
      <c r="F90" s="169">
        <f>SUM(F89:F89)</f>
        <v>251.63921249999993</v>
      </c>
    </row>
    <row r="91" spans="2:6" ht="14.25">
      <c r="B91" s="191"/>
      <c r="C91" s="192"/>
      <c r="D91" s="121"/>
      <c r="E91" s="121"/>
    </row>
    <row r="92" spans="2:6" ht="14.25">
      <c r="B92" s="193" t="s">
        <v>209</v>
      </c>
      <c r="C92" s="194" t="s">
        <v>168</v>
      </c>
      <c r="D92" s="195" t="s">
        <v>157</v>
      </c>
      <c r="E92" s="195" t="s">
        <v>157</v>
      </c>
      <c r="F92" s="195" t="s">
        <v>157</v>
      </c>
    </row>
    <row r="93" spans="2:6" ht="15">
      <c r="B93" s="261" t="s">
        <v>210</v>
      </c>
      <c r="C93" s="189">
        <f>C87</f>
        <v>0.10826694581754924</v>
      </c>
      <c r="D93" s="190">
        <f>D87</f>
        <v>453.38139866059782</v>
      </c>
      <c r="E93" s="190">
        <f>E87</f>
        <v>415.84546507954508</v>
      </c>
      <c r="F93" s="190">
        <f>F87</f>
        <v>491.05988393503975</v>
      </c>
    </row>
    <row r="94" spans="2:6" ht="15">
      <c r="B94" s="262" t="s">
        <v>211</v>
      </c>
      <c r="C94" s="189">
        <f>C89</f>
        <v>0.5</v>
      </c>
      <c r="D94" s="190">
        <f>D90</f>
        <v>0</v>
      </c>
      <c r="E94" s="190">
        <f>E90</f>
        <v>206.82675</v>
      </c>
      <c r="F94" s="190">
        <f>F90</f>
        <v>251.63921249999993</v>
      </c>
    </row>
    <row r="95" spans="2:6" ht="14.25">
      <c r="B95" s="136" t="s">
        <v>165</v>
      </c>
      <c r="C95" s="197"/>
      <c r="D95" s="169">
        <f>SUM(D93:D94)</f>
        <v>453.38139866059782</v>
      </c>
      <c r="E95" s="169">
        <f>SUM(E93:E94)</f>
        <v>622.67221507954514</v>
      </c>
      <c r="F95" s="169">
        <f>SUM(F93:F94)</f>
        <v>742.69909643503968</v>
      </c>
    </row>
    <row r="96" spans="2:6">
      <c r="B96" s="179"/>
      <c r="C96" s="198"/>
      <c r="D96" s="180"/>
      <c r="E96" s="101"/>
    </row>
    <row r="97" spans="2:8" ht="16.7" customHeight="1">
      <c r="B97" s="232" t="s">
        <v>212</v>
      </c>
      <c r="C97" s="232"/>
      <c r="D97" s="232"/>
      <c r="E97" s="232"/>
      <c r="F97" s="232"/>
    </row>
    <row r="98" spans="2:8" ht="14.25">
      <c r="B98" s="193" t="s">
        <v>213</v>
      </c>
      <c r="C98" s="194" t="s">
        <v>214</v>
      </c>
      <c r="D98" s="195" t="s">
        <v>157</v>
      </c>
      <c r="E98" s="195" t="s">
        <v>157</v>
      </c>
      <c r="F98" s="195" t="s">
        <v>157</v>
      </c>
    </row>
    <row r="99" spans="2:8" ht="15">
      <c r="B99" s="127" t="s">
        <v>215</v>
      </c>
      <c r="C99" s="263">
        <f>Boa_Vista!C99</f>
        <v>75.492499999999993</v>
      </c>
      <c r="D99" s="264">
        <f>C99</f>
        <v>75.492499999999993</v>
      </c>
      <c r="E99" s="264">
        <f>C99</f>
        <v>75.492499999999993</v>
      </c>
      <c r="F99" s="264">
        <f>C99</f>
        <v>75.492499999999993</v>
      </c>
    </row>
    <row r="100" spans="2:8" ht="15">
      <c r="B100" s="127" t="s">
        <v>216</v>
      </c>
      <c r="C100" s="263">
        <f>Boa_Vista!C100</f>
        <v>12.125833333333333</v>
      </c>
      <c r="D100" s="264">
        <f>C100</f>
        <v>12.125833333333333</v>
      </c>
      <c r="E100" s="264">
        <f>C100/2</f>
        <v>6.0629166666666663</v>
      </c>
      <c r="F100" s="264">
        <f>C100/2</f>
        <v>6.0629166666666663</v>
      </c>
    </row>
    <row r="101" spans="2:8" ht="15">
      <c r="B101" s="127" t="s">
        <v>255</v>
      </c>
      <c r="C101" s="263">
        <f>Boa_Vista!C101</f>
        <v>0</v>
      </c>
      <c r="D101" s="190">
        <f>C101</f>
        <v>0</v>
      </c>
      <c r="E101" s="190">
        <f>C101</f>
        <v>0</v>
      </c>
      <c r="F101" s="190">
        <f>C101</f>
        <v>0</v>
      </c>
    </row>
    <row r="102" spans="2:8" ht="15">
      <c r="B102" s="127" t="s">
        <v>217</v>
      </c>
      <c r="C102" s="263">
        <f>Boa_Vista!C102</f>
        <v>0</v>
      </c>
      <c r="D102" s="190">
        <f>C102</f>
        <v>0</v>
      </c>
      <c r="E102" s="190">
        <f>C102</f>
        <v>0</v>
      </c>
      <c r="F102" s="190">
        <f>C102</f>
        <v>0</v>
      </c>
    </row>
    <row r="103" spans="2:8" ht="14.25">
      <c r="B103" s="201" t="s">
        <v>165</v>
      </c>
      <c r="C103" s="169">
        <f>SUM(C99:C102)</f>
        <v>87.618333333333325</v>
      </c>
      <c r="D103" s="169">
        <f>SUM(D99:D102)</f>
        <v>87.618333333333325</v>
      </c>
      <c r="E103" s="169">
        <f>SUM(E99:E102)</f>
        <v>81.555416666666659</v>
      </c>
      <c r="F103" s="169">
        <f>SUM(F99:F102)</f>
        <v>81.555416666666659</v>
      </c>
    </row>
    <row r="104" spans="2:8" ht="14.25">
      <c r="B104" s="170"/>
      <c r="C104" s="202"/>
      <c r="D104" s="121"/>
      <c r="E104" s="101"/>
    </row>
    <row r="105" spans="2:8" ht="16.7" customHeight="1">
      <c r="B105" s="232" t="s">
        <v>218</v>
      </c>
      <c r="C105" s="232"/>
      <c r="D105" s="232"/>
      <c r="E105" s="232"/>
      <c r="F105" s="232"/>
    </row>
    <row r="106" spans="2:8" ht="14.25">
      <c r="B106" s="124" t="s">
        <v>219</v>
      </c>
      <c r="C106" s="172" t="s">
        <v>168</v>
      </c>
      <c r="D106" s="126" t="s">
        <v>157</v>
      </c>
      <c r="E106" s="126" t="s">
        <v>157</v>
      </c>
      <c r="F106" s="126" t="s">
        <v>157</v>
      </c>
    </row>
    <row r="107" spans="2:8" ht="15">
      <c r="B107" s="127" t="s">
        <v>220</v>
      </c>
      <c r="C107" s="177">
        <v>0.06</v>
      </c>
      <c r="D107" s="190">
        <f>C107*(D38+D67+D77+D95+D103)</f>
        <v>283.7175003686358</v>
      </c>
      <c r="E107" s="190">
        <f>C107*(E38+E67+E77+E95+E103)</f>
        <v>272.70929435377269</v>
      </c>
      <c r="F107" s="190">
        <f>C107*(F38+F67+F77+F95+F103)</f>
        <v>321.59366735410237</v>
      </c>
      <c r="H107" s="203"/>
    </row>
    <row r="108" spans="2:8" ht="15">
      <c r="B108" s="127" t="s">
        <v>221</v>
      </c>
      <c r="C108" s="177">
        <v>6.7900000000000002E-2</v>
      </c>
      <c r="D108" s="190">
        <f>C108*(D38+D67+D77+D95+D103+D107)</f>
        <v>340.33805619220328</v>
      </c>
      <c r="E108" s="190">
        <f>C108*(E38+E67+E77+E95+E103+E107)</f>
        <v>327.13297919697396</v>
      </c>
      <c r="F108" s="190">
        <f>C108*(F38+F67+F77+F95+F103+F107)</f>
        <v>385.77304356906944</v>
      </c>
      <c r="H108" s="203"/>
    </row>
    <row r="109" spans="2:8" ht="15">
      <c r="B109" s="127" t="s">
        <v>222</v>
      </c>
      <c r="C109" s="259">
        <f>SUM(C110:C114)</f>
        <v>8.6499999999999994E-2</v>
      </c>
      <c r="D109" s="190">
        <f>((D38+D67+D77+D95+D103+D107+D108)/(1-C109))*C109</f>
        <v>506.84933626049542</v>
      </c>
      <c r="E109" s="190">
        <f>((E38+E67+E77+E95+E103+E107+E108)/(1-C109))*C109</f>
        <v>487.18364096569445</v>
      </c>
      <c r="F109" s="190">
        <f>((F38+F67+F77+F95+F103+F107+F108)/(1-C109))*C109</f>
        <v>574.51350950230096</v>
      </c>
      <c r="H109" s="203"/>
    </row>
    <row r="110" spans="2:8" ht="15">
      <c r="B110" s="204" t="s">
        <v>223</v>
      </c>
      <c r="C110" s="259">
        <f>0.03</f>
        <v>0.03</v>
      </c>
      <c r="D110" s="265">
        <f>((D38+D67+D77+D95+D103+D107+D108)/(1-C109))*C110</f>
        <v>175.78589696895796</v>
      </c>
      <c r="E110" s="265">
        <f>((E38+E67+E77+E95+E103+E107+E108)/(1-C109))*C110</f>
        <v>168.96542461237956</v>
      </c>
      <c r="F110" s="265">
        <f>((F38+F67+F77+F95+F103+F107+F108)/(1-C109))*C110</f>
        <v>199.25324028981538</v>
      </c>
    </row>
    <row r="111" spans="2:8" ht="15">
      <c r="B111" s="204" t="s">
        <v>224</v>
      </c>
      <c r="C111" s="259">
        <f>0.0065</f>
        <v>6.4999999999999997E-3</v>
      </c>
      <c r="D111" s="265">
        <f>((D38+D67+D77+D95+D103+D107+D108)/(1-C109))*C111</f>
        <v>38.086944343274226</v>
      </c>
      <c r="E111" s="265">
        <f>((E38+E67+E77+E95+E103+E107+E108)/(1-C109))*C111</f>
        <v>36.609175332682241</v>
      </c>
      <c r="F111" s="265">
        <f>((F38+F67+F77+F95+F103+F107+F108)/(1-C109))*C111</f>
        <v>43.171535396126664</v>
      </c>
    </row>
    <row r="112" spans="2:8" ht="15">
      <c r="B112" s="204" t="s">
        <v>225</v>
      </c>
      <c r="C112" s="266"/>
      <c r="D112" s="267"/>
      <c r="E112" s="267"/>
      <c r="F112" s="267"/>
    </row>
    <row r="113" spans="2:6" ht="15">
      <c r="B113" s="204" t="s">
        <v>226</v>
      </c>
      <c r="C113" s="259">
        <v>0.05</v>
      </c>
      <c r="D113" s="265">
        <f>((D38+D67+D77+D95+D103+D107+D108)/(1-C109))*C113</f>
        <v>292.97649494826328</v>
      </c>
      <c r="E113" s="265">
        <f>((E38+E67+E77+E95+E103+E107+E108)/(1-C109))*C113</f>
        <v>281.60904102063267</v>
      </c>
      <c r="F113" s="265">
        <f>((F38+F67+F77+F95+F103+F107+F108)/(1-C109))*C113</f>
        <v>332.08873381635902</v>
      </c>
    </row>
    <row r="114" spans="2:6" ht="15">
      <c r="B114" s="204" t="s">
        <v>227</v>
      </c>
      <c r="C114" s="268"/>
      <c r="D114" s="269"/>
      <c r="E114" s="269"/>
      <c r="F114" s="269"/>
    </row>
    <row r="115" spans="2:6" ht="15">
      <c r="B115" s="201" t="s">
        <v>165</v>
      </c>
      <c r="C115" s="210"/>
      <c r="D115" s="169">
        <f>SUM(D107:D109)</f>
        <v>1130.9048928213344</v>
      </c>
      <c r="E115" s="169">
        <f>SUM(E107:E109)</f>
        <v>1087.0259145164412</v>
      </c>
      <c r="F115" s="169">
        <f>SUM(F107:F109)</f>
        <v>1281.8802204254728</v>
      </c>
    </row>
    <row r="116" spans="2:6">
      <c r="B116" s="179"/>
      <c r="C116" s="198"/>
      <c r="D116" s="180"/>
      <c r="E116" s="101"/>
    </row>
    <row r="117" spans="2:6" ht="16.7" customHeight="1">
      <c r="B117" s="235" t="s">
        <v>228</v>
      </c>
      <c r="C117" s="235"/>
      <c r="D117" s="235"/>
      <c r="E117" s="235"/>
      <c r="F117" s="235"/>
    </row>
    <row r="118" spans="2:6" ht="16.7" customHeight="1">
      <c r="B118" s="236" t="s">
        <v>229</v>
      </c>
      <c r="C118" s="236"/>
      <c r="D118" s="211" t="s">
        <v>157</v>
      </c>
      <c r="E118" s="211" t="s">
        <v>157</v>
      </c>
      <c r="F118" s="211" t="s">
        <v>157</v>
      </c>
    </row>
    <row r="119" spans="2:6" ht="16.7" customHeight="1">
      <c r="B119" s="237" t="s">
        <v>230</v>
      </c>
      <c r="C119" s="237"/>
      <c r="D119" s="158">
        <f>D38</f>
        <v>2022.3059999999998</v>
      </c>
      <c r="E119" s="158">
        <f>E38</f>
        <v>2022.3059999999998</v>
      </c>
      <c r="F119" s="158">
        <f>F38</f>
        <v>2460.4722999999994</v>
      </c>
    </row>
    <row r="120" spans="2:6" ht="16.7" customHeight="1">
      <c r="B120" s="237" t="s">
        <v>231</v>
      </c>
      <c r="C120" s="237"/>
      <c r="D120" s="158">
        <f>D67</f>
        <v>2032.8582311499999</v>
      </c>
      <c r="E120" s="158">
        <f>E67</f>
        <v>1686.1602311500001</v>
      </c>
      <c r="F120" s="158">
        <f>F67</f>
        <v>1914.0067071499998</v>
      </c>
    </row>
    <row r="121" spans="2:6" ht="16.7" customHeight="1">
      <c r="B121" s="237" t="s">
        <v>232</v>
      </c>
      <c r="C121" s="237"/>
      <c r="D121" s="158">
        <f>D77</f>
        <v>132.46104299999996</v>
      </c>
      <c r="E121" s="158">
        <f>E77</f>
        <v>132.46104299999996</v>
      </c>
      <c r="F121" s="158">
        <f>F77</f>
        <v>161.16093564999994</v>
      </c>
    </row>
    <row r="122" spans="2:6" ht="16.7" customHeight="1">
      <c r="B122" s="237" t="s">
        <v>233</v>
      </c>
      <c r="C122" s="237"/>
      <c r="D122" s="158">
        <f>D95</f>
        <v>453.38139866059782</v>
      </c>
      <c r="E122" s="158">
        <f>E95</f>
        <v>622.67221507954514</v>
      </c>
      <c r="F122" s="158">
        <f>F95</f>
        <v>742.69909643503968</v>
      </c>
    </row>
    <row r="123" spans="2:6" ht="16.7" customHeight="1">
      <c r="B123" s="237" t="s">
        <v>234</v>
      </c>
      <c r="C123" s="237"/>
      <c r="D123" s="158">
        <f>D103</f>
        <v>87.618333333333325</v>
      </c>
      <c r="E123" s="158">
        <f>E103</f>
        <v>81.555416666666659</v>
      </c>
      <c r="F123" s="158">
        <f>F103</f>
        <v>81.555416666666659</v>
      </c>
    </row>
    <row r="124" spans="2:6" ht="16.7" customHeight="1">
      <c r="B124" s="238" t="s">
        <v>235</v>
      </c>
      <c r="C124" s="238"/>
      <c r="D124" s="212">
        <f>SUM(D119:D123)</f>
        <v>4728.6250061439305</v>
      </c>
      <c r="E124" s="212">
        <f>SUM(E119:E123)</f>
        <v>4545.1549058962119</v>
      </c>
      <c r="F124" s="212">
        <f>SUM(F119:F123)</f>
        <v>5359.8944559017064</v>
      </c>
    </row>
    <row r="125" spans="2:6" ht="16.7" customHeight="1">
      <c r="B125" s="237" t="s">
        <v>236</v>
      </c>
      <c r="C125" s="237"/>
      <c r="D125" s="158">
        <f>D115</f>
        <v>1130.9048928213344</v>
      </c>
      <c r="E125" s="158">
        <f>E115</f>
        <v>1087.0259145164412</v>
      </c>
      <c r="F125" s="158">
        <f>F115</f>
        <v>1281.8802204254728</v>
      </c>
    </row>
    <row r="126" spans="2:6" ht="15">
      <c r="B126" s="213" t="s">
        <v>237</v>
      </c>
      <c r="C126" s="214"/>
      <c r="D126" s="215">
        <f>ROUND(D119+D120+D121+D122+D123+D125,2)</f>
        <v>5859.53</v>
      </c>
      <c r="E126" s="215">
        <f>ROUND(E119+E120+E121+E122+E123+E125,2)</f>
        <v>5632.18</v>
      </c>
      <c r="F126" s="215">
        <f>ROUND(F119+F120+F121+F122+F123+F125,2)</f>
        <v>6641.77</v>
      </c>
    </row>
    <row r="127" spans="2:6" ht="15">
      <c r="B127" s="170"/>
      <c r="C127" s="202"/>
      <c r="D127" s="121"/>
      <c r="E127" s="216"/>
    </row>
    <row r="128" spans="2:6" ht="18">
      <c r="B128" s="279" t="s">
        <v>238</v>
      </c>
      <c r="C128" s="279"/>
      <c r="D128" s="279"/>
      <c r="E128" s="279"/>
    </row>
    <row r="129" spans="2:5" ht="25.5">
      <c r="B129" s="270" t="s">
        <v>239</v>
      </c>
      <c r="C129" s="270" t="s">
        <v>256</v>
      </c>
      <c r="D129" s="270" t="s">
        <v>257</v>
      </c>
      <c r="E129" s="270" t="s">
        <v>242</v>
      </c>
    </row>
    <row r="130" spans="2:5" ht="18.75" customHeight="1">
      <c r="B130" s="271" t="s">
        <v>258</v>
      </c>
      <c r="C130" s="272">
        <f>Resumo!E52</f>
        <v>1</v>
      </c>
      <c r="D130" s="273">
        <f>ROUND(D126,2)</f>
        <v>5859.53</v>
      </c>
      <c r="E130" s="274">
        <f t="shared" ref="E130:E135" si="0">C130*D130</f>
        <v>5859.53</v>
      </c>
    </row>
    <row r="131" spans="2:5" ht="18.75" customHeight="1">
      <c r="B131" s="271" t="s">
        <v>259</v>
      </c>
      <c r="C131" s="272">
        <f>Resumo!E53</f>
        <v>0</v>
      </c>
      <c r="D131" s="273">
        <f>ROUND(E126*2,2)</f>
        <v>11264.36</v>
      </c>
      <c r="E131" s="274">
        <f t="shared" si="0"/>
        <v>0</v>
      </c>
    </row>
    <row r="132" spans="2:5" ht="18.75" customHeight="1">
      <c r="B132" s="271" t="s">
        <v>260</v>
      </c>
      <c r="C132" s="272">
        <f>Resumo!E54</f>
        <v>0</v>
      </c>
      <c r="D132" s="273">
        <f>ROUND(F126*2,2)</f>
        <v>13283.54</v>
      </c>
      <c r="E132" s="274">
        <f t="shared" si="0"/>
        <v>0</v>
      </c>
    </row>
    <row r="133" spans="2:5" ht="18.75" customHeight="1">
      <c r="B133" s="271" t="s">
        <v>261</v>
      </c>
      <c r="C133" s="272" t="e">
        <f>Resumo!#REF!</f>
        <v>#REF!</v>
      </c>
      <c r="D133" s="273">
        <f>ROUND(D126/220,2)</f>
        <v>26.63</v>
      </c>
      <c r="E133" s="274" t="e">
        <f t="shared" si="0"/>
        <v>#REF!</v>
      </c>
    </row>
    <row r="134" spans="2:5" ht="18.75" customHeight="1">
      <c r="B134" s="271" t="s">
        <v>262</v>
      </c>
      <c r="C134" s="272">
        <f>Resumo!E55</f>
        <v>0</v>
      </c>
      <c r="D134" s="273">
        <f>ROUND(E126/220,2)</f>
        <v>25.6</v>
      </c>
      <c r="E134" s="274">
        <f t="shared" si="0"/>
        <v>0</v>
      </c>
    </row>
    <row r="135" spans="2:5" ht="18.75" customHeight="1">
      <c r="B135" s="271" t="s">
        <v>263</v>
      </c>
      <c r="C135" s="272">
        <f>Resumo!E56</f>
        <v>0</v>
      </c>
      <c r="D135" s="273">
        <f>ROUND(F126/220,2)</f>
        <v>30.19</v>
      </c>
      <c r="E135" s="274">
        <f t="shared" si="0"/>
        <v>0</v>
      </c>
    </row>
    <row r="136" spans="2:5" ht="18.75" customHeight="1">
      <c r="B136" s="280" t="s">
        <v>245</v>
      </c>
      <c r="C136" s="280"/>
      <c r="D136" s="276"/>
      <c r="E136" s="274" t="e">
        <f>SUM(E130:E135)</f>
        <v>#REF!</v>
      </c>
    </row>
    <row r="137" spans="2:5" ht="15">
      <c r="B137" s="170"/>
      <c r="C137" s="202"/>
      <c r="D137" s="121"/>
      <c r="E137" s="216"/>
    </row>
    <row r="138" spans="2:5" ht="14.25">
      <c r="B138" s="170" t="s">
        <v>264</v>
      </c>
      <c r="E138" s="226"/>
    </row>
  </sheetData>
  <mergeCells count="35">
    <mergeCell ref="B123:C123"/>
    <mergeCell ref="B124:C124"/>
    <mergeCell ref="B125:C125"/>
    <mergeCell ref="B128:E128"/>
    <mergeCell ref="B136:C136"/>
    <mergeCell ref="B117:F117"/>
    <mergeCell ref="B118:C118"/>
    <mergeCell ref="B119:C119"/>
    <mergeCell ref="B120:C120"/>
    <mergeCell ref="B121:C121"/>
    <mergeCell ref="B122:C122"/>
    <mergeCell ref="B29:F29"/>
    <mergeCell ref="B40:F40"/>
    <mergeCell ref="B69:F69"/>
    <mergeCell ref="B79:F79"/>
    <mergeCell ref="B97:F97"/>
    <mergeCell ref="B105:F105"/>
    <mergeCell ref="C21:F21"/>
    <mergeCell ref="C22:F22"/>
    <mergeCell ref="C23:F23"/>
    <mergeCell ref="C24:F24"/>
    <mergeCell ref="C25:F25"/>
    <mergeCell ref="C26:F26"/>
    <mergeCell ref="C10:F10"/>
    <mergeCell ref="C11:F11"/>
    <mergeCell ref="C12:F12"/>
    <mergeCell ref="B14:F14"/>
    <mergeCell ref="B19:F19"/>
    <mergeCell ref="B20:F20"/>
    <mergeCell ref="B1:E1"/>
    <mergeCell ref="B2:E2"/>
    <mergeCell ref="C4:F4"/>
    <mergeCell ref="C5:F5"/>
    <mergeCell ref="C6:F6"/>
    <mergeCell ref="C9:F9"/>
  </mergeCells>
  <pageMargins left="0.78740157480314998" right="0.78740157480314998" top="0.78740157480314898" bottom="0.78740157480314898" header="0.511811023622047" footer="0.511811023622047"/>
  <pageSetup paperSize="0" scale="65" fitToWidth="0" fitToHeight="0" orientation="portrait" horizontalDpi="0" verticalDpi="0" copies="0"/>
  <colBreaks count="1" manualBreakCount="1">
    <brk id="6" man="1"/>
  </colBreaks>
</worksheet>
</file>

<file path=docProps/app.xml><?xml version="1.0" encoding="utf-8"?>
<Properties xmlns="http://schemas.openxmlformats.org/officeDocument/2006/extended-properties" xmlns:vt="http://schemas.openxmlformats.org/officeDocument/2006/docPropsVTypes">
  <TotalTime>463</TotalTime>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Resumo</vt:lpstr>
      <vt:lpstr>Insumos</vt:lpstr>
      <vt:lpstr>Memória_de_Cálculo</vt:lpstr>
      <vt:lpstr>Hora_Extra</vt:lpstr>
      <vt:lpstr>Boa_Vista</vt:lpstr>
      <vt:lpstr>Caracaraí</vt:lpstr>
      <vt:lpstr>Rorainópolis</vt:lpstr>
      <vt:lpstr>Alto_Alegre</vt:lpstr>
      <vt:lpstr>Memória_de_Cálculo!Area_de_impressao</vt:lpstr>
      <vt:lpstr>Resumo!Area_de_impressao</vt:lpstr>
      <vt:lpstr>Resumo!Print_Area_0</vt:lpstr>
      <vt:lpstr>Memória_de_Cálculo!Print_Area_0_0</vt:lpstr>
      <vt:lpstr>Resumo!Print_Area_0_0</vt:lpstr>
      <vt:lpstr>Memória_de_Cálculo!Print_Area_0_0_0</vt:lpstr>
      <vt:lpstr>Resumo!Print_Area_0_0_0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dc:creator>
  <dc:description/>
  <cp:lastModifiedBy>Marcela Dohara</cp:lastModifiedBy>
  <cp:revision>221</cp:revision>
  <dcterms:created xsi:type="dcterms:W3CDTF">2020-01-27T09:12:42Z</dcterms:created>
  <dcterms:modified xsi:type="dcterms:W3CDTF">2025-10-31T15:54:08Z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0x010100636461C4583E7D43A6B8F46B8E022446</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