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LIMPEZA PGR e CTB\"/>
    </mc:Choice>
  </mc:AlternateContent>
  <bookViews>
    <workbookView xWindow="0" yWindow="0" windowWidth="28800" windowHeight="11835" tabRatio="500" firstSheet="4"/>
  </bookViews>
  <sheets>
    <sheet name="Modelo de Proposta" sheetId="39" r:id="rId1"/>
    <sheet name="M. Cal" sheetId="2" r:id="rId2"/>
    <sheet name="Insumos" sheetId="3" r:id="rId3"/>
    <sheet name="Resumo PGR e CTB" sheetId="5" r:id="rId4"/>
    <sheet name="End" sheetId="4" r:id="rId5"/>
    <sheet name="Carregador PGR e CTB" sheetId="38" r:id="rId6"/>
    <sheet name="Encar PGR e CTB" sheetId="7" r:id="rId7"/>
    <sheet name="Produt. Postos PGR" sheetId="6" r:id="rId8"/>
    <sheet name="PGR 40h" sheetId="8" r:id="rId9"/>
    <sheet name="PGR 30h" sheetId="9" r:id="rId10"/>
    <sheet name="Guar 40h" sheetId="10" r:id="rId11"/>
    <sheet name="Irat 40h" sheetId="11" r:id="rId12"/>
    <sheet name="Jag 30h" sheetId="12" r:id="rId13"/>
    <sheet name="Laran 30h" sheetId="13" r:id="rId14"/>
    <sheet name="T. Borba 40h" sheetId="14" r:id="rId15"/>
    <sheet name="U. Vit 40h" sheetId="15" r:id="rId16"/>
    <sheet name="Cast 40h" sheetId="16" r:id="rId17"/>
    <sheet name="Ibai 40h" sheetId="17" r:id="rId18"/>
    <sheet name="Pit 30h" sheetId="18" r:id="rId19"/>
    <sheet name="Arap 30h" sheetId="19" r:id="rId20"/>
    <sheet name="Imb 30h" sheetId="20" r:id="rId21"/>
    <sheet name="Prud 30h" sheetId="21" r:id="rId22"/>
    <sheet name="Pinhão 30h" sheetId="22" r:id="rId23"/>
    <sheet name="Palm 30h" sheetId="23" r:id="rId24"/>
    <sheet name="S. Mat 30h" sheetId="24" r:id="rId25"/>
    <sheet name="Produt. Postos CBT" sheetId="25" r:id="rId26"/>
    <sheet name="CRB 40h" sheetId="26" r:id="rId27"/>
    <sheet name="CRB 30h" sheetId="27" r:id="rId28"/>
    <sheet name="Par 40h" sheetId="28" r:id="rId29"/>
    <sheet name="Arauc 40h" sheetId="29" r:id="rId30"/>
    <sheet name="SJP 40h" sheetId="30" r:id="rId31"/>
    <sheet name="Colom 40h" sheetId="31" r:id="rId32"/>
    <sheet name="FRG 30h" sheetId="32" r:id="rId33"/>
    <sheet name="C. Largo 30h" sheetId="33" r:id="rId34"/>
    <sheet name="Pinhais 30h " sheetId="34" r:id="rId35"/>
    <sheet name="Lapa 30h" sheetId="35" r:id="rId36"/>
    <sheet name="Mand 30h" sheetId="36" r:id="rId37"/>
    <sheet name="Itap 30h" sheetId="37" r:id="rId38"/>
  </sheets>
  <definedNames>
    <definedName name="_xlnm.Print_Area" localSheetId="0">'Modelo de Proposta'!$B$1:$H$32</definedName>
    <definedName name="Print_Area" localSheetId="19">'Arap 30h'!$A$1:$D$174</definedName>
    <definedName name="Print_Area" localSheetId="29">'Arauc 40h'!$A$1:$D$177</definedName>
    <definedName name="Print_Area" localSheetId="33">'C. Largo 30h'!$A$1:$D$177</definedName>
    <definedName name="Print_Area" localSheetId="5">'Carregador PGR e CTB'!$A$1:$D$115</definedName>
    <definedName name="Print_Area" localSheetId="16">'Cast 40h'!$A$1:$D$174</definedName>
    <definedName name="Print_Area" localSheetId="31">'Colom 40h'!$A$1:$D$177</definedName>
    <definedName name="Print_Area" localSheetId="27">'CRB 30h'!$A$1:$D$171</definedName>
    <definedName name="Print_Area" localSheetId="26">'CRB 40h'!$A$1:$D$168</definedName>
    <definedName name="Print_Area" localSheetId="6">'Encar PGR e CTB'!$A$1:$B$112</definedName>
    <definedName name="Print_Area" localSheetId="32">'FRG 30h'!$A$1:$D$177</definedName>
    <definedName name="Print_Area" localSheetId="10">'Guar 40h'!$A$1:$D$168</definedName>
    <definedName name="Print_Area" localSheetId="17">'Ibai 40h'!$A$1:$D$174</definedName>
    <definedName name="Print_Area" localSheetId="20">'Imb 30h'!$A$1:$D$174</definedName>
    <definedName name="Print_Area" localSheetId="11">'Irat 40h'!$A$1:$D$168</definedName>
    <definedName name="Print_Area" localSheetId="37">'Itap 30h'!$A$1:$D$177</definedName>
    <definedName name="Print_Area" localSheetId="12">'Jag 30h'!$A$1:$D$174</definedName>
    <definedName name="Print_Area" localSheetId="35">'Lapa 30h'!$A$1:$D$177</definedName>
    <definedName name="Print_Area" localSheetId="13">'Laran 30h'!$A$1:$D$174</definedName>
    <definedName name="Print_Area" localSheetId="1">'M. Cal'!$A$2:$S$15</definedName>
    <definedName name="Print_Area" localSheetId="36">'Mand 30h'!$A$1:$D$177</definedName>
    <definedName name="Print_Area" localSheetId="23">'Palm 30h'!$A$1:$D$174</definedName>
    <definedName name="Print_Area" localSheetId="28">'Par 40h'!$A$1:$D$171</definedName>
    <definedName name="Print_Area" localSheetId="9">'PGR 30h'!$A$1:$D$174</definedName>
    <definedName name="Print_Area" localSheetId="8">'PGR 40h'!$A$1:$D$165</definedName>
    <definedName name="Print_Area" localSheetId="34">'Pinhais 30h '!$A$1:$D$177</definedName>
    <definedName name="Print_Area" localSheetId="22">'Pinhão 30h'!$A$1:$D$174</definedName>
    <definedName name="Print_Area" localSheetId="18">'Pit 30h'!$A$1:$D$174</definedName>
    <definedName name="Print_Area" localSheetId="21">'Prud 30h'!$A$1:$D$174</definedName>
    <definedName name="Print_Area" localSheetId="24">'S. Mat 30h'!$A$1:$D$174</definedName>
    <definedName name="Print_Area" localSheetId="30">'SJP 40h'!$A$1:$D$177</definedName>
    <definedName name="Print_Area" localSheetId="14">'T. Borba 40h'!$A$1:$D$168</definedName>
    <definedName name="Print_Area" localSheetId="15">'U. Vit 40h'!$A$1:$D$168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39" l="1"/>
  <c r="H13" i="39" s="1"/>
  <c r="G12" i="39"/>
  <c r="H12" i="39" s="1"/>
  <c r="G11" i="39"/>
  <c r="H11" i="39" s="1"/>
  <c r="G10" i="39"/>
  <c r="H10" i="39" s="1"/>
  <c r="G9" i="39"/>
  <c r="H9" i="39" s="1"/>
  <c r="G8" i="39"/>
  <c r="H8" i="39" s="1"/>
  <c r="G196" i="3"/>
  <c r="F196" i="3"/>
  <c r="G105" i="3"/>
  <c r="F105" i="3"/>
  <c r="H15" i="39" l="1"/>
  <c r="H14" i="39"/>
  <c r="AF3" i="6"/>
  <c r="AG5" i="6"/>
  <c r="AG6" i="6"/>
  <c r="AF7" i="6"/>
  <c r="AG7" i="6"/>
  <c r="AG8" i="6"/>
  <c r="AF9" i="6"/>
  <c r="AG9" i="6"/>
  <c r="AG10" i="6"/>
  <c r="AG11" i="6"/>
  <c r="AH11" i="6"/>
  <c r="AG12" i="6"/>
  <c r="AH12" i="6"/>
  <c r="AG13" i="6"/>
  <c r="AH13" i="6"/>
  <c r="AF14" i="6"/>
  <c r="AG14" i="6"/>
  <c r="AH14" i="6"/>
  <c r="AF15" i="6"/>
  <c r="AG15" i="6"/>
  <c r="AF16" i="6"/>
  <c r="AG16" i="6"/>
  <c r="AH16" i="6"/>
  <c r="AF17" i="6"/>
  <c r="AG17" i="6"/>
  <c r="AH17" i="6"/>
  <c r="AF18" i="6"/>
  <c r="AG18" i="6"/>
  <c r="AH18" i="6"/>
  <c r="AF19" i="6"/>
  <c r="AG19" i="6"/>
  <c r="AH19" i="6"/>
  <c r="AF20" i="6"/>
  <c r="AG20" i="6"/>
  <c r="AH20" i="6"/>
  <c r="AD21" i="6"/>
  <c r="E222" i="3"/>
  <c r="F222" i="3" s="1"/>
  <c r="E117" i="38" s="1"/>
  <c r="E218" i="3"/>
  <c r="F218" i="3" s="1"/>
  <c r="D117" i="38" s="1"/>
  <c r="C25" i="3"/>
  <c r="D43" i="3"/>
  <c r="C45" i="3"/>
  <c r="C48" i="3"/>
  <c r="C51" i="3"/>
  <c r="C55" i="3"/>
  <c r="D62" i="3"/>
  <c r="D63" i="3"/>
  <c r="G63" i="3"/>
  <c r="D64" i="3"/>
  <c r="D65" i="3"/>
  <c r="G65" i="3"/>
  <c r="D67" i="3"/>
  <c r="D130" i="3"/>
  <c r="D131" i="3"/>
  <c r="G131" i="3" s="1"/>
  <c r="D132" i="3"/>
  <c r="D133" i="3"/>
  <c r="G133" i="3" s="1"/>
  <c r="D134" i="3"/>
  <c r="D137" i="3"/>
  <c r="G137" i="3" s="1"/>
  <c r="D138" i="3"/>
  <c r="D139" i="3"/>
  <c r="D140" i="3"/>
  <c r="F187" i="3"/>
  <c r="F186" i="3" s="1"/>
  <c r="G191" i="3"/>
  <c r="G192" i="3"/>
  <c r="G193" i="3"/>
  <c r="F194" i="3"/>
  <c r="F204" i="3"/>
  <c r="F212" i="3"/>
  <c r="C213" i="3"/>
  <c r="C99" i="38"/>
  <c r="B99" i="38"/>
  <c r="D66" i="38"/>
  <c r="B97" i="38"/>
  <c r="B96" i="38"/>
  <c r="B95" i="38"/>
  <c r="B94" i="38"/>
  <c r="B72" i="38"/>
  <c r="B71" i="38"/>
  <c r="B70" i="38"/>
  <c r="B67" i="38"/>
  <c r="B66" i="38"/>
  <c r="B65" i="38"/>
  <c r="C65" i="38"/>
  <c r="B62" i="38"/>
  <c r="C62" i="38"/>
  <c r="B61" i="38"/>
  <c r="B58" i="38"/>
  <c r="C58" i="38"/>
  <c r="B57" i="38"/>
  <c r="B27" i="38"/>
  <c r="B49" i="38"/>
  <c r="B44" i="38"/>
  <c r="D44" i="38" s="1"/>
  <c r="B43" i="38"/>
  <c r="C43" i="38"/>
  <c r="B39" i="38"/>
  <c r="B50" i="38" s="1"/>
  <c r="B41" i="38"/>
  <c r="D42" i="38"/>
  <c r="E104" i="38"/>
  <c r="E42" i="38"/>
  <c r="E8" i="38"/>
  <c r="D8" i="38"/>
  <c r="E5" i="38"/>
  <c r="E13" i="38" s="1"/>
  <c r="E20" i="38" s="1"/>
  <c r="E7" i="38"/>
  <c r="E6" i="38"/>
  <c r="Y21" i="6"/>
  <c r="X21" i="6"/>
  <c r="Z20" i="25"/>
  <c r="X20" i="25"/>
  <c r="D36" i="5"/>
  <c r="H36" i="5"/>
  <c r="I36" i="5"/>
  <c r="F192" i="3"/>
  <c r="F211" i="3"/>
  <c r="F210" i="3"/>
  <c r="F209" i="3"/>
  <c r="F203" i="3"/>
  <c r="F202" i="3"/>
  <c r="F201" i="3"/>
  <c r="F193" i="3"/>
  <c r="C41" i="38"/>
  <c r="D5" i="38"/>
  <c r="D13" i="38" s="1"/>
  <c r="D104" i="38"/>
  <c r="C97" i="38"/>
  <c r="C96" i="38"/>
  <c r="C95" i="38"/>
  <c r="C82" i="38"/>
  <c r="C72" i="38"/>
  <c r="C71" i="38"/>
  <c r="C70" i="38"/>
  <c r="C67" i="38"/>
  <c r="C66" i="38"/>
  <c r="E66" i="38" s="1"/>
  <c r="C61" i="38"/>
  <c r="C57" i="38"/>
  <c r="C39" i="38"/>
  <c r="C50" i="38" s="1"/>
  <c r="C27" i="38"/>
  <c r="C49" i="38" s="1"/>
  <c r="D7" i="38"/>
  <c r="D6" i="38"/>
  <c r="D190" i="37"/>
  <c r="A190" i="37"/>
  <c r="D189" i="37"/>
  <c r="A189" i="37"/>
  <c r="D188" i="37"/>
  <c r="A188" i="37"/>
  <c r="D187" i="37"/>
  <c r="A187" i="37"/>
  <c r="D186" i="37"/>
  <c r="D185" i="37"/>
  <c r="D184" i="37"/>
  <c r="A184" i="37"/>
  <c r="D183" i="37"/>
  <c r="A183" i="37"/>
  <c r="D182" i="37"/>
  <c r="A182" i="37"/>
  <c r="D181" i="37"/>
  <c r="A181" i="37"/>
  <c r="D180" i="37"/>
  <c r="A180" i="37"/>
  <c r="A158" i="37"/>
  <c r="A186" i="37" s="1"/>
  <c r="A155" i="37"/>
  <c r="A185" i="37" s="1"/>
  <c r="E105" i="37"/>
  <c r="D105" i="37"/>
  <c r="C105" i="37"/>
  <c r="B100" i="37"/>
  <c r="B97" i="37" s="1"/>
  <c r="B98" i="37"/>
  <c r="B96" i="37"/>
  <c r="B95" i="37"/>
  <c r="B82" i="37"/>
  <c r="B72" i="37"/>
  <c r="B70" i="37"/>
  <c r="B67" i="37"/>
  <c r="B66" i="37"/>
  <c r="B65" i="37"/>
  <c r="B58" i="37"/>
  <c r="B57" i="37"/>
  <c r="B43" i="37"/>
  <c r="B41" i="37"/>
  <c r="B39" i="37"/>
  <c r="B50" i="37" s="1"/>
  <c r="B27" i="37"/>
  <c r="B49" i="37" s="1"/>
  <c r="D19" i="37"/>
  <c r="E7" i="37"/>
  <c r="D7" i="37"/>
  <c r="C7" i="37"/>
  <c r="E6" i="37"/>
  <c r="D6" i="37"/>
  <c r="C6" i="37"/>
  <c r="C5" i="37"/>
  <c r="D190" i="36"/>
  <c r="A190" i="36"/>
  <c r="D189" i="36"/>
  <c r="A189" i="36"/>
  <c r="D188" i="36"/>
  <c r="A188" i="36"/>
  <c r="D187" i="36"/>
  <c r="A187" i="36"/>
  <c r="D186" i="36"/>
  <c r="D185" i="36"/>
  <c r="D184" i="36"/>
  <c r="A184" i="36"/>
  <c r="D183" i="36"/>
  <c r="A183" i="36"/>
  <c r="D182" i="36"/>
  <c r="A182" i="36"/>
  <c r="D181" i="36"/>
  <c r="A181" i="36"/>
  <c r="D180" i="36"/>
  <c r="A180" i="36"/>
  <c r="A158" i="36"/>
  <c r="A186" i="36" s="1"/>
  <c r="A155" i="36"/>
  <c r="A185" i="36" s="1"/>
  <c r="E105" i="36"/>
  <c r="D105" i="36"/>
  <c r="C105" i="36"/>
  <c r="B100" i="36"/>
  <c r="B98" i="36"/>
  <c r="B97" i="36"/>
  <c r="B96" i="36"/>
  <c r="B95" i="36"/>
  <c r="B82" i="36"/>
  <c r="B72" i="36"/>
  <c r="B70" i="36"/>
  <c r="B67" i="36"/>
  <c r="B66" i="36"/>
  <c r="B65" i="36"/>
  <c r="B58" i="36"/>
  <c r="B57" i="36"/>
  <c r="B43" i="36"/>
  <c r="B41" i="36"/>
  <c r="B39" i="36"/>
  <c r="B50" i="36" s="1"/>
  <c r="B27" i="36"/>
  <c r="B49" i="36" s="1"/>
  <c r="D19" i="36"/>
  <c r="E7" i="36"/>
  <c r="D7" i="36"/>
  <c r="C7" i="36"/>
  <c r="E6" i="36"/>
  <c r="D6" i="36"/>
  <c r="C6" i="36"/>
  <c r="C5" i="36"/>
  <c r="D190" i="35"/>
  <c r="A190" i="35"/>
  <c r="D189" i="35"/>
  <c r="A189" i="35"/>
  <c r="D188" i="35"/>
  <c r="A188" i="35"/>
  <c r="D187" i="35"/>
  <c r="A187" i="35"/>
  <c r="D186" i="35"/>
  <c r="D185" i="35"/>
  <c r="D184" i="35"/>
  <c r="A184" i="35"/>
  <c r="D183" i="35"/>
  <c r="A183" i="35"/>
  <c r="D182" i="35"/>
  <c r="A182" i="35"/>
  <c r="D181" i="35"/>
  <c r="A181" i="35"/>
  <c r="D180" i="35"/>
  <c r="A180" i="35"/>
  <c r="A158" i="35"/>
  <c r="A186" i="35" s="1"/>
  <c r="A155" i="35"/>
  <c r="A185" i="35" s="1"/>
  <c r="E105" i="35"/>
  <c r="D105" i="35"/>
  <c r="C105" i="35"/>
  <c r="B100" i="35"/>
  <c r="B97" i="35" s="1"/>
  <c r="B98" i="35"/>
  <c r="B96" i="35"/>
  <c r="B95" i="35"/>
  <c r="B82" i="35"/>
  <c r="B72" i="35"/>
  <c r="B70" i="35"/>
  <c r="B67" i="35"/>
  <c r="B66" i="35"/>
  <c r="B65" i="35"/>
  <c r="B58" i="35"/>
  <c r="B57" i="35"/>
  <c r="B43" i="35"/>
  <c r="B41" i="35"/>
  <c r="B39" i="35"/>
  <c r="B50" i="35" s="1"/>
  <c r="B27" i="35"/>
  <c r="B49" i="35" s="1"/>
  <c r="D19" i="35"/>
  <c r="E7" i="35"/>
  <c r="D7" i="35"/>
  <c r="C7" i="35"/>
  <c r="E6" i="35"/>
  <c r="D6" i="35"/>
  <c r="C6" i="35"/>
  <c r="C5" i="35"/>
  <c r="D190" i="34"/>
  <c r="A190" i="34"/>
  <c r="D189" i="34"/>
  <c r="A189" i="34"/>
  <c r="D188" i="34"/>
  <c r="A188" i="34"/>
  <c r="D187" i="34"/>
  <c r="A187" i="34"/>
  <c r="D186" i="34"/>
  <c r="D185" i="34"/>
  <c r="D184" i="34"/>
  <c r="A184" i="34"/>
  <c r="D183" i="34"/>
  <c r="A183" i="34"/>
  <c r="D182" i="34"/>
  <c r="A182" i="34"/>
  <c r="D181" i="34"/>
  <c r="A181" i="34"/>
  <c r="D180" i="34"/>
  <c r="A180" i="34"/>
  <c r="A158" i="34"/>
  <c r="A186" i="34" s="1"/>
  <c r="A155" i="34"/>
  <c r="A185" i="34" s="1"/>
  <c r="E105" i="34"/>
  <c r="D105" i="34"/>
  <c r="C105" i="34"/>
  <c r="B100" i="34"/>
  <c r="B98" i="34"/>
  <c r="B97" i="34"/>
  <c r="B96" i="34"/>
  <c r="B95" i="34"/>
  <c r="B82" i="34"/>
  <c r="B72" i="34"/>
  <c r="B70" i="34"/>
  <c r="B67" i="34"/>
  <c r="B66" i="34"/>
  <c r="B65" i="34"/>
  <c r="B58" i="34"/>
  <c r="B57" i="34"/>
  <c r="B43" i="34"/>
  <c r="B41" i="34"/>
  <c r="B39" i="34"/>
  <c r="B50" i="34" s="1"/>
  <c r="B27" i="34"/>
  <c r="B49" i="34" s="1"/>
  <c r="D19" i="34"/>
  <c r="E7" i="34"/>
  <c r="D7" i="34"/>
  <c r="C7" i="34"/>
  <c r="E6" i="34"/>
  <c r="D6" i="34"/>
  <c r="C6" i="34"/>
  <c r="C5" i="34"/>
  <c r="D190" i="33"/>
  <c r="A190" i="33"/>
  <c r="D189" i="33"/>
  <c r="A189" i="33"/>
  <c r="D188" i="33"/>
  <c r="A188" i="33"/>
  <c r="D187" i="33"/>
  <c r="A187" i="33"/>
  <c r="D186" i="33"/>
  <c r="D185" i="33"/>
  <c r="D184" i="33"/>
  <c r="A184" i="33"/>
  <c r="D183" i="33"/>
  <c r="A183" i="33"/>
  <c r="D182" i="33"/>
  <c r="A182" i="33"/>
  <c r="D181" i="33"/>
  <c r="A181" i="33"/>
  <c r="D180" i="33"/>
  <c r="A180" i="33"/>
  <c r="A158" i="33"/>
  <c r="A186" i="33" s="1"/>
  <c r="A155" i="33"/>
  <c r="A185" i="33" s="1"/>
  <c r="E105" i="33"/>
  <c r="D105" i="33"/>
  <c r="C105" i="33"/>
  <c r="B100" i="33"/>
  <c r="B97" i="33" s="1"/>
  <c r="B98" i="33"/>
  <c r="B96" i="33"/>
  <c r="B95" i="33"/>
  <c r="B82" i="33"/>
  <c r="B72" i="33"/>
  <c r="B70" i="33"/>
  <c r="B67" i="33"/>
  <c r="B66" i="33"/>
  <c r="B65" i="33"/>
  <c r="B58" i="33"/>
  <c r="B57" i="33"/>
  <c r="B43" i="33"/>
  <c r="B41" i="33"/>
  <c r="B39" i="33"/>
  <c r="B50" i="33" s="1"/>
  <c r="B27" i="33"/>
  <c r="B49" i="33" s="1"/>
  <c r="D19" i="33"/>
  <c r="E7" i="33"/>
  <c r="D7" i="33"/>
  <c r="C7" i="33"/>
  <c r="E6" i="33"/>
  <c r="D6" i="33"/>
  <c r="C6" i="33"/>
  <c r="C5" i="33"/>
  <c r="D190" i="32"/>
  <c r="A190" i="32"/>
  <c r="D189" i="32"/>
  <c r="A189" i="32"/>
  <c r="D188" i="32"/>
  <c r="A188" i="32"/>
  <c r="D187" i="32"/>
  <c r="A187" i="32"/>
  <c r="D186" i="32"/>
  <c r="D185" i="32"/>
  <c r="D184" i="32"/>
  <c r="A184" i="32"/>
  <c r="D183" i="32"/>
  <c r="A183" i="32"/>
  <c r="D182" i="32"/>
  <c r="A182" i="32"/>
  <c r="D181" i="32"/>
  <c r="A181" i="32"/>
  <c r="D180" i="32"/>
  <c r="A180" i="32"/>
  <c r="A158" i="32"/>
  <c r="A186" i="32" s="1"/>
  <c r="A155" i="32"/>
  <c r="A185" i="32" s="1"/>
  <c r="E105" i="32"/>
  <c r="D105" i="32"/>
  <c r="C105" i="32"/>
  <c r="B100" i="32"/>
  <c r="B98" i="32"/>
  <c r="B97" i="32"/>
  <c r="B96" i="32"/>
  <c r="B95" i="32"/>
  <c r="B82" i="32"/>
  <c r="B72" i="32"/>
  <c r="B70" i="32"/>
  <c r="B67" i="32"/>
  <c r="B66" i="32"/>
  <c r="B65" i="32"/>
  <c r="B58" i="32"/>
  <c r="B57" i="32"/>
  <c r="B43" i="32"/>
  <c r="B41" i="32"/>
  <c r="B39" i="32"/>
  <c r="B50" i="32" s="1"/>
  <c r="B27" i="32"/>
  <c r="B49" i="32" s="1"/>
  <c r="D19" i="32"/>
  <c r="E7" i="32"/>
  <c r="D7" i="32"/>
  <c r="C7" i="32"/>
  <c r="E6" i="32"/>
  <c r="D6" i="32"/>
  <c r="C6" i="32"/>
  <c r="C5" i="32"/>
  <c r="D190" i="31"/>
  <c r="A190" i="31"/>
  <c r="D189" i="31"/>
  <c r="A189" i="31"/>
  <c r="D188" i="31"/>
  <c r="A188" i="31"/>
  <c r="D187" i="31"/>
  <c r="A187" i="31"/>
  <c r="D186" i="31"/>
  <c r="D185" i="31"/>
  <c r="D184" i="31"/>
  <c r="A184" i="31"/>
  <c r="D183" i="31"/>
  <c r="A183" i="31"/>
  <c r="D182" i="31"/>
  <c r="A182" i="31"/>
  <c r="D181" i="31"/>
  <c r="A181" i="31"/>
  <c r="D180" i="31"/>
  <c r="A180" i="31"/>
  <c r="A158" i="31"/>
  <c r="A186" i="31" s="1"/>
  <c r="A155" i="31"/>
  <c r="A185" i="31" s="1"/>
  <c r="E105" i="31"/>
  <c r="D105" i="31"/>
  <c r="C105" i="31"/>
  <c r="B100" i="31"/>
  <c r="B97" i="31" s="1"/>
  <c r="B98" i="31"/>
  <c r="B96" i="31"/>
  <c r="B95" i="31"/>
  <c r="B82" i="31"/>
  <c r="B72" i="31"/>
  <c r="B70" i="31"/>
  <c r="B67" i="31"/>
  <c r="B66" i="31"/>
  <c r="B65" i="31"/>
  <c r="B58" i="31"/>
  <c r="B57" i="31"/>
  <c r="B43" i="31"/>
  <c r="B41" i="31"/>
  <c r="B39" i="31"/>
  <c r="B50" i="31" s="1"/>
  <c r="B27" i="31"/>
  <c r="B49" i="31" s="1"/>
  <c r="D19" i="31"/>
  <c r="E7" i="31"/>
  <c r="D7" i="31"/>
  <c r="C7" i="31"/>
  <c r="E6" i="31"/>
  <c r="D6" i="31"/>
  <c r="C6" i="31"/>
  <c r="C5" i="31"/>
  <c r="D190" i="30"/>
  <c r="A190" i="30"/>
  <c r="D189" i="30"/>
  <c r="A189" i="30"/>
  <c r="D188" i="30"/>
  <c r="A188" i="30"/>
  <c r="D187" i="30"/>
  <c r="A187" i="30"/>
  <c r="D186" i="30"/>
  <c r="D185" i="30"/>
  <c r="D184" i="30"/>
  <c r="A184" i="30"/>
  <c r="D183" i="30"/>
  <c r="A183" i="30"/>
  <c r="D182" i="30"/>
  <c r="A182" i="30"/>
  <c r="D181" i="30"/>
  <c r="A181" i="30"/>
  <c r="D180" i="30"/>
  <c r="A180" i="30"/>
  <c r="A158" i="30"/>
  <c r="A186" i="30" s="1"/>
  <c r="A155" i="30"/>
  <c r="A185" i="30" s="1"/>
  <c r="E105" i="30"/>
  <c r="D105" i="30"/>
  <c r="C105" i="30"/>
  <c r="B100" i="30"/>
  <c r="B98" i="30"/>
  <c r="B97" i="30"/>
  <c r="B96" i="30"/>
  <c r="B95" i="30"/>
  <c r="B82" i="30"/>
  <c r="B72" i="30"/>
  <c r="B70" i="30"/>
  <c r="B67" i="30"/>
  <c r="B66" i="30"/>
  <c r="B65" i="30"/>
  <c r="B58" i="30"/>
  <c r="B57" i="30"/>
  <c r="B43" i="30"/>
  <c r="B41" i="30"/>
  <c r="B39" i="30"/>
  <c r="B50" i="30" s="1"/>
  <c r="B27" i="30"/>
  <c r="B49" i="30" s="1"/>
  <c r="D19" i="30"/>
  <c r="E7" i="30"/>
  <c r="D7" i="30"/>
  <c r="C7" i="30"/>
  <c r="E6" i="30"/>
  <c r="D6" i="30"/>
  <c r="C6" i="30"/>
  <c r="C5" i="30"/>
  <c r="D190" i="29"/>
  <c r="A190" i="29"/>
  <c r="D189" i="29"/>
  <c r="A189" i="29"/>
  <c r="D188" i="29"/>
  <c r="A188" i="29"/>
  <c r="D187" i="29"/>
  <c r="A187" i="29"/>
  <c r="D186" i="29"/>
  <c r="D185" i="29"/>
  <c r="D184" i="29"/>
  <c r="A184" i="29"/>
  <c r="D183" i="29"/>
  <c r="A183" i="29"/>
  <c r="D182" i="29"/>
  <c r="A182" i="29"/>
  <c r="D181" i="29"/>
  <c r="A181" i="29"/>
  <c r="D180" i="29"/>
  <c r="A180" i="29"/>
  <c r="A158" i="29"/>
  <c r="A186" i="29" s="1"/>
  <c r="A155" i="29"/>
  <c r="A185" i="29" s="1"/>
  <c r="E105" i="29"/>
  <c r="D105" i="29"/>
  <c r="C105" i="29"/>
  <c r="B100" i="29"/>
  <c r="B97" i="29" s="1"/>
  <c r="B98" i="29"/>
  <c r="B96" i="29"/>
  <c r="B95" i="29"/>
  <c r="B82" i="29"/>
  <c r="B72" i="29"/>
  <c r="B70" i="29"/>
  <c r="B67" i="29"/>
  <c r="B66" i="29"/>
  <c r="B65" i="29"/>
  <c r="B58" i="29"/>
  <c r="B57" i="29"/>
  <c r="B43" i="29"/>
  <c r="B41" i="29"/>
  <c r="B39" i="29"/>
  <c r="B50" i="29" s="1"/>
  <c r="B27" i="29"/>
  <c r="B49" i="29" s="1"/>
  <c r="D19" i="29"/>
  <c r="E7" i="29"/>
  <c r="D7" i="29"/>
  <c r="C7" i="29"/>
  <c r="E6" i="29"/>
  <c r="D6" i="29"/>
  <c r="C6" i="29"/>
  <c r="C5" i="29"/>
  <c r="D190" i="28"/>
  <c r="A190" i="28"/>
  <c r="D189" i="28"/>
  <c r="A189" i="28"/>
  <c r="D188" i="28"/>
  <c r="A188" i="28"/>
  <c r="D187" i="28"/>
  <c r="A187" i="28"/>
  <c r="D186" i="28"/>
  <c r="D185" i="28"/>
  <c r="D184" i="28"/>
  <c r="A184" i="28"/>
  <c r="D183" i="28"/>
  <c r="A183" i="28"/>
  <c r="D182" i="28"/>
  <c r="A182" i="28"/>
  <c r="D181" i="28"/>
  <c r="A181" i="28"/>
  <c r="D180" i="28"/>
  <c r="A180" i="28"/>
  <c r="A158" i="28"/>
  <c r="A186" i="28" s="1"/>
  <c r="A155" i="28"/>
  <c r="A185" i="28" s="1"/>
  <c r="E105" i="28"/>
  <c r="D105" i="28"/>
  <c r="C105" i="28"/>
  <c r="B100" i="28"/>
  <c r="B98" i="28"/>
  <c r="B97" i="28"/>
  <c r="B96" i="28"/>
  <c r="B95" i="28"/>
  <c r="B82" i="28"/>
  <c r="B72" i="28"/>
  <c r="B70" i="28"/>
  <c r="B67" i="28"/>
  <c r="B66" i="28"/>
  <c r="B65" i="28"/>
  <c r="B58" i="28"/>
  <c r="B57" i="28"/>
  <c r="B43" i="28"/>
  <c r="B41" i="28"/>
  <c r="B39" i="28"/>
  <c r="B50" i="28" s="1"/>
  <c r="B27" i="28"/>
  <c r="B49" i="28" s="1"/>
  <c r="D19" i="28"/>
  <c r="E7" i="28"/>
  <c r="D7" i="28"/>
  <c r="C7" i="28"/>
  <c r="E6" i="28"/>
  <c r="D6" i="28"/>
  <c r="C6" i="28"/>
  <c r="C5" i="28"/>
  <c r="D220" i="27"/>
  <c r="A220" i="27"/>
  <c r="D219" i="27"/>
  <c r="A219" i="27"/>
  <c r="D218" i="27"/>
  <c r="A218" i="27"/>
  <c r="D217" i="27"/>
  <c r="A217" i="27"/>
  <c r="D216" i="27"/>
  <c r="D215" i="27"/>
  <c r="D214" i="27"/>
  <c r="A214" i="27"/>
  <c r="D213" i="27"/>
  <c r="A213" i="27"/>
  <c r="D212" i="27"/>
  <c r="A212" i="27"/>
  <c r="D211" i="27"/>
  <c r="A211" i="27"/>
  <c r="D210" i="27"/>
  <c r="A210" i="27"/>
  <c r="D205" i="27"/>
  <c r="A205" i="27"/>
  <c r="D204" i="27"/>
  <c r="A204" i="27"/>
  <c r="D203" i="27"/>
  <c r="A203" i="27"/>
  <c r="D202" i="27"/>
  <c r="A202" i="27"/>
  <c r="D201" i="27"/>
  <c r="D200" i="27"/>
  <c r="D199" i="27"/>
  <c r="A199" i="27"/>
  <c r="D198" i="27"/>
  <c r="A198" i="27"/>
  <c r="D197" i="27"/>
  <c r="A197" i="27"/>
  <c r="D196" i="27"/>
  <c r="A196" i="27"/>
  <c r="D195" i="27"/>
  <c r="A195" i="27"/>
  <c r="D190" i="27"/>
  <c r="A190" i="27"/>
  <c r="D189" i="27"/>
  <c r="A189" i="27"/>
  <c r="D188" i="27"/>
  <c r="A188" i="27"/>
  <c r="D187" i="27"/>
  <c r="A187" i="27"/>
  <c r="D186" i="27"/>
  <c r="D185" i="27"/>
  <c r="D184" i="27"/>
  <c r="A184" i="27"/>
  <c r="D183" i="27"/>
  <c r="A183" i="27"/>
  <c r="D182" i="27"/>
  <c r="A182" i="27"/>
  <c r="D181" i="27"/>
  <c r="A181" i="27"/>
  <c r="D180" i="27"/>
  <c r="A180" i="27"/>
  <c r="A158" i="27"/>
  <c r="A155" i="27"/>
  <c r="E105" i="27"/>
  <c r="D105" i="27"/>
  <c r="C105" i="27"/>
  <c r="B100" i="27"/>
  <c r="B97" i="27" s="1"/>
  <c r="B98" i="27"/>
  <c r="B96" i="27"/>
  <c r="B95" i="27"/>
  <c r="B82" i="27"/>
  <c r="B72" i="27"/>
  <c r="B70" i="27"/>
  <c r="B67" i="27"/>
  <c r="B66" i="27"/>
  <c r="B65" i="27"/>
  <c r="B58" i="27"/>
  <c r="B57" i="27"/>
  <c r="B43" i="27"/>
  <c r="B41" i="27"/>
  <c r="B39" i="27"/>
  <c r="B50" i="27" s="1"/>
  <c r="B27" i="27"/>
  <c r="B49" i="27" s="1"/>
  <c r="D19" i="27"/>
  <c r="E7" i="27"/>
  <c r="D7" i="27"/>
  <c r="C7" i="27"/>
  <c r="E6" i="27"/>
  <c r="D6" i="27"/>
  <c r="C6" i="27"/>
  <c r="C5" i="27"/>
  <c r="D220" i="26"/>
  <c r="A220" i="26"/>
  <c r="D219" i="26"/>
  <c r="A219" i="26"/>
  <c r="D218" i="26"/>
  <c r="A218" i="26"/>
  <c r="D217" i="26"/>
  <c r="A217" i="26"/>
  <c r="D216" i="26"/>
  <c r="A216" i="26"/>
  <c r="D215" i="26"/>
  <c r="A215" i="26"/>
  <c r="D214" i="26"/>
  <c r="A214" i="26"/>
  <c r="D213" i="26"/>
  <c r="A213" i="26"/>
  <c r="D212" i="26"/>
  <c r="A212" i="26"/>
  <c r="D211" i="26"/>
  <c r="A211" i="26"/>
  <c r="D210" i="26"/>
  <c r="A210" i="26"/>
  <c r="D205" i="26"/>
  <c r="A205" i="26"/>
  <c r="D204" i="26"/>
  <c r="A204" i="26"/>
  <c r="D203" i="26"/>
  <c r="A203" i="26"/>
  <c r="D202" i="26"/>
  <c r="A202" i="26"/>
  <c r="D201" i="26"/>
  <c r="A201" i="26"/>
  <c r="D200" i="26"/>
  <c r="A200" i="26"/>
  <c r="D199" i="26"/>
  <c r="A199" i="26"/>
  <c r="D198" i="26"/>
  <c r="A198" i="26"/>
  <c r="D197" i="26"/>
  <c r="A197" i="26"/>
  <c r="D196" i="26"/>
  <c r="A196" i="26"/>
  <c r="D195" i="26"/>
  <c r="A195" i="26"/>
  <c r="D190" i="26"/>
  <c r="A190" i="26"/>
  <c r="D189" i="26"/>
  <c r="A189" i="26"/>
  <c r="D188" i="26"/>
  <c r="A188" i="26"/>
  <c r="D187" i="26"/>
  <c r="A187" i="26"/>
  <c r="D186" i="26"/>
  <c r="A186" i="26"/>
  <c r="D185" i="26"/>
  <c r="A185" i="26"/>
  <c r="D184" i="26"/>
  <c r="A184" i="26"/>
  <c r="D183" i="26"/>
  <c r="A183" i="26"/>
  <c r="D182" i="26"/>
  <c r="A182" i="26"/>
  <c r="D181" i="26"/>
  <c r="A181" i="26"/>
  <c r="D180" i="26"/>
  <c r="A180" i="26"/>
  <c r="E105" i="26"/>
  <c r="D105" i="26"/>
  <c r="C105" i="26"/>
  <c r="B100" i="26"/>
  <c r="B98" i="26"/>
  <c r="B97" i="26"/>
  <c r="B96" i="26"/>
  <c r="B95" i="26"/>
  <c r="B82" i="26"/>
  <c r="B72" i="26"/>
  <c r="B70" i="26"/>
  <c r="B67" i="26"/>
  <c r="B66" i="26"/>
  <c r="B65" i="26"/>
  <c r="B58" i="26"/>
  <c r="B57" i="26"/>
  <c r="B43" i="26"/>
  <c r="B41" i="26"/>
  <c r="B39" i="26"/>
  <c r="B50" i="26" s="1"/>
  <c r="B27" i="26"/>
  <c r="B49" i="26" s="1"/>
  <c r="D19" i="26"/>
  <c r="E7" i="26"/>
  <c r="D7" i="26"/>
  <c r="C7" i="26"/>
  <c r="E6" i="26"/>
  <c r="D6" i="26"/>
  <c r="C6" i="26"/>
  <c r="C5" i="26"/>
  <c r="J32" i="25"/>
  <c r="L32" i="25" s="1"/>
  <c r="L33" i="25" s="1"/>
  <c r="M24" i="25"/>
  <c r="L24" i="25"/>
  <c r="K24" i="25"/>
  <c r="J24" i="25"/>
  <c r="I24" i="25"/>
  <c r="H24" i="25"/>
  <c r="G24" i="25"/>
  <c r="F24" i="25"/>
  <c r="E24" i="25"/>
  <c r="D24" i="25"/>
  <c r="C24" i="25"/>
  <c r="V20" i="25"/>
  <c r="S20" i="25"/>
  <c r="O20" i="25"/>
  <c r="M20" i="25"/>
  <c r="L20" i="25"/>
  <c r="K20" i="25"/>
  <c r="J20" i="25"/>
  <c r="I20" i="25"/>
  <c r="H20" i="25"/>
  <c r="G20" i="25"/>
  <c r="F20" i="25"/>
  <c r="E20" i="25"/>
  <c r="D20" i="25"/>
  <c r="C20" i="25"/>
  <c r="U19" i="25"/>
  <c r="T19" i="25"/>
  <c r="R19" i="25"/>
  <c r="N19" i="25"/>
  <c r="U18" i="25"/>
  <c r="T18" i="25"/>
  <c r="R18" i="25"/>
  <c r="N18" i="25"/>
  <c r="U17" i="25"/>
  <c r="T17" i="25"/>
  <c r="R17" i="25"/>
  <c r="N17" i="25"/>
  <c r="U16" i="25"/>
  <c r="T16" i="25"/>
  <c r="R16" i="25"/>
  <c r="N16" i="25"/>
  <c r="U15" i="25"/>
  <c r="T15" i="25"/>
  <c r="R15" i="25"/>
  <c r="N15" i="25"/>
  <c r="U14" i="25"/>
  <c r="T14" i="25"/>
  <c r="R14" i="25"/>
  <c r="N14" i="25"/>
  <c r="U13" i="25"/>
  <c r="T13" i="25"/>
  <c r="R13" i="25"/>
  <c r="N13" i="25"/>
  <c r="U12" i="25"/>
  <c r="T12" i="25"/>
  <c r="R12" i="25"/>
  <c r="N12" i="25"/>
  <c r="U11" i="25"/>
  <c r="T11" i="25"/>
  <c r="R11" i="25"/>
  <c r="N11" i="25"/>
  <c r="U10" i="25"/>
  <c r="T10" i="25"/>
  <c r="R10" i="25"/>
  <c r="N10" i="25"/>
  <c r="U9" i="25"/>
  <c r="T9" i="25"/>
  <c r="R9" i="25"/>
  <c r="N9" i="25"/>
  <c r="U8" i="25"/>
  <c r="T8" i="25"/>
  <c r="R8" i="25"/>
  <c r="N8" i="25"/>
  <c r="U7" i="25"/>
  <c r="T7" i="25"/>
  <c r="R7" i="25"/>
  <c r="N7" i="25"/>
  <c r="U6" i="25"/>
  <c r="T6" i="25"/>
  <c r="R6" i="25"/>
  <c r="N6" i="25"/>
  <c r="U5" i="25"/>
  <c r="T5" i="25"/>
  <c r="R5" i="25"/>
  <c r="N5" i="25"/>
  <c r="U4" i="25"/>
  <c r="T4" i="25"/>
  <c r="R4" i="25"/>
  <c r="N4" i="25"/>
  <c r="U3" i="25"/>
  <c r="T3" i="25"/>
  <c r="R3" i="25"/>
  <c r="R20" i="25" s="1"/>
  <c r="N3" i="25"/>
  <c r="N20" i="25" s="1"/>
  <c r="D186" i="24"/>
  <c r="A186" i="24"/>
  <c r="D185" i="24"/>
  <c r="A185" i="24"/>
  <c r="D184" i="24"/>
  <c r="A184" i="24"/>
  <c r="D183" i="24"/>
  <c r="A183" i="24"/>
  <c r="D182" i="24"/>
  <c r="A182" i="24"/>
  <c r="D181" i="24"/>
  <c r="A181" i="24"/>
  <c r="D180" i="24"/>
  <c r="A180" i="24"/>
  <c r="D179" i="24"/>
  <c r="A179" i="24"/>
  <c r="D178" i="24"/>
  <c r="A178" i="24"/>
  <c r="D177" i="24"/>
  <c r="A177" i="24"/>
  <c r="E105" i="24"/>
  <c r="D105" i="24"/>
  <c r="C105" i="24"/>
  <c r="B100" i="24"/>
  <c r="B97" i="24" s="1"/>
  <c r="B98" i="24"/>
  <c r="B96" i="24"/>
  <c r="B82" i="24"/>
  <c r="B72" i="24"/>
  <c r="B70" i="24"/>
  <c r="B67" i="24"/>
  <c r="B66" i="24"/>
  <c r="B65" i="24"/>
  <c r="B58" i="24"/>
  <c r="B57" i="24"/>
  <c r="B45" i="24"/>
  <c r="B44" i="24"/>
  <c r="B43" i="24"/>
  <c r="B41" i="24"/>
  <c r="B39" i="24"/>
  <c r="B50" i="24" s="1"/>
  <c r="B27" i="24"/>
  <c r="B49" i="24" s="1"/>
  <c r="D19" i="24"/>
  <c r="E7" i="24"/>
  <c r="D7" i="24"/>
  <c r="C7" i="24"/>
  <c r="E6" i="24"/>
  <c r="D6" i="24"/>
  <c r="C6" i="24"/>
  <c r="C5" i="24"/>
  <c r="D186" i="23"/>
  <c r="A186" i="23"/>
  <c r="D185" i="23"/>
  <c r="A185" i="23"/>
  <c r="D184" i="23"/>
  <c r="A184" i="23"/>
  <c r="D183" i="23"/>
  <c r="A183" i="23"/>
  <c r="D182" i="23"/>
  <c r="A182" i="23"/>
  <c r="D181" i="23"/>
  <c r="A181" i="23"/>
  <c r="D180" i="23"/>
  <c r="A180" i="23"/>
  <c r="D179" i="23"/>
  <c r="A179" i="23"/>
  <c r="D178" i="23"/>
  <c r="A178" i="23"/>
  <c r="D177" i="23"/>
  <c r="A177" i="23"/>
  <c r="E105" i="23"/>
  <c r="D105" i="23"/>
  <c r="C105" i="23"/>
  <c r="B100" i="23"/>
  <c r="B98" i="23"/>
  <c r="B97" i="23"/>
  <c r="B96" i="23"/>
  <c r="B82" i="23"/>
  <c r="B72" i="23"/>
  <c r="B70" i="23"/>
  <c r="B67" i="23"/>
  <c r="B66" i="23"/>
  <c r="B65" i="23"/>
  <c r="B58" i="23"/>
  <c r="B57" i="23"/>
  <c r="B45" i="23"/>
  <c r="B44" i="23"/>
  <c r="B43" i="23"/>
  <c r="B41" i="23"/>
  <c r="B39" i="23"/>
  <c r="B50" i="23" s="1"/>
  <c r="B27" i="23"/>
  <c r="B49" i="23" s="1"/>
  <c r="D19" i="23"/>
  <c r="E7" i="23"/>
  <c r="D7" i="23"/>
  <c r="C7" i="23"/>
  <c r="E6" i="23"/>
  <c r="D6" i="23"/>
  <c r="C6" i="23"/>
  <c r="C5" i="23"/>
  <c r="D186" i="22"/>
  <c r="A186" i="22"/>
  <c r="D185" i="22"/>
  <c r="A185" i="22"/>
  <c r="D184" i="22"/>
  <c r="A184" i="22"/>
  <c r="D183" i="22"/>
  <c r="A183" i="22"/>
  <c r="D182" i="22"/>
  <c r="A182" i="22"/>
  <c r="D181" i="22"/>
  <c r="A181" i="22"/>
  <c r="D180" i="22"/>
  <c r="A180" i="22"/>
  <c r="D179" i="22"/>
  <c r="A179" i="22"/>
  <c r="D178" i="22"/>
  <c r="A178" i="22"/>
  <c r="D177" i="22"/>
  <c r="A177" i="22"/>
  <c r="E105" i="22"/>
  <c r="D105" i="22"/>
  <c r="C105" i="22"/>
  <c r="B100" i="22"/>
  <c r="B98" i="22"/>
  <c r="B97" i="22"/>
  <c r="B96" i="22"/>
  <c r="B82" i="22"/>
  <c r="B72" i="22"/>
  <c r="B70" i="22"/>
  <c r="B67" i="22"/>
  <c r="B66" i="22"/>
  <c r="B65" i="22"/>
  <c r="B58" i="22"/>
  <c r="B57" i="22"/>
  <c r="B45" i="22"/>
  <c r="B43" i="22"/>
  <c r="B41" i="22"/>
  <c r="B39" i="22"/>
  <c r="B50" i="22" s="1"/>
  <c r="B27" i="22"/>
  <c r="B49" i="22" s="1"/>
  <c r="D19" i="22"/>
  <c r="E7" i="22"/>
  <c r="D7" i="22"/>
  <c r="C7" i="22"/>
  <c r="E6" i="22"/>
  <c r="D6" i="22"/>
  <c r="C6" i="22"/>
  <c r="C5" i="22"/>
  <c r="D186" i="21"/>
  <c r="A186" i="21"/>
  <c r="D185" i="21"/>
  <c r="A185" i="21"/>
  <c r="D184" i="21"/>
  <c r="A184" i="21"/>
  <c r="D183" i="21"/>
  <c r="A183" i="21"/>
  <c r="D182" i="21"/>
  <c r="A182" i="21"/>
  <c r="D181" i="21"/>
  <c r="A181" i="21"/>
  <c r="D180" i="21"/>
  <c r="A180" i="21"/>
  <c r="D179" i="21"/>
  <c r="A179" i="21"/>
  <c r="D178" i="21"/>
  <c r="A178" i="21"/>
  <c r="D177" i="21"/>
  <c r="A177" i="21"/>
  <c r="E105" i="21"/>
  <c r="D105" i="21"/>
  <c r="C105" i="21"/>
  <c r="B100" i="21"/>
  <c r="B98" i="21"/>
  <c r="B97" i="21"/>
  <c r="B96" i="21"/>
  <c r="B82" i="21"/>
  <c r="B72" i="21"/>
  <c r="B70" i="21"/>
  <c r="B67" i="21"/>
  <c r="B66" i="21"/>
  <c r="B65" i="21"/>
  <c r="B58" i="21"/>
  <c r="B57" i="21"/>
  <c r="B43" i="21"/>
  <c r="B41" i="21"/>
  <c r="B39" i="21"/>
  <c r="B50" i="21" s="1"/>
  <c r="B27" i="21"/>
  <c r="B49" i="21" s="1"/>
  <c r="D19" i="21"/>
  <c r="E7" i="21"/>
  <c r="D7" i="21"/>
  <c r="C7" i="21"/>
  <c r="E6" i="21"/>
  <c r="D6" i="21"/>
  <c r="C6" i="21"/>
  <c r="C5" i="21"/>
  <c r="D186" i="20"/>
  <c r="A186" i="20"/>
  <c r="D185" i="20"/>
  <c r="A185" i="20"/>
  <c r="D184" i="20"/>
  <c r="A184" i="20"/>
  <c r="D183" i="20"/>
  <c r="A183" i="20"/>
  <c r="D182" i="20"/>
  <c r="A182" i="20"/>
  <c r="D181" i="20"/>
  <c r="A181" i="20"/>
  <c r="D180" i="20"/>
  <c r="A180" i="20"/>
  <c r="D179" i="20"/>
  <c r="A179" i="20"/>
  <c r="D178" i="20"/>
  <c r="A178" i="20"/>
  <c r="D177" i="20"/>
  <c r="A177" i="20"/>
  <c r="E105" i="20"/>
  <c r="D105" i="20"/>
  <c r="C105" i="20"/>
  <c r="B100" i="20"/>
  <c r="B98" i="20"/>
  <c r="B97" i="20"/>
  <c r="B96" i="20"/>
  <c r="B82" i="20"/>
  <c r="B72" i="20"/>
  <c r="B70" i="20"/>
  <c r="B67" i="20"/>
  <c r="B66" i="20"/>
  <c r="B65" i="20"/>
  <c r="B58" i="20"/>
  <c r="B57" i="20"/>
  <c r="B43" i="20"/>
  <c r="B41" i="20"/>
  <c r="B39" i="20"/>
  <c r="B50" i="20" s="1"/>
  <c r="B27" i="20"/>
  <c r="B49" i="20" s="1"/>
  <c r="D19" i="20"/>
  <c r="E7" i="20"/>
  <c r="D7" i="20"/>
  <c r="C7" i="20"/>
  <c r="E6" i="20"/>
  <c r="D6" i="20"/>
  <c r="C6" i="20"/>
  <c r="C5" i="20"/>
  <c r="A186" i="19"/>
  <c r="D185" i="19"/>
  <c r="A185" i="19"/>
  <c r="D184" i="19"/>
  <c r="A184" i="19"/>
  <c r="D183" i="19"/>
  <c r="A183" i="19"/>
  <c r="D182" i="19"/>
  <c r="A182" i="19"/>
  <c r="D181" i="19"/>
  <c r="A181" i="19"/>
  <c r="D180" i="19"/>
  <c r="A180" i="19"/>
  <c r="D179" i="19"/>
  <c r="A179" i="19"/>
  <c r="D178" i="19"/>
  <c r="A178" i="19"/>
  <c r="D177" i="19"/>
  <c r="A177" i="19"/>
  <c r="E105" i="19"/>
  <c r="D105" i="19"/>
  <c r="C105" i="19"/>
  <c r="B100" i="19"/>
  <c r="B97" i="19" s="1"/>
  <c r="B98" i="19"/>
  <c r="B96" i="19"/>
  <c r="B82" i="19"/>
  <c r="B72" i="19"/>
  <c r="B70" i="19"/>
  <c r="B67" i="19"/>
  <c r="B66" i="19"/>
  <c r="B65" i="19"/>
  <c r="B58" i="19"/>
  <c r="B57" i="19"/>
  <c r="B43" i="19"/>
  <c r="B41" i="19"/>
  <c r="B39" i="19"/>
  <c r="B50" i="19" s="1"/>
  <c r="B27" i="19"/>
  <c r="B49" i="19" s="1"/>
  <c r="D19" i="19"/>
  <c r="E7" i="19"/>
  <c r="D7" i="19"/>
  <c r="C7" i="19"/>
  <c r="E6" i="19"/>
  <c r="D6" i="19"/>
  <c r="C6" i="19"/>
  <c r="C5" i="19"/>
  <c r="D186" i="18"/>
  <c r="A186" i="18"/>
  <c r="D185" i="18"/>
  <c r="A185" i="18"/>
  <c r="D184" i="18"/>
  <c r="A184" i="18"/>
  <c r="D183" i="18"/>
  <c r="A183" i="18"/>
  <c r="D182" i="18"/>
  <c r="A182" i="18"/>
  <c r="D181" i="18"/>
  <c r="A181" i="18"/>
  <c r="D180" i="18"/>
  <c r="A180" i="18"/>
  <c r="D179" i="18"/>
  <c r="A179" i="18"/>
  <c r="D178" i="18"/>
  <c r="A178" i="18"/>
  <c r="D177" i="18"/>
  <c r="A177" i="18"/>
  <c r="E105" i="18"/>
  <c r="D105" i="18"/>
  <c r="C105" i="18"/>
  <c r="B100" i="18"/>
  <c r="B98" i="18"/>
  <c r="B97" i="18"/>
  <c r="B96" i="18"/>
  <c r="B82" i="18"/>
  <c r="B72" i="18"/>
  <c r="B70" i="18"/>
  <c r="B67" i="18"/>
  <c r="B66" i="18"/>
  <c r="B65" i="18"/>
  <c r="B58" i="18"/>
  <c r="B57" i="18"/>
  <c r="B43" i="18"/>
  <c r="B41" i="18"/>
  <c r="B39" i="18"/>
  <c r="B50" i="18" s="1"/>
  <c r="B27" i="18"/>
  <c r="B49" i="18" s="1"/>
  <c r="D19" i="18"/>
  <c r="E7" i="18"/>
  <c r="D7" i="18"/>
  <c r="C7" i="18"/>
  <c r="E6" i="18"/>
  <c r="D6" i="18"/>
  <c r="C6" i="18"/>
  <c r="C5" i="18"/>
  <c r="D186" i="17"/>
  <c r="A186" i="17"/>
  <c r="D185" i="17"/>
  <c r="A185" i="17"/>
  <c r="D184" i="17"/>
  <c r="A184" i="17"/>
  <c r="D183" i="17"/>
  <c r="A183" i="17"/>
  <c r="D182" i="17"/>
  <c r="A182" i="17"/>
  <c r="D181" i="17"/>
  <c r="A181" i="17"/>
  <c r="A180" i="17"/>
  <c r="D179" i="17"/>
  <c r="A179" i="17"/>
  <c r="D178" i="17"/>
  <c r="A178" i="17"/>
  <c r="D177" i="17"/>
  <c r="A177" i="17"/>
  <c r="E105" i="17"/>
  <c r="D105" i="17"/>
  <c r="C105" i="17"/>
  <c r="B100" i="17"/>
  <c r="B97" i="17" s="1"/>
  <c r="B98" i="17"/>
  <c r="B96" i="17"/>
  <c r="B82" i="17"/>
  <c r="B72" i="17"/>
  <c r="B70" i="17"/>
  <c r="B67" i="17"/>
  <c r="B66" i="17"/>
  <c r="B65" i="17"/>
  <c r="B58" i="17"/>
  <c r="B57" i="17"/>
  <c r="B43" i="17"/>
  <c r="B41" i="17"/>
  <c r="B39" i="17"/>
  <c r="B50" i="17" s="1"/>
  <c r="B27" i="17"/>
  <c r="B49" i="17" s="1"/>
  <c r="D19" i="17"/>
  <c r="E7" i="17"/>
  <c r="D7" i="17"/>
  <c r="C7" i="17"/>
  <c r="E6" i="17"/>
  <c r="D6" i="17"/>
  <c r="C6" i="17"/>
  <c r="C5" i="17"/>
  <c r="D186" i="16"/>
  <c r="A186" i="16"/>
  <c r="D185" i="16"/>
  <c r="A185" i="16"/>
  <c r="D184" i="16"/>
  <c r="A184" i="16"/>
  <c r="D183" i="16"/>
  <c r="A183" i="16"/>
  <c r="D182" i="16"/>
  <c r="A182" i="16"/>
  <c r="D181" i="16"/>
  <c r="A181" i="16"/>
  <c r="A180" i="16"/>
  <c r="D179" i="16"/>
  <c r="A179" i="16"/>
  <c r="D178" i="16"/>
  <c r="A178" i="16"/>
  <c r="D177" i="16"/>
  <c r="A177" i="16"/>
  <c r="E105" i="16"/>
  <c r="D105" i="16"/>
  <c r="C105" i="16"/>
  <c r="B100" i="16"/>
  <c r="B98" i="16"/>
  <c r="B97" i="16"/>
  <c r="B96" i="16"/>
  <c r="B82" i="16"/>
  <c r="B72" i="16"/>
  <c r="B70" i="16"/>
  <c r="B67" i="16"/>
  <c r="B66" i="16"/>
  <c r="B65" i="16"/>
  <c r="B58" i="16"/>
  <c r="B57" i="16"/>
  <c r="B43" i="16"/>
  <c r="B41" i="16"/>
  <c r="B39" i="16"/>
  <c r="B50" i="16" s="1"/>
  <c r="B27" i="16"/>
  <c r="B49" i="16" s="1"/>
  <c r="D19" i="16"/>
  <c r="E7" i="16"/>
  <c r="D7" i="16"/>
  <c r="C7" i="16"/>
  <c r="E6" i="16"/>
  <c r="D6" i="16"/>
  <c r="C6" i="16"/>
  <c r="C5" i="16"/>
  <c r="D186" i="15"/>
  <c r="A186" i="15"/>
  <c r="D185" i="15"/>
  <c r="A185" i="15"/>
  <c r="D184" i="15"/>
  <c r="A184" i="15"/>
  <c r="D183" i="15"/>
  <c r="A183" i="15"/>
  <c r="D182" i="15"/>
  <c r="A182" i="15"/>
  <c r="D181" i="15"/>
  <c r="A181" i="15"/>
  <c r="A180" i="15"/>
  <c r="D179" i="15"/>
  <c r="A179" i="15"/>
  <c r="A178" i="15"/>
  <c r="A177" i="15"/>
  <c r="E105" i="15"/>
  <c r="D105" i="15"/>
  <c r="C105" i="15"/>
  <c r="B100" i="15"/>
  <c r="B98" i="15"/>
  <c r="B97" i="15"/>
  <c r="B96" i="15"/>
  <c r="B82" i="15"/>
  <c r="B72" i="15"/>
  <c r="B70" i="15"/>
  <c r="B67" i="15"/>
  <c r="B66" i="15"/>
  <c r="B65" i="15"/>
  <c r="B58" i="15"/>
  <c r="B57" i="15"/>
  <c r="B43" i="15"/>
  <c r="B41" i="15"/>
  <c r="B39" i="15"/>
  <c r="B50" i="15" s="1"/>
  <c r="B27" i="15"/>
  <c r="B49" i="15" s="1"/>
  <c r="D19" i="15"/>
  <c r="E7" i="15"/>
  <c r="D7" i="15"/>
  <c r="C7" i="15"/>
  <c r="E6" i="15"/>
  <c r="D6" i="15"/>
  <c r="C6" i="15"/>
  <c r="C5" i="15"/>
  <c r="A186" i="14"/>
  <c r="D185" i="14"/>
  <c r="A185" i="14"/>
  <c r="D184" i="14"/>
  <c r="A184" i="14"/>
  <c r="D183" i="14"/>
  <c r="A183" i="14"/>
  <c r="D182" i="14"/>
  <c r="A182" i="14"/>
  <c r="D181" i="14"/>
  <c r="A181" i="14"/>
  <c r="A180" i="14"/>
  <c r="D179" i="14"/>
  <c r="A179" i="14"/>
  <c r="D178" i="14"/>
  <c r="A178" i="14"/>
  <c r="A177" i="14"/>
  <c r="E105" i="14"/>
  <c r="D105" i="14"/>
  <c r="C105" i="14"/>
  <c r="B100" i="14"/>
  <c r="B98" i="14"/>
  <c r="B97" i="14"/>
  <c r="B96" i="14"/>
  <c r="B82" i="14"/>
  <c r="B72" i="14"/>
  <c r="B70" i="14"/>
  <c r="B67" i="14"/>
  <c r="B66" i="14"/>
  <c r="B65" i="14"/>
  <c r="B58" i="14"/>
  <c r="B57" i="14"/>
  <c r="B43" i="14"/>
  <c r="B41" i="14"/>
  <c r="B39" i="14"/>
  <c r="B50" i="14" s="1"/>
  <c r="B27" i="14"/>
  <c r="B49" i="14" s="1"/>
  <c r="D19" i="14"/>
  <c r="E7" i="14"/>
  <c r="D7" i="14"/>
  <c r="C7" i="14"/>
  <c r="E6" i="14"/>
  <c r="D6" i="14"/>
  <c r="C6" i="14"/>
  <c r="C5" i="14"/>
  <c r="A186" i="13"/>
  <c r="A185" i="13"/>
  <c r="D184" i="13"/>
  <c r="A184" i="13"/>
  <c r="D183" i="13"/>
  <c r="A183" i="13"/>
  <c r="D182" i="13"/>
  <c r="A182" i="13"/>
  <c r="D181" i="13"/>
  <c r="A181" i="13"/>
  <c r="D180" i="13"/>
  <c r="A180" i="13"/>
  <c r="D179" i="13"/>
  <c r="A179" i="13"/>
  <c r="D178" i="13"/>
  <c r="A178" i="13"/>
  <c r="D177" i="13"/>
  <c r="A177" i="13"/>
  <c r="E105" i="13"/>
  <c r="D105" i="13"/>
  <c r="C105" i="13"/>
  <c r="B100" i="13"/>
  <c r="B97" i="13" s="1"/>
  <c r="B98" i="13"/>
  <c r="B96" i="13"/>
  <c r="B82" i="13"/>
  <c r="B72" i="13"/>
  <c r="B70" i="13"/>
  <c r="B67" i="13"/>
  <c r="B66" i="13"/>
  <c r="B65" i="13"/>
  <c r="B58" i="13"/>
  <c r="B57" i="13"/>
  <c r="B43" i="13"/>
  <c r="B41" i="13"/>
  <c r="B39" i="13"/>
  <c r="B50" i="13" s="1"/>
  <c r="B27" i="13"/>
  <c r="B49" i="13" s="1"/>
  <c r="D19" i="13"/>
  <c r="E7" i="13"/>
  <c r="D7" i="13"/>
  <c r="C7" i="13"/>
  <c r="E6" i="13"/>
  <c r="D6" i="13"/>
  <c r="C6" i="13"/>
  <c r="C5" i="13"/>
  <c r="A186" i="12"/>
  <c r="D185" i="12"/>
  <c r="A185" i="12"/>
  <c r="D184" i="12"/>
  <c r="A184" i="12"/>
  <c r="D183" i="12"/>
  <c r="A183" i="12"/>
  <c r="D182" i="12"/>
  <c r="A182" i="12"/>
  <c r="D181" i="12"/>
  <c r="A181" i="12"/>
  <c r="A180" i="12"/>
  <c r="A179" i="12"/>
  <c r="A178" i="12"/>
  <c r="A177" i="12"/>
  <c r="E105" i="12"/>
  <c r="D105" i="12"/>
  <c r="C105" i="12"/>
  <c r="B100" i="12"/>
  <c r="B98" i="12"/>
  <c r="B97" i="12"/>
  <c r="B96" i="12"/>
  <c r="B82" i="12"/>
  <c r="B72" i="12"/>
  <c r="B70" i="12"/>
  <c r="B67" i="12"/>
  <c r="B66" i="12"/>
  <c r="B65" i="12"/>
  <c r="B58" i="12"/>
  <c r="B57" i="12"/>
  <c r="B43" i="12"/>
  <c r="B41" i="12"/>
  <c r="B39" i="12"/>
  <c r="B50" i="12" s="1"/>
  <c r="B27" i="12"/>
  <c r="B49" i="12" s="1"/>
  <c r="D19" i="12"/>
  <c r="E7" i="12"/>
  <c r="D7" i="12"/>
  <c r="C7" i="12"/>
  <c r="E6" i="12"/>
  <c r="D6" i="12"/>
  <c r="C6" i="12"/>
  <c r="C5" i="12"/>
  <c r="A186" i="11"/>
  <c r="D185" i="11"/>
  <c r="A185" i="11"/>
  <c r="D184" i="11"/>
  <c r="A184" i="11"/>
  <c r="D183" i="11"/>
  <c r="A183" i="11"/>
  <c r="D182" i="11"/>
  <c r="A182" i="11"/>
  <c r="D181" i="11"/>
  <c r="A181" i="11"/>
  <c r="D180" i="11"/>
  <c r="A180" i="11"/>
  <c r="D179" i="11"/>
  <c r="A179" i="11"/>
  <c r="D178" i="11"/>
  <c r="A178" i="11"/>
  <c r="D177" i="11"/>
  <c r="A177" i="11"/>
  <c r="E105" i="11"/>
  <c r="D105" i="11"/>
  <c r="C105" i="11"/>
  <c r="B100" i="11"/>
  <c r="B97" i="11" s="1"/>
  <c r="B98" i="11"/>
  <c r="B96" i="11"/>
  <c r="B82" i="11"/>
  <c r="B72" i="11"/>
  <c r="B70" i="11"/>
  <c r="B67" i="11"/>
  <c r="B66" i="11"/>
  <c r="B65" i="11"/>
  <c r="B58" i="11"/>
  <c r="B57" i="11"/>
  <c r="B43" i="11"/>
  <c r="B41" i="11"/>
  <c r="B39" i="11"/>
  <c r="B50" i="11" s="1"/>
  <c r="B27" i="11"/>
  <c r="B49" i="11" s="1"/>
  <c r="D19" i="11"/>
  <c r="E7" i="11"/>
  <c r="D7" i="11"/>
  <c r="C7" i="11"/>
  <c r="E6" i="11"/>
  <c r="D6" i="11"/>
  <c r="C6" i="11"/>
  <c r="C5" i="11"/>
  <c r="D186" i="10"/>
  <c r="A186" i="10"/>
  <c r="D185" i="10"/>
  <c r="A185" i="10"/>
  <c r="A184" i="10"/>
  <c r="D183" i="10"/>
  <c r="A183" i="10"/>
  <c r="D182" i="10"/>
  <c r="A182" i="10"/>
  <c r="D181" i="10"/>
  <c r="A181" i="10"/>
  <c r="A180" i="10"/>
  <c r="A179" i="10"/>
  <c r="A178" i="10"/>
  <c r="A177" i="10"/>
  <c r="E105" i="10"/>
  <c r="D105" i="10"/>
  <c r="C105" i="10"/>
  <c r="B100" i="10"/>
  <c r="B98" i="10"/>
  <c r="B97" i="10"/>
  <c r="B96" i="10"/>
  <c r="B82" i="10"/>
  <c r="B72" i="10"/>
  <c r="B70" i="10"/>
  <c r="B67" i="10"/>
  <c r="B66" i="10"/>
  <c r="B65" i="10"/>
  <c r="B58" i="10"/>
  <c r="B57" i="10"/>
  <c r="B43" i="10"/>
  <c r="B41" i="10"/>
  <c r="B39" i="10"/>
  <c r="B50" i="10" s="1"/>
  <c r="B27" i="10"/>
  <c r="B49" i="10" s="1"/>
  <c r="D19" i="10"/>
  <c r="E7" i="10"/>
  <c r="D7" i="10"/>
  <c r="C7" i="10"/>
  <c r="E6" i="10"/>
  <c r="D6" i="10"/>
  <c r="C6" i="10"/>
  <c r="C5" i="10"/>
  <c r="D186" i="9"/>
  <c r="A186" i="9"/>
  <c r="A185" i="9"/>
  <c r="D184" i="9"/>
  <c r="A184" i="9"/>
  <c r="D183" i="9"/>
  <c r="A183" i="9"/>
  <c r="D182" i="9"/>
  <c r="A182" i="9"/>
  <c r="D181" i="9"/>
  <c r="A181" i="9"/>
  <c r="A180" i="9"/>
  <c r="A179" i="9"/>
  <c r="A178" i="9"/>
  <c r="D177" i="9"/>
  <c r="A177" i="9"/>
  <c r="E105" i="9"/>
  <c r="D105" i="9"/>
  <c r="C105" i="9"/>
  <c r="B100" i="9"/>
  <c r="B97" i="9" s="1"/>
  <c r="B98" i="9"/>
  <c r="B96" i="9"/>
  <c r="B82" i="9"/>
  <c r="B72" i="9"/>
  <c r="B70" i="9"/>
  <c r="B67" i="9"/>
  <c r="B66" i="9"/>
  <c r="B65" i="9"/>
  <c r="B58" i="9"/>
  <c r="B57" i="9"/>
  <c r="B43" i="9"/>
  <c r="B41" i="9"/>
  <c r="B39" i="9"/>
  <c r="B50" i="9" s="1"/>
  <c r="B27" i="9"/>
  <c r="B49" i="9" s="1"/>
  <c r="D19" i="9"/>
  <c r="E7" i="9"/>
  <c r="D7" i="9"/>
  <c r="C7" i="9"/>
  <c r="E6" i="9"/>
  <c r="D6" i="9"/>
  <c r="C6" i="9"/>
  <c r="C5" i="9"/>
  <c r="D200" i="8"/>
  <c r="A200" i="8"/>
  <c r="D199" i="8"/>
  <c r="A199" i="8"/>
  <c r="D198" i="8"/>
  <c r="A198" i="8"/>
  <c r="D197" i="8"/>
  <c r="A197" i="8"/>
  <c r="D196" i="8"/>
  <c r="A196" i="8"/>
  <c r="D195" i="8"/>
  <c r="A195" i="8"/>
  <c r="D194" i="8"/>
  <c r="A194" i="8"/>
  <c r="D193" i="8"/>
  <c r="A193" i="8"/>
  <c r="D192" i="8"/>
  <c r="A192" i="8"/>
  <c r="A191" i="8"/>
  <c r="D186" i="8"/>
  <c r="A186" i="8"/>
  <c r="D185" i="8"/>
  <c r="A185" i="8"/>
  <c r="A184" i="8"/>
  <c r="D183" i="8"/>
  <c r="A183" i="8"/>
  <c r="A182" i="8"/>
  <c r="D181" i="8"/>
  <c r="A181" i="8"/>
  <c r="D180" i="8"/>
  <c r="A180" i="8"/>
  <c r="D179" i="8"/>
  <c r="A179" i="8"/>
  <c r="D178" i="8"/>
  <c r="A178" i="8"/>
  <c r="D177" i="8"/>
  <c r="A177" i="8"/>
  <c r="E105" i="8"/>
  <c r="D105" i="8"/>
  <c r="C105" i="8"/>
  <c r="B100" i="8"/>
  <c r="B97" i="8" s="1"/>
  <c r="B98" i="8"/>
  <c r="B96" i="8"/>
  <c r="B82" i="8"/>
  <c r="B72" i="8"/>
  <c r="B70" i="8"/>
  <c r="B67" i="8"/>
  <c r="B66" i="8"/>
  <c r="B65" i="8"/>
  <c r="B58" i="8"/>
  <c r="B57" i="8"/>
  <c r="B43" i="8"/>
  <c r="B41" i="8"/>
  <c r="B39" i="8"/>
  <c r="B50" i="8" s="1"/>
  <c r="B27" i="8"/>
  <c r="B49" i="8" s="1"/>
  <c r="D19" i="8"/>
  <c r="E7" i="8"/>
  <c r="D7" i="8"/>
  <c r="C7" i="8"/>
  <c r="E6" i="8"/>
  <c r="D6" i="8"/>
  <c r="C6" i="8"/>
  <c r="C5" i="8"/>
  <c r="E103" i="7"/>
  <c r="D103" i="7"/>
  <c r="C98" i="7"/>
  <c r="B98" i="7"/>
  <c r="C96" i="7"/>
  <c r="B96" i="7"/>
  <c r="C95" i="7"/>
  <c r="B95" i="7"/>
  <c r="C94" i="7"/>
  <c r="B94" i="7"/>
  <c r="B81" i="7"/>
  <c r="C71" i="7"/>
  <c r="B71" i="7"/>
  <c r="C69" i="7"/>
  <c r="B69" i="7"/>
  <c r="C66" i="7"/>
  <c r="B66" i="7"/>
  <c r="C65" i="7"/>
  <c r="E65" i="7" s="1"/>
  <c r="B65" i="7"/>
  <c r="D65" i="7" s="1"/>
  <c r="C64" i="7"/>
  <c r="B64" i="7"/>
  <c r="C57" i="7"/>
  <c r="B57" i="7"/>
  <c r="C56" i="7"/>
  <c r="B56" i="7"/>
  <c r="C44" i="7"/>
  <c r="C43" i="7"/>
  <c r="C41" i="7"/>
  <c r="B41" i="7"/>
  <c r="C39" i="7"/>
  <c r="C49" i="7" s="1"/>
  <c r="B39" i="7"/>
  <c r="B49" i="7" s="1"/>
  <c r="C27" i="7"/>
  <c r="C48" i="7" s="1"/>
  <c r="B27" i="7"/>
  <c r="B48" i="7" s="1"/>
  <c r="D7" i="7"/>
  <c r="D6" i="7"/>
  <c r="J32" i="6"/>
  <c r="L32" i="6" s="1"/>
  <c r="L33" i="6" s="1"/>
  <c r="L25" i="6"/>
  <c r="K25" i="6"/>
  <c r="J25" i="6"/>
  <c r="I25" i="6"/>
  <c r="H25" i="6"/>
  <c r="G25" i="6"/>
  <c r="F25" i="6"/>
  <c r="E25" i="6"/>
  <c r="D25" i="6"/>
  <c r="C25" i="6"/>
  <c r="V21" i="6"/>
  <c r="T21" i="6"/>
  <c r="R21" i="6"/>
  <c r="N21" i="6"/>
  <c r="I21" i="6"/>
  <c r="G21" i="6"/>
  <c r="S20" i="6"/>
  <c r="Q20" i="6"/>
  <c r="M20" i="6"/>
  <c r="S19" i="6"/>
  <c r="Q19" i="6"/>
  <c r="M19" i="6"/>
  <c r="S18" i="6"/>
  <c r="Q18" i="6"/>
  <c r="M18" i="6"/>
  <c r="S17" i="6"/>
  <c r="Q17" i="6"/>
  <c r="M17" i="6"/>
  <c r="S16" i="6"/>
  <c r="Q16" i="6"/>
  <c r="M16" i="6"/>
  <c r="S15" i="6"/>
  <c r="Q15" i="6"/>
  <c r="L15" i="6"/>
  <c r="AH15" i="6" s="1"/>
  <c r="S14" i="6"/>
  <c r="Q14" i="6"/>
  <c r="M14" i="6"/>
  <c r="S13" i="6"/>
  <c r="Q13" i="6"/>
  <c r="F13" i="6"/>
  <c r="AF13" i="6" s="1"/>
  <c r="S12" i="6"/>
  <c r="Q12" i="6"/>
  <c r="F12" i="6"/>
  <c r="AF12" i="6" s="1"/>
  <c r="S11" i="6"/>
  <c r="Q11" i="6"/>
  <c r="F11" i="6"/>
  <c r="D180" i="15" s="1"/>
  <c r="D11" i="6"/>
  <c r="D178" i="15" s="1"/>
  <c r="C11" i="6"/>
  <c r="AF11" i="6" s="1"/>
  <c r="S10" i="6"/>
  <c r="Q10" i="6"/>
  <c r="L10" i="6"/>
  <c r="AH10" i="6" s="1"/>
  <c r="F10" i="6"/>
  <c r="D180" i="14" s="1"/>
  <c r="C10" i="6"/>
  <c r="AF10" i="6" s="1"/>
  <c r="S9" i="6"/>
  <c r="Q9" i="6"/>
  <c r="K9" i="6"/>
  <c r="S8" i="6"/>
  <c r="Q8" i="6"/>
  <c r="L8" i="6"/>
  <c r="AH8" i="6" s="1"/>
  <c r="F8" i="6"/>
  <c r="D180" i="12" s="1"/>
  <c r="E8" i="6"/>
  <c r="D179" i="12" s="1"/>
  <c r="D8" i="6"/>
  <c r="D178" i="12" s="1"/>
  <c r="C8" i="6"/>
  <c r="AF8" i="6" s="1"/>
  <c r="S7" i="6"/>
  <c r="Q7" i="6"/>
  <c r="L7" i="6"/>
  <c r="AH7" i="6" s="1"/>
  <c r="Q6" i="6"/>
  <c r="J6" i="6"/>
  <c r="AH6" i="6" s="1"/>
  <c r="F6" i="6"/>
  <c r="D180" i="10" s="1"/>
  <c r="E6" i="6"/>
  <c r="D179" i="10" s="1"/>
  <c r="D6" i="6"/>
  <c r="D178" i="10" s="1"/>
  <c r="C6" i="6"/>
  <c r="AF6" i="6" s="1"/>
  <c r="S5" i="6"/>
  <c r="Q5" i="6"/>
  <c r="K5" i="6"/>
  <c r="AH5" i="6" s="1"/>
  <c r="F5" i="6"/>
  <c r="E5" i="6"/>
  <c r="D5" i="6"/>
  <c r="AF5" i="6" s="1"/>
  <c r="S4" i="6"/>
  <c r="Q4" i="6"/>
  <c r="C4" i="6"/>
  <c r="Q3" i="6"/>
  <c r="Q21" i="6" s="1"/>
  <c r="J3" i="6"/>
  <c r="AH3" i="6" s="1"/>
  <c r="H3" i="6"/>
  <c r="AG3" i="6" s="1"/>
  <c r="E221" i="3"/>
  <c r="F221" i="3" s="1"/>
  <c r="E118" i="38" s="1"/>
  <c r="F175" i="3"/>
  <c r="E86" i="7" s="1"/>
  <c r="E217" i="3"/>
  <c r="F217" i="3" s="1"/>
  <c r="D118" i="38" s="1"/>
  <c r="F157" i="3"/>
  <c r="D86" i="7" s="1"/>
  <c r="G140" i="3"/>
  <c r="G139" i="3"/>
  <c r="G138" i="3"/>
  <c r="G134" i="3"/>
  <c r="G132" i="3"/>
  <c r="G130" i="3"/>
  <c r="G67" i="3"/>
  <c r="G64" i="3"/>
  <c r="G62" i="3"/>
  <c r="G68" i="3" s="1"/>
  <c r="G69" i="3" s="1"/>
  <c r="G55" i="3"/>
  <c r="F55" i="3"/>
  <c r="G51" i="3"/>
  <c r="F51" i="3"/>
  <c r="G45" i="3"/>
  <c r="F45" i="3"/>
  <c r="G39" i="3"/>
  <c r="F39" i="3"/>
  <c r="G25" i="3"/>
  <c r="F25" i="3"/>
  <c r="J15" i="3"/>
  <c r="F58" i="2"/>
  <c r="F57" i="2"/>
  <c r="F56" i="2"/>
  <c r="F55" i="2"/>
  <c r="F54" i="2"/>
  <c r="F53" i="2"/>
  <c r="F52" i="2"/>
  <c r="F51" i="2"/>
  <c r="F50" i="2"/>
  <c r="F49" i="2"/>
  <c r="F48" i="2"/>
  <c r="E47" i="2"/>
  <c r="F47" i="2" s="1"/>
  <c r="F59" i="2" s="1"/>
  <c r="G16" i="2"/>
  <c r="C13" i="2"/>
  <c r="I8" i="2"/>
  <c r="C45" i="38" s="1"/>
  <c r="E45" i="38" s="1"/>
  <c r="I7" i="2"/>
  <c r="C44" i="38" s="1"/>
  <c r="E44" i="38" s="1"/>
  <c r="F205" i="3" l="1"/>
  <c r="B86" i="38" s="1"/>
  <c r="G136" i="3"/>
  <c r="G143" i="3" s="1"/>
  <c r="C89" i="34" s="1"/>
  <c r="G129" i="3"/>
  <c r="D87" i="7"/>
  <c r="E87" i="7"/>
  <c r="E119" i="38"/>
  <c r="D119" i="38"/>
  <c r="G194" i="3"/>
  <c r="G195" i="3" s="1"/>
  <c r="G197" i="3" s="1"/>
  <c r="C88" i="38" s="1"/>
  <c r="B45" i="38"/>
  <c r="D45" i="38" s="1"/>
  <c r="E41" i="38"/>
  <c r="E47" i="38" s="1"/>
  <c r="E51" i="38" s="1"/>
  <c r="D41" i="38"/>
  <c r="C137" i="3"/>
  <c r="F137" i="3" s="1"/>
  <c r="C138" i="3"/>
  <c r="F138" i="3" s="1"/>
  <c r="C139" i="3"/>
  <c r="F139" i="3" s="1"/>
  <c r="C140" i="3"/>
  <c r="F140" i="3" s="1"/>
  <c r="C62" i="3"/>
  <c r="F62" i="3" s="1"/>
  <c r="C63" i="3"/>
  <c r="F63" i="3" s="1"/>
  <c r="C64" i="3"/>
  <c r="F64" i="3" s="1"/>
  <c r="C65" i="3"/>
  <c r="F65" i="3" s="1"/>
  <c r="C67" i="3"/>
  <c r="F67" i="3" s="1"/>
  <c r="C130" i="3"/>
  <c r="F130" i="3" s="1"/>
  <c r="C131" i="3"/>
  <c r="F131" i="3" s="1"/>
  <c r="C132" i="3"/>
  <c r="F132" i="3" s="1"/>
  <c r="C133" i="3"/>
  <c r="F133" i="3" s="1"/>
  <c r="C134" i="3"/>
  <c r="F134" i="3" s="1"/>
  <c r="D86" i="38"/>
  <c r="C86" i="38"/>
  <c r="E86" i="38" s="1"/>
  <c r="E106" i="38"/>
  <c r="E26" i="38"/>
  <c r="E67" i="38" s="1"/>
  <c r="E24" i="38"/>
  <c r="F213" i="3"/>
  <c r="F214" i="3" s="1"/>
  <c r="B89" i="38" s="1"/>
  <c r="F191" i="3"/>
  <c r="D20" i="38"/>
  <c r="D5" i="37"/>
  <c r="D13" i="37" s="1"/>
  <c r="D20" i="37" s="1"/>
  <c r="D5" i="36"/>
  <c r="D13" i="36" s="1"/>
  <c r="D20" i="36" s="1"/>
  <c r="D5" i="35"/>
  <c r="D13" i="35" s="1"/>
  <c r="D20" i="35" s="1"/>
  <c r="D5" i="34"/>
  <c r="D13" i="34" s="1"/>
  <c r="D20" i="34" s="1"/>
  <c r="D5" i="33"/>
  <c r="D13" i="33" s="1"/>
  <c r="D20" i="33" s="1"/>
  <c r="D5" i="32"/>
  <c r="D13" i="32" s="1"/>
  <c r="D20" i="32" s="1"/>
  <c r="D5" i="31"/>
  <c r="D5" i="30"/>
  <c r="D5" i="29"/>
  <c r="D5" i="28"/>
  <c r="D5" i="27"/>
  <c r="D13" i="27" s="1"/>
  <c r="D20" i="27" s="1"/>
  <c r="D5" i="26"/>
  <c r="D43" i="26" s="1"/>
  <c r="D5" i="24"/>
  <c r="D13" i="24" s="1"/>
  <c r="D20" i="24" s="1"/>
  <c r="D5" i="23"/>
  <c r="D13" i="23" s="1"/>
  <c r="D20" i="23" s="1"/>
  <c r="D5" i="22"/>
  <c r="D13" i="22" s="1"/>
  <c r="D20" i="22" s="1"/>
  <c r="D5" i="21"/>
  <c r="D13" i="21" s="1"/>
  <c r="D20" i="21" s="1"/>
  <c r="D5" i="20"/>
  <c r="D13" i="20" s="1"/>
  <c r="D20" i="20" s="1"/>
  <c r="D5" i="19"/>
  <c r="D13" i="19" s="1"/>
  <c r="D20" i="19" s="1"/>
  <c r="D5" i="18"/>
  <c r="D13" i="18" s="1"/>
  <c r="D20" i="18" s="1"/>
  <c r="D5" i="17"/>
  <c r="D5" i="16"/>
  <c r="D5" i="15"/>
  <c r="D5" i="14"/>
  <c r="D5" i="13"/>
  <c r="D13" i="13" s="1"/>
  <c r="D20" i="13" s="1"/>
  <c r="D5" i="12"/>
  <c r="D13" i="12" s="1"/>
  <c r="D20" i="12" s="1"/>
  <c r="D5" i="11"/>
  <c r="D43" i="11" s="1"/>
  <c r="D5" i="10"/>
  <c r="D5" i="9"/>
  <c r="D13" i="9" s="1"/>
  <c r="D20" i="9" s="1"/>
  <c r="D5" i="8"/>
  <c r="E9" i="2"/>
  <c r="D5" i="7"/>
  <c r="E5" i="37"/>
  <c r="E5" i="36"/>
  <c r="E5" i="35"/>
  <c r="E5" i="34"/>
  <c r="E5" i="33"/>
  <c r="E5" i="32"/>
  <c r="E5" i="31"/>
  <c r="E13" i="31" s="1"/>
  <c r="E20" i="31" s="1"/>
  <c r="E5" i="30"/>
  <c r="E13" i="30" s="1"/>
  <c r="E20" i="30" s="1"/>
  <c r="E5" i="29"/>
  <c r="E13" i="29" s="1"/>
  <c r="E20" i="29" s="1"/>
  <c r="E5" i="28"/>
  <c r="E13" i="28" s="1"/>
  <c r="E20" i="28" s="1"/>
  <c r="E5" i="27"/>
  <c r="E5" i="26"/>
  <c r="E5" i="24"/>
  <c r="E5" i="23"/>
  <c r="E5" i="22"/>
  <c r="E5" i="21"/>
  <c r="E5" i="20"/>
  <c r="E5" i="19"/>
  <c r="E5" i="18"/>
  <c r="E5" i="17"/>
  <c r="E13" i="17" s="1"/>
  <c r="E20" i="17" s="1"/>
  <c r="E5" i="16"/>
  <c r="E13" i="16" s="1"/>
  <c r="E20" i="16" s="1"/>
  <c r="E5" i="15"/>
  <c r="E13" i="15" s="1"/>
  <c r="E20" i="15" s="1"/>
  <c r="E5" i="14"/>
  <c r="E13" i="14" s="1"/>
  <c r="E20" i="14" s="1"/>
  <c r="E5" i="13"/>
  <c r="E5" i="12"/>
  <c r="E5" i="11"/>
  <c r="E13" i="11" s="1"/>
  <c r="E20" i="11" s="1"/>
  <c r="E5" i="10"/>
  <c r="E13" i="10" s="1"/>
  <c r="E20" i="10" s="1"/>
  <c r="E5" i="9"/>
  <c r="E5" i="8"/>
  <c r="E42" i="37"/>
  <c r="D42" i="37"/>
  <c r="C42" i="37"/>
  <c r="E42" i="36"/>
  <c r="D42" i="36"/>
  <c r="C42" i="36"/>
  <c r="E42" i="35"/>
  <c r="D42" i="35"/>
  <c r="C42" i="35"/>
  <c r="E42" i="34"/>
  <c r="D42" i="34"/>
  <c r="C42" i="34"/>
  <c r="E42" i="33"/>
  <c r="D42" i="33"/>
  <c r="C42" i="33"/>
  <c r="E42" i="32"/>
  <c r="D42" i="32"/>
  <c r="C42" i="32"/>
  <c r="E42" i="31"/>
  <c r="D42" i="31"/>
  <c r="C42" i="31"/>
  <c r="E42" i="30"/>
  <c r="D42" i="30"/>
  <c r="C42" i="30"/>
  <c r="E42" i="29"/>
  <c r="D42" i="29"/>
  <c r="C42" i="29"/>
  <c r="E42" i="28"/>
  <c r="D42" i="28"/>
  <c r="C42" i="28"/>
  <c r="E42" i="27"/>
  <c r="D42" i="27"/>
  <c r="C42" i="27"/>
  <c r="E42" i="26"/>
  <c r="D42" i="26"/>
  <c r="C42" i="26"/>
  <c r="E42" i="24"/>
  <c r="D42" i="24"/>
  <c r="C42" i="24"/>
  <c r="E42" i="23"/>
  <c r="D42" i="23"/>
  <c r="C42" i="23"/>
  <c r="E42" i="22"/>
  <c r="D42" i="22"/>
  <c r="C42" i="22"/>
  <c r="E42" i="21"/>
  <c r="D42" i="21"/>
  <c r="C42" i="21"/>
  <c r="E42" i="20"/>
  <c r="D42" i="20"/>
  <c r="C42" i="20"/>
  <c r="E42" i="19"/>
  <c r="D42" i="19"/>
  <c r="C42" i="19"/>
  <c r="E42" i="18"/>
  <c r="D42" i="18"/>
  <c r="C42" i="18"/>
  <c r="E42" i="17"/>
  <c r="D42" i="17"/>
  <c r="C42" i="17"/>
  <c r="E42" i="16"/>
  <c r="D42" i="16"/>
  <c r="C42" i="16"/>
  <c r="E42" i="15"/>
  <c r="D42" i="15"/>
  <c r="C42" i="15"/>
  <c r="E42" i="14"/>
  <c r="D42" i="14"/>
  <c r="C42" i="14"/>
  <c r="E42" i="13"/>
  <c r="D42" i="13"/>
  <c r="C42" i="13"/>
  <c r="E42" i="12"/>
  <c r="D42" i="12"/>
  <c r="C42" i="12"/>
  <c r="E42" i="11"/>
  <c r="D42" i="11"/>
  <c r="C42" i="11"/>
  <c r="E42" i="10"/>
  <c r="D42" i="10"/>
  <c r="C42" i="10"/>
  <c r="E42" i="9"/>
  <c r="D42" i="9"/>
  <c r="C42" i="9"/>
  <c r="E42" i="8"/>
  <c r="D42" i="8"/>
  <c r="C42" i="8"/>
  <c r="E42" i="7"/>
  <c r="D42" i="7"/>
  <c r="B44" i="37"/>
  <c r="B44" i="36"/>
  <c r="B44" i="35"/>
  <c r="B44" i="34"/>
  <c r="B44" i="33"/>
  <c r="B44" i="32"/>
  <c r="B44" i="31"/>
  <c r="B44" i="30"/>
  <c r="B44" i="29"/>
  <c r="B44" i="28"/>
  <c r="B44" i="27"/>
  <c r="B44" i="26"/>
  <c r="B44" i="22"/>
  <c r="B44" i="21"/>
  <c r="B44" i="20"/>
  <c r="B44" i="19"/>
  <c r="B44" i="18"/>
  <c r="B44" i="17"/>
  <c r="B44" i="16"/>
  <c r="B44" i="15"/>
  <c r="B44" i="14"/>
  <c r="B44" i="13"/>
  <c r="B44" i="12"/>
  <c r="B44" i="11"/>
  <c r="B44" i="10"/>
  <c r="B44" i="9"/>
  <c r="B44" i="8"/>
  <c r="B43" i="7"/>
  <c r="B45" i="37"/>
  <c r="B45" i="36"/>
  <c r="B45" i="35"/>
  <c r="B45" i="34"/>
  <c r="B45" i="33"/>
  <c r="B45" i="32"/>
  <c r="B45" i="31"/>
  <c r="B45" i="30"/>
  <c r="B45" i="29"/>
  <c r="B45" i="28"/>
  <c r="B45" i="27"/>
  <c r="B45" i="26"/>
  <c r="B45" i="21"/>
  <c r="B45" i="20"/>
  <c r="B45" i="19"/>
  <c r="B45" i="18"/>
  <c r="B45" i="17"/>
  <c r="B45" i="16"/>
  <c r="B45" i="15"/>
  <c r="B45" i="14"/>
  <c r="B45" i="13"/>
  <c r="B45" i="12"/>
  <c r="B45" i="11"/>
  <c r="B45" i="10"/>
  <c r="B45" i="9"/>
  <c r="B45" i="8"/>
  <c r="B44" i="7"/>
  <c r="B71" i="37"/>
  <c r="B62" i="37"/>
  <c r="B61" i="37"/>
  <c r="B71" i="36"/>
  <c r="B62" i="36"/>
  <c r="B61" i="36"/>
  <c r="B71" i="35"/>
  <c r="B62" i="35"/>
  <c r="B61" i="35"/>
  <c r="B71" i="34"/>
  <c r="B62" i="34"/>
  <c r="B61" i="34"/>
  <c r="B71" i="33"/>
  <c r="B62" i="33"/>
  <c r="B61" i="33"/>
  <c r="B71" i="32"/>
  <c r="B62" i="32"/>
  <c r="B61" i="32"/>
  <c r="B71" i="31"/>
  <c r="B62" i="31"/>
  <c r="B61" i="31"/>
  <c r="B71" i="30"/>
  <c r="B62" i="30"/>
  <c r="B61" i="30"/>
  <c r="B71" i="29"/>
  <c r="B62" i="29"/>
  <c r="B61" i="29"/>
  <c r="B71" i="28"/>
  <c r="B62" i="28"/>
  <c r="B61" i="28"/>
  <c r="B71" i="27"/>
  <c r="B62" i="27"/>
  <c r="B61" i="27"/>
  <c r="B71" i="26"/>
  <c r="B62" i="26"/>
  <c r="B61" i="26"/>
  <c r="B71" i="24"/>
  <c r="B62" i="24"/>
  <c r="B61" i="24"/>
  <c r="B71" i="23"/>
  <c r="B62" i="23"/>
  <c r="B61" i="23"/>
  <c r="B71" i="22"/>
  <c r="B62" i="22"/>
  <c r="B61" i="22"/>
  <c r="B71" i="21"/>
  <c r="B62" i="21"/>
  <c r="B61" i="21"/>
  <c r="B71" i="20"/>
  <c r="B62" i="20"/>
  <c r="B61" i="20"/>
  <c r="B71" i="19"/>
  <c r="B62" i="19"/>
  <c r="B61" i="19"/>
  <c r="B71" i="18"/>
  <c r="B62" i="18"/>
  <c r="B61" i="18"/>
  <c r="B71" i="17"/>
  <c r="B62" i="17"/>
  <c r="B61" i="17"/>
  <c r="B71" i="16"/>
  <c r="B62" i="16"/>
  <c r="B61" i="16"/>
  <c r="B71" i="15"/>
  <c r="B62" i="15"/>
  <c r="B61" i="15"/>
  <c r="B71" i="14"/>
  <c r="B62" i="14"/>
  <c r="B61" i="14"/>
  <c r="B71" i="13"/>
  <c r="B62" i="13"/>
  <c r="B61" i="13"/>
  <c r="B71" i="12"/>
  <c r="B62" i="12"/>
  <c r="B61" i="12"/>
  <c r="B71" i="11"/>
  <c r="B62" i="11"/>
  <c r="B61" i="11"/>
  <c r="B71" i="10"/>
  <c r="B62" i="10"/>
  <c r="B61" i="10"/>
  <c r="B71" i="9"/>
  <c r="B62" i="9"/>
  <c r="B61" i="9"/>
  <c r="B71" i="8"/>
  <c r="B62" i="8"/>
  <c r="B61" i="8"/>
  <c r="C70" i="7"/>
  <c r="B70" i="7"/>
  <c r="C61" i="7"/>
  <c r="B61" i="7"/>
  <c r="C60" i="7"/>
  <c r="B60" i="7"/>
  <c r="G3" i="3"/>
  <c r="F3" i="3"/>
  <c r="G4" i="3"/>
  <c r="F4" i="3"/>
  <c r="G5" i="3"/>
  <c r="F5" i="3"/>
  <c r="G6" i="3"/>
  <c r="F6" i="3"/>
  <c r="G7" i="3"/>
  <c r="F7" i="3"/>
  <c r="G8" i="3"/>
  <c r="F8" i="3"/>
  <c r="G9" i="3"/>
  <c r="F9" i="3"/>
  <c r="G10" i="3"/>
  <c r="F10" i="3"/>
  <c r="G11" i="3"/>
  <c r="F11" i="3"/>
  <c r="G12" i="3"/>
  <c r="F12" i="3"/>
  <c r="G13" i="3"/>
  <c r="F13" i="3"/>
  <c r="G14" i="3"/>
  <c r="F14" i="3"/>
  <c r="G15" i="3"/>
  <c r="F15" i="3"/>
  <c r="G16" i="3"/>
  <c r="F16" i="3"/>
  <c r="G17" i="3"/>
  <c r="F17" i="3"/>
  <c r="G18" i="3"/>
  <c r="F18" i="3"/>
  <c r="G19" i="3"/>
  <c r="F19" i="3"/>
  <c r="G20" i="3"/>
  <c r="F20" i="3"/>
  <c r="G21" i="3"/>
  <c r="F21" i="3"/>
  <c r="G22" i="3"/>
  <c r="F22" i="3"/>
  <c r="G23" i="3"/>
  <c r="F23" i="3"/>
  <c r="G24" i="3"/>
  <c r="F24" i="3"/>
  <c r="G26" i="3"/>
  <c r="F26" i="3"/>
  <c r="G27" i="3"/>
  <c r="F27" i="3"/>
  <c r="G28" i="3"/>
  <c r="F28" i="3"/>
  <c r="G29" i="3"/>
  <c r="F29" i="3"/>
  <c r="G30" i="3"/>
  <c r="F30" i="3"/>
  <c r="G31" i="3"/>
  <c r="F31" i="3"/>
  <c r="G32" i="3"/>
  <c r="F32" i="3"/>
  <c r="G33" i="3"/>
  <c r="F33" i="3"/>
  <c r="G34" i="3"/>
  <c r="F34" i="3"/>
  <c r="G35" i="3"/>
  <c r="F35" i="3"/>
  <c r="G36" i="3"/>
  <c r="F36" i="3"/>
  <c r="G40" i="3"/>
  <c r="F40" i="3"/>
  <c r="G41" i="3"/>
  <c r="F41" i="3"/>
  <c r="G42" i="3"/>
  <c r="F42" i="3"/>
  <c r="G43" i="3"/>
  <c r="F43" i="3"/>
  <c r="G44" i="3"/>
  <c r="F44" i="3"/>
  <c r="G46" i="3"/>
  <c r="F46" i="3"/>
  <c r="G47" i="3"/>
  <c r="F47" i="3"/>
  <c r="G48" i="3"/>
  <c r="F48" i="3"/>
  <c r="G49" i="3"/>
  <c r="F49" i="3"/>
  <c r="G50" i="3"/>
  <c r="F50" i="3"/>
  <c r="G52" i="3"/>
  <c r="F52" i="3"/>
  <c r="G53" i="3"/>
  <c r="F53" i="3"/>
  <c r="G54" i="3"/>
  <c r="F54" i="3"/>
  <c r="G56" i="3"/>
  <c r="F56" i="3"/>
  <c r="E87" i="37"/>
  <c r="E87" i="36"/>
  <c r="E87" i="35"/>
  <c r="E87" i="34"/>
  <c r="E87" i="33"/>
  <c r="E87" i="32"/>
  <c r="E87" i="31"/>
  <c r="E87" i="30"/>
  <c r="E87" i="29"/>
  <c r="E87" i="28"/>
  <c r="E87" i="27"/>
  <c r="E87" i="26"/>
  <c r="G87" i="3"/>
  <c r="F87" i="3"/>
  <c r="G88" i="3"/>
  <c r="F88" i="3"/>
  <c r="G89" i="3"/>
  <c r="F89" i="3"/>
  <c r="G90" i="3"/>
  <c r="F90" i="3"/>
  <c r="G91" i="3"/>
  <c r="F91" i="3"/>
  <c r="G92" i="3"/>
  <c r="F92" i="3"/>
  <c r="G93" i="3"/>
  <c r="F93" i="3"/>
  <c r="G94" i="3"/>
  <c r="F94" i="3"/>
  <c r="G95" i="3"/>
  <c r="F95" i="3"/>
  <c r="G96" i="3"/>
  <c r="F96" i="3"/>
  <c r="G97" i="3"/>
  <c r="F97" i="3"/>
  <c r="G98" i="3"/>
  <c r="F98" i="3"/>
  <c r="G99" i="3"/>
  <c r="F99" i="3"/>
  <c r="G100" i="3"/>
  <c r="F100" i="3"/>
  <c r="G101" i="3"/>
  <c r="F101" i="3"/>
  <c r="G102" i="3"/>
  <c r="F102" i="3"/>
  <c r="G103" i="3"/>
  <c r="F103" i="3"/>
  <c r="G113" i="3"/>
  <c r="F113" i="3"/>
  <c r="G114" i="3"/>
  <c r="F114" i="3"/>
  <c r="G115" i="3"/>
  <c r="F115" i="3"/>
  <c r="G116" i="3"/>
  <c r="F116" i="3"/>
  <c r="G117" i="3"/>
  <c r="F117" i="3"/>
  <c r="G118" i="3"/>
  <c r="F118" i="3"/>
  <c r="G120" i="3"/>
  <c r="F120" i="3"/>
  <c r="G121" i="3"/>
  <c r="F121" i="3"/>
  <c r="G122" i="3"/>
  <c r="F122" i="3"/>
  <c r="G123" i="3"/>
  <c r="F123" i="3"/>
  <c r="G142" i="3"/>
  <c r="C89" i="35"/>
  <c r="C89" i="32"/>
  <c r="C89" i="31"/>
  <c r="C89" i="27"/>
  <c r="D182" i="8"/>
  <c r="H21" i="6"/>
  <c r="M3" i="6"/>
  <c r="D184" i="8"/>
  <c r="J21" i="6"/>
  <c r="J23" i="6" s="1"/>
  <c r="S3" i="6"/>
  <c r="D191" i="8"/>
  <c r="C21" i="6"/>
  <c r="M4" i="6"/>
  <c r="D178" i="9"/>
  <c r="D21" i="6"/>
  <c r="M5" i="6"/>
  <c r="D179" i="9"/>
  <c r="E21" i="6"/>
  <c r="D180" i="9"/>
  <c r="F21" i="6"/>
  <c r="D185" i="9"/>
  <c r="K21" i="6"/>
  <c r="K23" i="6" s="1"/>
  <c r="D177" i="10"/>
  <c r="M6" i="6"/>
  <c r="D184" i="10"/>
  <c r="S6" i="6"/>
  <c r="D186" i="11"/>
  <c r="M7" i="6"/>
  <c r="D177" i="12"/>
  <c r="M8" i="6"/>
  <c r="D186" i="12"/>
  <c r="D185" i="13"/>
  <c r="L9" i="6"/>
  <c r="AH9" i="6" s="1"/>
  <c r="D177" i="14"/>
  <c r="M10" i="6"/>
  <c r="D186" i="14"/>
  <c r="D177" i="15"/>
  <c r="M11" i="6"/>
  <c r="D180" i="16"/>
  <c r="M12" i="6"/>
  <c r="D180" i="17"/>
  <c r="M13" i="6"/>
  <c r="D186" i="19"/>
  <c r="M15" i="6"/>
  <c r="G24" i="6"/>
  <c r="G23" i="6"/>
  <c r="I24" i="6"/>
  <c r="I23" i="6"/>
  <c r="K24" i="6"/>
  <c r="J24" i="6"/>
  <c r="B122" i="24"/>
  <c r="B119" i="24"/>
  <c r="B122" i="23"/>
  <c r="B119" i="23"/>
  <c r="B122" i="22"/>
  <c r="B119" i="22"/>
  <c r="B122" i="21"/>
  <c r="B119" i="21"/>
  <c r="B122" i="20"/>
  <c r="B119" i="20"/>
  <c r="B122" i="19"/>
  <c r="B119" i="19"/>
  <c r="B122" i="18"/>
  <c r="B119" i="18"/>
  <c r="B122" i="17"/>
  <c r="B119" i="17"/>
  <c r="B122" i="16"/>
  <c r="B119" i="16"/>
  <c r="B122" i="15"/>
  <c r="B119" i="15"/>
  <c r="B122" i="14"/>
  <c r="B119" i="14"/>
  <c r="B122" i="13"/>
  <c r="B119" i="13"/>
  <c r="B122" i="12"/>
  <c r="B119" i="12"/>
  <c r="B122" i="11"/>
  <c r="B119" i="11"/>
  <c r="B122" i="10"/>
  <c r="B119" i="10"/>
  <c r="B122" i="9"/>
  <c r="B119" i="9"/>
  <c r="B122" i="8"/>
  <c r="B119" i="8"/>
  <c r="C26" i="6"/>
  <c r="B128" i="24"/>
  <c r="B131" i="24" s="1"/>
  <c r="B128" i="23"/>
  <c r="B131" i="23" s="1"/>
  <c r="B128" i="22"/>
  <c r="B131" i="22" s="1"/>
  <c r="B128" i="21"/>
  <c r="B131" i="21" s="1"/>
  <c r="B128" i="20"/>
  <c r="B131" i="20" s="1"/>
  <c r="B128" i="19"/>
  <c r="B131" i="19" s="1"/>
  <c r="B128" i="18"/>
  <c r="B131" i="18" s="1"/>
  <c r="B128" i="17"/>
  <c r="B131" i="17" s="1"/>
  <c r="B128" i="16"/>
  <c r="B131" i="16" s="1"/>
  <c r="B128" i="15"/>
  <c r="B131" i="15" s="1"/>
  <c r="B128" i="14"/>
  <c r="B131" i="14" s="1"/>
  <c r="B128" i="13"/>
  <c r="B131" i="13" s="1"/>
  <c r="B128" i="12"/>
  <c r="B131" i="12" s="1"/>
  <c r="B128" i="11"/>
  <c r="B131" i="11" s="1"/>
  <c r="B128" i="10"/>
  <c r="B131" i="10" s="1"/>
  <c r="B128" i="9"/>
  <c r="B131" i="9" s="1"/>
  <c r="B128" i="8"/>
  <c r="B131" i="8" s="1"/>
  <c r="D26" i="6"/>
  <c r="B137" i="24"/>
  <c r="B137" i="23"/>
  <c r="B137" i="22"/>
  <c r="B137" i="21"/>
  <c r="B137" i="20"/>
  <c r="B137" i="19"/>
  <c r="B137" i="18"/>
  <c r="B137" i="17"/>
  <c r="B137" i="16"/>
  <c r="B137" i="15"/>
  <c r="B137" i="14"/>
  <c r="B137" i="13"/>
  <c r="B137" i="12"/>
  <c r="B137" i="11"/>
  <c r="B137" i="10"/>
  <c r="B137" i="9"/>
  <c r="B137" i="8"/>
  <c r="E26" i="6"/>
  <c r="B146" i="24"/>
  <c r="B146" i="23"/>
  <c r="B146" i="22"/>
  <c r="B146" i="21"/>
  <c r="B146" i="20"/>
  <c r="B146" i="19"/>
  <c r="B146" i="18"/>
  <c r="B146" i="17"/>
  <c r="B146" i="16"/>
  <c r="B146" i="15"/>
  <c r="B146" i="14"/>
  <c r="B146" i="13"/>
  <c r="B146" i="12"/>
  <c r="B146" i="11"/>
  <c r="B146" i="10"/>
  <c r="B146" i="9"/>
  <c r="B146" i="8"/>
  <c r="F26" i="6"/>
  <c r="B152" i="24"/>
  <c r="B152" i="23"/>
  <c r="B152" i="22"/>
  <c r="B152" i="21"/>
  <c r="B152" i="20"/>
  <c r="B152" i="19"/>
  <c r="B152" i="18"/>
  <c r="B152" i="17"/>
  <c r="B152" i="16"/>
  <c r="B152" i="15"/>
  <c r="B152" i="14"/>
  <c r="B152" i="13"/>
  <c r="B152" i="12"/>
  <c r="B152" i="11"/>
  <c r="B152" i="10"/>
  <c r="B152" i="9"/>
  <c r="B152" i="8"/>
  <c r="G26" i="6"/>
  <c r="B155" i="24"/>
  <c r="B155" i="23"/>
  <c r="B155" i="22"/>
  <c r="B155" i="21"/>
  <c r="B155" i="20"/>
  <c r="B155" i="19"/>
  <c r="B155" i="18"/>
  <c r="B155" i="17"/>
  <c r="B155" i="16"/>
  <c r="B155" i="15"/>
  <c r="B155" i="14"/>
  <c r="B155" i="13"/>
  <c r="B155" i="12"/>
  <c r="B155" i="11"/>
  <c r="B155" i="10"/>
  <c r="B155" i="9"/>
  <c r="B155" i="8"/>
  <c r="H26" i="6"/>
  <c r="B158" i="24"/>
  <c r="B158" i="23"/>
  <c r="B158" i="22"/>
  <c r="B158" i="21"/>
  <c r="B158" i="20"/>
  <c r="B158" i="19"/>
  <c r="B158" i="18"/>
  <c r="B158" i="17"/>
  <c r="B158" i="16"/>
  <c r="B158" i="15"/>
  <c r="B158" i="14"/>
  <c r="B158" i="13"/>
  <c r="B158" i="12"/>
  <c r="B158" i="11"/>
  <c r="B158" i="10"/>
  <c r="B158" i="9"/>
  <c r="B158" i="8"/>
  <c r="I26" i="6"/>
  <c r="B164" i="24"/>
  <c r="B164" i="23"/>
  <c r="B164" i="22"/>
  <c r="B164" i="21"/>
  <c r="B164" i="20"/>
  <c r="B164" i="19"/>
  <c r="B164" i="18"/>
  <c r="B164" i="17"/>
  <c r="B164" i="16"/>
  <c r="B164" i="15"/>
  <c r="B164" i="14"/>
  <c r="B164" i="13"/>
  <c r="B164" i="12"/>
  <c r="B164" i="11"/>
  <c r="B164" i="10"/>
  <c r="B164" i="9"/>
  <c r="B164" i="8"/>
  <c r="J26" i="6"/>
  <c r="B167" i="24"/>
  <c r="B167" i="23"/>
  <c r="B167" i="22"/>
  <c r="B167" i="21"/>
  <c r="B167" i="20"/>
  <c r="B167" i="19"/>
  <c r="B167" i="18"/>
  <c r="B167" i="17"/>
  <c r="B167" i="16"/>
  <c r="B167" i="15"/>
  <c r="B167" i="14"/>
  <c r="B167" i="13"/>
  <c r="B167" i="12"/>
  <c r="B167" i="11"/>
  <c r="B167" i="10"/>
  <c r="B167" i="9"/>
  <c r="B167" i="8"/>
  <c r="K26" i="6"/>
  <c r="B170" i="24"/>
  <c r="B170" i="23"/>
  <c r="B170" i="22"/>
  <c r="B170" i="21"/>
  <c r="B170" i="20"/>
  <c r="B170" i="19"/>
  <c r="B170" i="18"/>
  <c r="B170" i="17"/>
  <c r="B170" i="16"/>
  <c r="B170" i="15"/>
  <c r="B170" i="14"/>
  <c r="B170" i="13"/>
  <c r="B170" i="12"/>
  <c r="B170" i="11"/>
  <c r="B170" i="10"/>
  <c r="B170" i="9"/>
  <c r="B170" i="8"/>
  <c r="L26" i="6"/>
  <c r="E66" i="8"/>
  <c r="D66" i="8"/>
  <c r="C66" i="8"/>
  <c r="D43" i="9"/>
  <c r="E66" i="9"/>
  <c r="D66" i="9"/>
  <c r="C66" i="9"/>
  <c r="E41" i="10"/>
  <c r="E66" i="10"/>
  <c r="D66" i="10"/>
  <c r="C66" i="10"/>
  <c r="E41" i="11"/>
  <c r="E66" i="11"/>
  <c r="D66" i="11"/>
  <c r="C66" i="11"/>
  <c r="D41" i="12"/>
  <c r="D43" i="12"/>
  <c r="E66" i="12"/>
  <c r="D66" i="12"/>
  <c r="C66" i="12"/>
  <c r="E66" i="13"/>
  <c r="D66" i="13"/>
  <c r="C66" i="13"/>
  <c r="E41" i="14"/>
  <c r="E66" i="14"/>
  <c r="D66" i="14"/>
  <c r="C66" i="14"/>
  <c r="E41" i="15"/>
  <c r="E66" i="15"/>
  <c r="D66" i="15"/>
  <c r="C66" i="15"/>
  <c r="E66" i="16"/>
  <c r="D66" i="16"/>
  <c r="C66" i="16"/>
  <c r="E66" i="17"/>
  <c r="D66" i="17"/>
  <c r="C66" i="17"/>
  <c r="E66" i="18"/>
  <c r="D66" i="18"/>
  <c r="C66" i="18"/>
  <c r="D43" i="19"/>
  <c r="E66" i="19"/>
  <c r="D66" i="19"/>
  <c r="C66" i="19"/>
  <c r="D43" i="20"/>
  <c r="E66" i="20"/>
  <c r="D66" i="20"/>
  <c r="C66" i="20"/>
  <c r="D43" i="21"/>
  <c r="E66" i="21"/>
  <c r="D66" i="21"/>
  <c r="C66" i="21"/>
  <c r="E45" i="22"/>
  <c r="D45" i="22"/>
  <c r="C45" i="22"/>
  <c r="E66" i="22"/>
  <c r="D66" i="22"/>
  <c r="C66" i="22"/>
  <c r="E44" i="23"/>
  <c r="D44" i="23"/>
  <c r="C44" i="23"/>
  <c r="E45" i="23"/>
  <c r="D45" i="23"/>
  <c r="C45" i="23"/>
  <c r="E66" i="23"/>
  <c r="D66" i="23"/>
  <c r="C66" i="23"/>
  <c r="D43" i="24"/>
  <c r="E44" i="24"/>
  <c r="D44" i="24"/>
  <c r="C44" i="24"/>
  <c r="E45" i="24"/>
  <c r="D45" i="24"/>
  <c r="C45" i="24"/>
  <c r="E66" i="24"/>
  <c r="D66" i="24"/>
  <c r="C66" i="24"/>
  <c r="C23" i="25"/>
  <c r="C22" i="25"/>
  <c r="D23" i="25"/>
  <c r="D22" i="25"/>
  <c r="E23" i="25"/>
  <c r="E22" i="25"/>
  <c r="F23" i="25"/>
  <c r="F22" i="25"/>
  <c r="G23" i="25"/>
  <c r="G22" i="25"/>
  <c r="H23" i="25"/>
  <c r="H22" i="25"/>
  <c r="J23" i="25"/>
  <c r="J22" i="25"/>
  <c r="L23" i="25"/>
  <c r="L22" i="25"/>
  <c r="M23" i="25"/>
  <c r="M22" i="25"/>
  <c r="B122" i="37"/>
  <c r="D122" i="37" s="1"/>
  <c r="B119" i="37"/>
  <c r="B122" i="36"/>
  <c r="D122" i="36" s="1"/>
  <c r="B119" i="36"/>
  <c r="B122" i="35"/>
  <c r="D122" i="35" s="1"/>
  <c r="B119" i="35"/>
  <c r="B122" i="34"/>
  <c r="D122" i="34" s="1"/>
  <c r="B119" i="34"/>
  <c r="B122" i="33"/>
  <c r="D122" i="33" s="1"/>
  <c r="B119" i="33"/>
  <c r="B122" i="32"/>
  <c r="D122" i="32" s="1"/>
  <c r="B119" i="32"/>
  <c r="B122" i="31"/>
  <c r="D122" i="31" s="1"/>
  <c r="B119" i="31"/>
  <c r="B122" i="30"/>
  <c r="D122" i="30" s="1"/>
  <c r="B119" i="30"/>
  <c r="B122" i="29"/>
  <c r="D122" i="29" s="1"/>
  <c r="B119" i="29"/>
  <c r="B122" i="28"/>
  <c r="D122" i="28" s="1"/>
  <c r="B119" i="28"/>
  <c r="B122" i="27"/>
  <c r="D122" i="27" s="1"/>
  <c r="B119" i="27"/>
  <c r="B122" i="26"/>
  <c r="D122" i="26" s="1"/>
  <c r="B119" i="26"/>
  <c r="C25" i="25"/>
  <c r="B128" i="37"/>
  <c r="B131" i="37" s="1"/>
  <c r="D131" i="37" s="1"/>
  <c r="B128" i="36"/>
  <c r="B131" i="36" s="1"/>
  <c r="D131" i="36" s="1"/>
  <c r="B128" i="35"/>
  <c r="B131" i="35" s="1"/>
  <c r="D131" i="35" s="1"/>
  <c r="B128" i="34"/>
  <c r="B131" i="34" s="1"/>
  <c r="D131" i="34" s="1"/>
  <c r="B128" i="33"/>
  <c r="B131" i="33" s="1"/>
  <c r="D131" i="33" s="1"/>
  <c r="B128" i="32"/>
  <c r="B131" i="32" s="1"/>
  <c r="D131" i="32" s="1"/>
  <c r="B128" i="31"/>
  <c r="B131" i="31" s="1"/>
  <c r="D131" i="31" s="1"/>
  <c r="B128" i="30"/>
  <c r="B131" i="30" s="1"/>
  <c r="D131" i="30" s="1"/>
  <c r="B128" i="29"/>
  <c r="B131" i="29" s="1"/>
  <c r="D131" i="29" s="1"/>
  <c r="B128" i="28"/>
  <c r="B131" i="28" s="1"/>
  <c r="D131" i="28" s="1"/>
  <c r="B128" i="27"/>
  <c r="B131" i="27" s="1"/>
  <c r="D131" i="27" s="1"/>
  <c r="B128" i="26"/>
  <c r="B131" i="26" s="1"/>
  <c r="D131" i="26" s="1"/>
  <c r="D25" i="25"/>
  <c r="B137" i="37"/>
  <c r="B137" i="36"/>
  <c r="B137" i="35"/>
  <c r="B137" i="34"/>
  <c r="B137" i="33"/>
  <c r="B137" i="32"/>
  <c r="B137" i="31"/>
  <c r="B137" i="30"/>
  <c r="B137" i="29"/>
  <c r="B137" i="28"/>
  <c r="B137" i="27"/>
  <c r="B137" i="26"/>
  <c r="E25" i="25"/>
  <c r="B146" i="37"/>
  <c r="B146" i="36"/>
  <c r="B146" i="35"/>
  <c r="B146" i="34"/>
  <c r="B146" i="33"/>
  <c r="B146" i="32"/>
  <c r="B146" i="31"/>
  <c r="B146" i="30"/>
  <c r="B146" i="29"/>
  <c r="B146" i="28"/>
  <c r="B146" i="27"/>
  <c r="B146" i="26"/>
  <c r="F25" i="25"/>
  <c r="B152" i="37"/>
  <c r="B152" i="36"/>
  <c r="B152" i="35"/>
  <c r="B152" i="34"/>
  <c r="B152" i="33"/>
  <c r="B152" i="32"/>
  <c r="B152" i="31"/>
  <c r="B152" i="30"/>
  <c r="B152" i="29"/>
  <c r="B152" i="28"/>
  <c r="B152" i="27"/>
  <c r="B152" i="26"/>
  <c r="G25" i="25"/>
  <c r="B155" i="37"/>
  <c r="B155" i="36"/>
  <c r="B155" i="35"/>
  <c r="B155" i="34"/>
  <c r="B155" i="33"/>
  <c r="B155" i="32"/>
  <c r="B155" i="31"/>
  <c r="B155" i="30"/>
  <c r="B155" i="29"/>
  <c r="B155" i="28"/>
  <c r="B155" i="27"/>
  <c r="B155" i="26"/>
  <c r="H25" i="25"/>
  <c r="B158" i="37"/>
  <c r="B158" i="36"/>
  <c r="B158" i="35"/>
  <c r="B158" i="34"/>
  <c r="B158" i="33"/>
  <c r="B158" i="32"/>
  <c r="B158" i="31"/>
  <c r="B158" i="30"/>
  <c r="B158" i="29"/>
  <c r="B158" i="28"/>
  <c r="B158" i="27"/>
  <c r="B158" i="26"/>
  <c r="I25" i="25"/>
  <c r="B161" i="37"/>
  <c r="B161" i="36"/>
  <c r="B161" i="35"/>
  <c r="B161" i="34"/>
  <c r="B161" i="33"/>
  <c r="B161" i="32"/>
  <c r="B161" i="31"/>
  <c r="B161" i="30"/>
  <c r="B161" i="29"/>
  <c r="B161" i="28"/>
  <c r="B161" i="27"/>
  <c r="B161" i="26"/>
  <c r="J25" i="25"/>
  <c r="B167" i="37"/>
  <c r="B167" i="36"/>
  <c r="B167" i="35"/>
  <c r="B167" i="34"/>
  <c r="B167" i="33"/>
  <c r="B167" i="32"/>
  <c r="B167" i="31"/>
  <c r="B167" i="30"/>
  <c r="B167" i="29"/>
  <c r="B167" i="28"/>
  <c r="B167" i="27"/>
  <c r="B167" i="26"/>
  <c r="K25" i="25"/>
  <c r="B170" i="37"/>
  <c r="B170" i="36"/>
  <c r="B170" i="35"/>
  <c r="B170" i="34"/>
  <c r="B170" i="33"/>
  <c r="B170" i="32"/>
  <c r="B170" i="31"/>
  <c r="B170" i="30"/>
  <c r="B170" i="29"/>
  <c r="B170" i="28"/>
  <c r="B170" i="27"/>
  <c r="B170" i="26"/>
  <c r="L25" i="25"/>
  <c r="B173" i="37"/>
  <c r="B173" i="36"/>
  <c r="B173" i="35"/>
  <c r="B173" i="34"/>
  <c r="B173" i="33"/>
  <c r="B173" i="32"/>
  <c r="B173" i="31"/>
  <c r="B173" i="30"/>
  <c r="B173" i="29"/>
  <c r="B173" i="28"/>
  <c r="B173" i="27"/>
  <c r="B173" i="26"/>
  <c r="M25" i="25"/>
  <c r="E66" i="26"/>
  <c r="D66" i="26"/>
  <c r="C66" i="26"/>
  <c r="E66" i="27"/>
  <c r="D66" i="27"/>
  <c r="C66" i="27"/>
  <c r="A215" i="27"/>
  <c r="A200" i="27"/>
  <c r="A185" i="27"/>
  <c r="A216" i="27"/>
  <c r="A201" i="27"/>
  <c r="A186" i="27"/>
  <c r="E41" i="28"/>
  <c r="E66" i="28"/>
  <c r="D66" i="28"/>
  <c r="C66" i="28"/>
  <c r="E66" i="29"/>
  <c r="D66" i="29"/>
  <c r="C66" i="29"/>
  <c r="E66" i="30"/>
  <c r="D66" i="30"/>
  <c r="C66" i="30"/>
  <c r="E66" i="31"/>
  <c r="D66" i="31"/>
  <c r="C66" i="31"/>
  <c r="E66" i="32"/>
  <c r="D66" i="32"/>
  <c r="C66" i="32"/>
  <c r="D43" i="33"/>
  <c r="E66" i="33"/>
  <c r="D66" i="33"/>
  <c r="C66" i="33"/>
  <c r="D43" i="34"/>
  <c r="E66" i="34"/>
  <c r="D66" i="34"/>
  <c r="C66" i="34"/>
  <c r="E66" i="35"/>
  <c r="D66" i="35"/>
  <c r="C66" i="35"/>
  <c r="E66" i="36"/>
  <c r="D66" i="36"/>
  <c r="C66" i="36"/>
  <c r="D41" i="37"/>
  <c r="E66" i="37"/>
  <c r="D66" i="37"/>
  <c r="C66" i="37"/>
  <c r="C89" i="28" l="1"/>
  <c r="C89" i="36"/>
  <c r="C89" i="29"/>
  <c r="C89" i="33"/>
  <c r="C89" i="37"/>
  <c r="C89" i="26"/>
  <c r="C89" i="30"/>
  <c r="G141" i="3"/>
  <c r="D43" i="36"/>
  <c r="D41" i="35"/>
  <c r="D43" i="27"/>
  <c r="D43" i="23"/>
  <c r="D41" i="33"/>
  <c r="D43" i="32"/>
  <c r="D43" i="22"/>
  <c r="D41" i="23"/>
  <c r="D47" i="23" s="1"/>
  <c r="D51" i="23" s="1"/>
  <c r="D41" i="19"/>
  <c r="D43" i="18"/>
  <c r="E41" i="17"/>
  <c r="D43" i="37"/>
  <c r="D41" i="24"/>
  <c r="D41" i="34"/>
  <c r="E41" i="16"/>
  <c r="D43" i="13"/>
  <c r="D41" i="9"/>
  <c r="D41" i="27"/>
  <c r="D41" i="13"/>
  <c r="D41" i="36"/>
  <c r="D43" i="35"/>
  <c r="D41" i="32"/>
  <c r="E41" i="31"/>
  <c r="E41" i="30"/>
  <c r="E41" i="29"/>
  <c r="F129" i="3"/>
  <c r="F142" i="3" s="1"/>
  <c r="F68" i="3"/>
  <c r="F69" i="3" s="1"/>
  <c r="F136" i="3"/>
  <c r="C89" i="38"/>
  <c r="E89" i="38" s="1"/>
  <c r="D89" i="38"/>
  <c r="D26" i="38"/>
  <c r="D67" i="38" s="1"/>
  <c r="E65" i="38"/>
  <c r="E68" i="38" s="1"/>
  <c r="E72" i="38" s="1"/>
  <c r="E27" i="38"/>
  <c r="F195" i="3"/>
  <c r="F197" i="3" s="1"/>
  <c r="B88" i="38" s="1"/>
  <c r="D47" i="38"/>
  <c r="D106" i="38"/>
  <c r="D24" i="38"/>
  <c r="B174" i="37"/>
  <c r="B174" i="36"/>
  <c r="B174" i="35"/>
  <c r="B174" i="34"/>
  <c r="B174" i="33"/>
  <c r="B174" i="32"/>
  <c r="B174" i="31"/>
  <c r="B174" i="30"/>
  <c r="B174" i="29"/>
  <c r="B174" i="28"/>
  <c r="B174" i="27"/>
  <c r="B174" i="26"/>
  <c r="B171" i="37"/>
  <c r="B171" i="36"/>
  <c r="B171" i="35"/>
  <c r="B171" i="34"/>
  <c r="B171" i="33"/>
  <c r="B171" i="32"/>
  <c r="B171" i="31"/>
  <c r="B171" i="30"/>
  <c r="B171" i="29"/>
  <c r="B171" i="28"/>
  <c r="B171" i="27"/>
  <c r="B171" i="26"/>
  <c r="B168" i="37"/>
  <c r="B168" i="36"/>
  <c r="B168" i="35"/>
  <c r="B168" i="34"/>
  <c r="B168" i="33"/>
  <c r="B168" i="32"/>
  <c r="B168" i="31"/>
  <c r="B168" i="30"/>
  <c r="B168" i="29"/>
  <c r="B168" i="28"/>
  <c r="B168" i="27"/>
  <c r="B168" i="26"/>
  <c r="B162" i="37"/>
  <c r="B162" i="36"/>
  <c r="B162" i="35"/>
  <c r="B162" i="34"/>
  <c r="B162" i="33"/>
  <c r="B162" i="32"/>
  <c r="B162" i="31"/>
  <c r="B162" i="30"/>
  <c r="B162" i="29"/>
  <c r="B162" i="28"/>
  <c r="B162" i="27"/>
  <c r="B162" i="26"/>
  <c r="B159" i="37"/>
  <c r="B159" i="36"/>
  <c r="B159" i="35"/>
  <c r="B159" i="34"/>
  <c r="B159" i="33"/>
  <c r="B159" i="32"/>
  <c r="B159" i="31"/>
  <c r="B159" i="30"/>
  <c r="B159" i="29"/>
  <c r="B159" i="28"/>
  <c r="B159" i="27"/>
  <c r="B159" i="26"/>
  <c r="B156" i="37"/>
  <c r="B156" i="36"/>
  <c r="B156" i="35"/>
  <c r="B156" i="34"/>
  <c r="B156" i="33"/>
  <c r="B156" i="32"/>
  <c r="B156" i="31"/>
  <c r="B156" i="30"/>
  <c r="B156" i="29"/>
  <c r="B156" i="28"/>
  <c r="B156" i="27"/>
  <c r="B156" i="26"/>
  <c r="B153" i="37"/>
  <c r="B153" i="36"/>
  <c r="B153" i="35"/>
  <c r="B153" i="34"/>
  <c r="B153" i="33"/>
  <c r="B153" i="32"/>
  <c r="B153" i="31"/>
  <c r="B153" i="30"/>
  <c r="B153" i="29"/>
  <c r="B153" i="28"/>
  <c r="B153" i="27"/>
  <c r="B153" i="26"/>
  <c r="B147" i="37"/>
  <c r="B147" i="36"/>
  <c r="B147" i="35"/>
  <c r="B147" i="34"/>
  <c r="B147" i="33"/>
  <c r="B147" i="32"/>
  <c r="B147" i="31"/>
  <c r="B147" i="30"/>
  <c r="B147" i="29"/>
  <c r="B147" i="28"/>
  <c r="B147" i="27"/>
  <c r="B147" i="26"/>
  <c r="B138" i="37"/>
  <c r="B141" i="37" s="1"/>
  <c r="D141" i="37" s="1"/>
  <c r="E141" i="37" s="1"/>
  <c r="B138" i="36"/>
  <c r="B141" i="36" s="1"/>
  <c r="D141" i="36" s="1"/>
  <c r="E141" i="36" s="1"/>
  <c r="B138" i="35"/>
  <c r="B141" i="35" s="1"/>
  <c r="D141" i="35" s="1"/>
  <c r="E141" i="35" s="1"/>
  <c r="B138" i="34"/>
  <c r="B141" i="34" s="1"/>
  <c r="D141" i="34" s="1"/>
  <c r="E141" i="34" s="1"/>
  <c r="B138" i="33"/>
  <c r="B141" i="33" s="1"/>
  <c r="D141" i="33" s="1"/>
  <c r="E141" i="33" s="1"/>
  <c r="B138" i="32"/>
  <c r="B141" i="32" s="1"/>
  <c r="D141" i="32" s="1"/>
  <c r="E141" i="32" s="1"/>
  <c r="B138" i="31"/>
  <c r="B141" i="31" s="1"/>
  <c r="D141" i="31" s="1"/>
  <c r="E141" i="31" s="1"/>
  <c r="B138" i="30"/>
  <c r="B141" i="30" s="1"/>
  <c r="D141" i="30" s="1"/>
  <c r="E141" i="30" s="1"/>
  <c r="B138" i="29"/>
  <c r="B141" i="29" s="1"/>
  <c r="D141" i="29" s="1"/>
  <c r="E141" i="29" s="1"/>
  <c r="B138" i="28"/>
  <c r="B141" i="28" s="1"/>
  <c r="D141" i="28" s="1"/>
  <c r="E141" i="28" s="1"/>
  <c r="B138" i="27"/>
  <c r="B141" i="27" s="1"/>
  <c r="D141" i="27" s="1"/>
  <c r="E141" i="27" s="1"/>
  <c r="B138" i="26"/>
  <c r="B141" i="26" s="1"/>
  <c r="D141" i="26" s="1"/>
  <c r="E141" i="26" s="1"/>
  <c r="B140" i="26"/>
  <c r="D140" i="26" s="1"/>
  <c r="B140" i="27"/>
  <c r="D140" i="27" s="1"/>
  <c r="B140" i="28"/>
  <c r="D140" i="28" s="1"/>
  <c r="B140" i="29"/>
  <c r="D140" i="29" s="1"/>
  <c r="B140" i="30"/>
  <c r="D140" i="30" s="1"/>
  <c r="B140" i="31"/>
  <c r="D140" i="31" s="1"/>
  <c r="B140" i="32"/>
  <c r="D140" i="32" s="1"/>
  <c r="B140" i="33"/>
  <c r="D140" i="33" s="1"/>
  <c r="B140" i="34"/>
  <c r="D140" i="34" s="1"/>
  <c r="B140" i="35"/>
  <c r="D140" i="35" s="1"/>
  <c r="B140" i="36"/>
  <c r="D140" i="36" s="1"/>
  <c r="B140" i="37"/>
  <c r="D140" i="37" s="1"/>
  <c r="B129" i="37"/>
  <c r="B132" i="37" s="1"/>
  <c r="D132" i="37" s="1"/>
  <c r="E132" i="37" s="1"/>
  <c r="B129" i="36"/>
  <c r="B132" i="36" s="1"/>
  <c r="D132" i="36" s="1"/>
  <c r="E132" i="36" s="1"/>
  <c r="B129" i="35"/>
  <c r="B132" i="35" s="1"/>
  <c r="D132" i="35" s="1"/>
  <c r="E132" i="35" s="1"/>
  <c r="B129" i="34"/>
  <c r="B132" i="34" s="1"/>
  <c r="D132" i="34" s="1"/>
  <c r="E132" i="34" s="1"/>
  <c r="B129" i="33"/>
  <c r="B132" i="33" s="1"/>
  <c r="D132" i="33" s="1"/>
  <c r="E132" i="33" s="1"/>
  <c r="B129" i="32"/>
  <c r="B132" i="32" s="1"/>
  <c r="D132" i="32" s="1"/>
  <c r="E132" i="32" s="1"/>
  <c r="B129" i="31"/>
  <c r="B132" i="31" s="1"/>
  <c r="D132" i="31" s="1"/>
  <c r="E132" i="31" s="1"/>
  <c r="B129" i="30"/>
  <c r="B132" i="30" s="1"/>
  <c r="D132" i="30" s="1"/>
  <c r="E132" i="30" s="1"/>
  <c r="B129" i="29"/>
  <c r="B132" i="29" s="1"/>
  <c r="D132" i="29" s="1"/>
  <c r="E132" i="29" s="1"/>
  <c r="B129" i="28"/>
  <c r="B132" i="28" s="1"/>
  <c r="D132" i="28" s="1"/>
  <c r="E132" i="28" s="1"/>
  <c r="B129" i="27"/>
  <c r="B132" i="27" s="1"/>
  <c r="D132" i="27" s="1"/>
  <c r="E132" i="27" s="1"/>
  <c r="B129" i="26"/>
  <c r="B132" i="26" s="1"/>
  <c r="D132" i="26" s="1"/>
  <c r="E132" i="26" s="1"/>
  <c r="D133" i="26"/>
  <c r="E131" i="26"/>
  <c r="D133" i="27"/>
  <c r="E131" i="27"/>
  <c r="D133" i="28"/>
  <c r="E131" i="28"/>
  <c r="D133" i="29"/>
  <c r="E131" i="29"/>
  <c r="D133" i="30"/>
  <c r="E131" i="30"/>
  <c r="D133" i="31"/>
  <c r="E131" i="31"/>
  <c r="D133" i="32"/>
  <c r="E131" i="32"/>
  <c r="D133" i="33"/>
  <c r="E131" i="33"/>
  <c r="D133" i="34"/>
  <c r="E131" i="34"/>
  <c r="D133" i="35"/>
  <c r="E131" i="35"/>
  <c r="D133" i="36"/>
  <c r="E131" i="36"/>
  <c r="D133" i="37"/>
  <c r="E131" i="37"/>
  <c r="B123" i="37"/>
  <c r="D123" i="37" s="1"/>
  <c r="E123" i="37" s="1"/>
  <c r="B120" i="37"/>
  <c r="B123" i="36"/>
  <c r="D123" i="36" s="1"/>
  <c r="E123" i="36" s="1"/>
  <c r="B120" i="36"/>
  <c r="B123" i="35"/>
  <c r="D123" i="35" s="1"/>
  <c r="E123" i="35" s="1"/>
  <c r="B120" i="35"/>
  <c r="B123" i="34"/>
  <c r="D123" i="34" s="1"/>
  <c r="E123" i="34" s="1"/>
  <c r="B120" i="34"/>
  <c r="B123" i="33"/>
  <c r="D123" i="33" s="1"/>
  <c r="E123" i="33" s="1"/>
  <c r="B120" i="33"/>
  <c r="B123" i="32"/>
  <c r="D123" i="32" s="1"/>
  <c r="E123" i="32" s="1"/>
  <c r="B120" i="32"/>
  <c r="B123" i="31"/>
  <c r="D123" i="31" s="1"/>
  <c r="E123" i="31" s="1"/>
  <c r="B120" i="31"/>
  <c r="B123" i="30"/>
  <c r="D123" i="30" s="1"/>
  <c r="E123" i="30" s="1"/>
  <c r="B120" i="30"/>
  <c r="B123" i="29"/>
  <c r="D123" i="29" s="1"/>
  <c r="E123" i="29" s="1"/>
  <c r="B120" i="29"/>
  <c r="B123" i="28"/>
  <c r="D123" i="28" s="1"/>
  <c r="E123" i="28" s="1"/>
  <c r="B120" i="28"/>
  <c r="B123" i="27"/>
  <c r="D123" i="27" s="1"/>
  <c r="E123" i="27" s="1"/>
  <c r="B120" i="27"/>
  <c r="B123" i="26"/>
  <c r="D123" i="26" s="1"/>
  <c r="E123" i="26" s="1"/>
  <c r="B120" i="26"/>
  <c r="D124" i="26"/>
  <c r="E122" i="26"/>
  <c r="D124" i="27"/>
  <c r="E122" i="27"/>
  <c r="D124" i="28"/>
  <c r="E122" i="28"/>
  <c r="D124" i="29"/>
  <c r="E122" i="29"/>
  <c r="D124" i="30"/>
  <c r="E122" i="30"/>
  <c r="D124" i="31"/>
  <c r="E122" i="31"/>
  <c r="D124" i="32"/>
  <c r="E122" i="32"/>
  <c r="D124" i="33"/>
  <c r="E122" i="33"/>
  <c r="D124" i="34"/>
  <c r="E122" i="34"/>
  <c r="D124" i="35"/>
  <c r="E122" i="35"/>
  <c r="D124" i="36"/>
  <c r="E122" i="36"/>
  <c r="D124" i="37"/>
  <c r="E122" i="37"/>
  <c r="N22" i="25"/>
  <c r="N23" i="25"/>
  <c r="D47" i="24"/>
  <c r="D51" i="24" s="1"/>
  <c r="B171" i="24"/>
  <c r="B171" i="23"/>
  <c r="B171" i="22"/>
  <c r="B171" i="21"/>
  <c r="B171" i="20"/>
  <c r="B171" i="19"/>
  <c r="B171" i="18"/>
  <c r="B171" i="17"/>
  <c r="B171" i="16"/>
  <c r="B171" i="15"/>
  <c r="B171" i="14"/>
  <c r="B171" i="13"/>
  <c r="B171" i="12"/>
  <c r="B171" i="11"/>
  <c r="B171" i="10"/>
  <c r="B171" i="9"/>
  <c r="B171" i="8"/>
  <c r="B168" i="24"/>
  <c r="B168" i="23"/>
  <c r="B168" i="22"/>
  <c r="B168" i="21"/>
  <c r="B168" i="20"/>
  <c r="B168" i="19"/>
  <c r="B168" i="18"/>
  <c r="B168" i="17"/>
  <c r="B168" i="16"/>
  <c r="B168" i="15"/>
  <c r="B168" i="14"/>
  <c r="B168" i="13"/>
  <c r="B168" i="12"/>
  <c r="B168" i="11"/>
  <c r="B168" i="10"/>
  <c r="B168" i="9"/>
  <c r="B168" i="8"/>
  <c r="B165" i="24"/>
  <c r="B165" i="23"/>
  <c r="B165" i="22"/>
  <c r="B165" i="21"/>
  <c r="B165" i="20"/>
  <c r="B165" i="19"/>
  <c r="B165" i="18"/>
  <c r="B165" i="17"/>
  <c r="B165" i="16"/>
  <c r="B165" i="15"/>
  <c r="B165" i="14"/>
  <c r="B165" i="13"/>
  <c r="B165" i="12"/>
  <c r="B165" i="11"/>
  <c r="B165" i="10"/>
  <c r="B165" i="9"/>
  <c r="B165" i="8"/>
  <c r="B159" i="24"/>
  <c r="B159" i="23"/>
  <c r="B159" i="22"/>
  <c r="B159" i="21"/>
  <c r="B159" i="20"/>
  <c r="B159" i="19"/>
  <c r="B159" i="18"/>
  <c r="B159" i="17"/>
  <c r="B159" i="16"/>
  <c r="B159" i="15"/>
  <c r="B159" i="14"/>
  <c r="B159" i="13"/>
  <c r="B159" i="12"/>
  <c r="B159" i="11"/>
  <c r="B159" i="10"/>
  <c r="B159" i="9"/>
  <c r="B159" i="8"/>
  <c r="B156" i="24"/>
  <c r="B156" i="23"/>
  <c r="B156" i="22"/>
  <c r="B156" i="21"/>
  <c r="B156" i="20"/>
  <c r="B156" i="19"/>
  <c r="B156" i="18"/>
  <c r="B156" i="17"/>
  <c r="B156" i="16"/>
  <c r="B156" i="15"/>
  <c r="B156" i="14"/>
  <c r="B156" i="13"/>
  <c r="B156" i="12"/>
  <c r="B156" i="11"/>
  <c r="B156" i="10"/>
  <c r="B156" i="9"/>
  <c r="B156" i="8"/>
  <c r="B153" i="24"/>
  <c r="B153" i="23"/>
  <c r="B153" i="22"/>
  <c r="B153" i="21"/>
  <c r="B153" i="20"/>
  <c r="B153" i="19"/>
  <c r="B153" i="18"/>
  <c r="B153" i="17"/>
  <c r="B153" i="16"/>
  <c r="B153" i="15"/>
  <c r="B153" i="14"/>
  <c r="B153" i="13"/>
  <c r="B153" i="12"/>
  <c r="B153" i="11"/>
  <c r="B153" i="10"/>
  <c r="B153" i="9"/>
  <c r="B153" i="8"/>
  <c r="B147" i="24"/>
  <c r="B147" i="23"/>
  <c r="B147" i="22"/>
  <c r="B147" i="21"/>
  <c r="B147" i="20"/>
  <c r="B147" i="19"/>
  <c r="B147" i="18"/>
  <c r="B147" i="17"/>
  <c r="B147" i="16"/>
  <c r="B147" i="15"/>
  <c r="B147" i="14"/>
  <c r="B147" i="13"/>
  <c r="B147" i="12"/>
  <c r="B147" i="11"/>
  <c r="B147" i="10"/>
  <c r="B147" i="9"/>
  <c r="B147" i="8"/>
  <c r="B138" i="24"/>
  <c r="B141" i="24" s="1"/>
  <c r="D141" i="24" s="1"/>
  <c r="E141" i="24" s="1"/>
  <c r="B138" i="23"/>
  <c r="B141" i="23" s="1"/>
  <c r="D141" i="23" s="1"/>
  <c r="E141" i="23" s="1"/>
  <c r="B138" i="22"/>
  <c r="B141" i="22" s="1"/>
  <c r="D141" i="22" s="1"/>
  <c r="E141" i="22" s="1"/>
  <c r="B138" i="21"/>
  <c r="B141" i="21" s="1"/>
  <c r="D141" i="21" s="1"/>
  <c r="E141" i="21" s="1"/>
  <c r="B138" i="20"/>
  <c r="B141" i="20" s="1"/>
  <c r="D141" i="20" s="1"/>
  <c r="E141" i="20" s="1"/>
  <c r="B138" i="19"/>
  <c r="B141" i="19" s="1"/>
  <c r="D141" i="19" s="1"/>
  <c r="E141" i="19" s="1"/>
  <c r="B138" i="18"/>
  <c r="B141" i="18" s="1"/>
  <c r="D141" i="18" s="1"/>
  <c r="E141" i="18" s="1"/>
  <c r="B138" i="17"/>
  <c r="B141" i="17" s="1"/>
  <c r="D141" i="17" s="1"/>
  <c r="E141" i="17" s="1"/>
  <c r="B138" i="16"/>
  <c r="B141" i="16" s="1"/>
  <c r="D141" i="16" s="1"/>
  <c r="E141" i="16" s="1"/>
  <c r="B138" i="15"/>
  <c r="B141" i="15" s="1"/>
  <c r="D141" i="15" s="1"/>
  <c r="E141" i="15" s="1"/>
  <c r="B138" i="14"/>
  <c r="B141" i="14" s="1"/>
  <c r="D141" i="14" s="1"/>
  <c r="E141" i="14" s="1"/>
  <c r="B138" i="13"/>
  <c r="B141" i="13" s="1"/>
  <c r="D141" i="13" s="1"/>
  <c r="E141" i="13" s="1"/>
  <c r="B138" i="12"/>
  <c r="B141" i="12" s="1"/>
  <c r="D141" i="12" s="1"/>
  <c r="E141" i="12" s="1"/>
  <c r="B138" i="11"/>
  <c r="B141" i="11" s="1"/>
  <c r="D141" i="11" s="1"/>
  <c r="E141" i="11" s="1"/>
  <c r="B138" i="10"/>
  <c r="B141" i="10" s="1"/>
  <c r="D141" i="10" s="1"/>
  <c r="E141" i="10" s="1"/>
  <c r="B138" i="9"/>
  <c r="B141" i="9" s="1"/>
  <c r="D141" i="9" s="1"/>
  <c r="E141" i="9" s="1"/>
  <c r="B138" i="8"/>
  <c r="B141" i="8" s="1"/>
  <c r="D141" i="8" s="1"/>
  <c r="E141" i="8" s="1"/>
  <c r="B140" i="8"/>
  <c r="B140" i="9"/>
  <c r="B140" i="10"/>
  <c r="B140" i="11"/>
  <c r="B140" i="12"/>
  <c r="B140" i="13"/>
  <c r="B140" i="14"/>
  <c r="B140" i="15"/>
  <c r="B140" i="16"/>
  <c r="B140" i="17"/>
  <c r="B140" i="18"/>
  <c r="B140" i="19"/>
  <c r="B140" i="20"/>
  <c r="B140" i="21"/>
  <c r="B140" i="22"/>
  <c r="B140" i="23"/>
  <c r="B140" i="24"/>
  <c r="B129" i="24"/>
  <c r="B132" i="24" s="1"/>
  <c r="D132" i="24" s="1"/>
  <c r="E132" i="24" s="1"/>
  <c r="B129" i="23"/>
  <c r="B132" i="23" s="1"/>
  <c r="D132" i="23" s="1"/>
  <c r="E132" i="23" s="1"/>
  <c r="B129" i="22"/>
  <c r="B132" i="22" s="1"/>
  <c r="D132" i="22" s="1"/>
  <c r="E132" i="22" s="1"/>
  <c r="B129" i="21"/>
  <c r="B132" i="21" s="1"/>
  <c r="D132" i="21" s="1"/>
  <c r="E132" i="21" s="1"/>
  <c r="B129" i="20"/>
  <c r="B132" i="20" s="1"/>
  <c r="D132" i="20" s="1"/>
  <c r="E132" i="20" s="1"/>
  <c r="B129" i="19"/>
  <c r="B132" i="19" s="1"/>
  <c r="D132" i="19" s="1"/>
  <c r="E132" i="19" s="1"/>
  <c r="B129" i="18"/>
  <c r="B132" i="18" s="1"/>
  <c r="D132" i="18" s="1"/>
  <c r="E132" i="18" s="1"/>
  <c r="B129" i="17"/>
  <c r="B132" i="17" s="1"/>
  <c r="D132" i="17" s="1"/>
  <c r="E132" i="17" s="1"/>
  <c r="B129" i="16"/>
  <c r="B132" i="16" s="1"/>
  <c r="D132" i="16" s="1"/>
  <c r="E132" i="16" s="1"/>
  <c r="B129" i="15"/>
  <c r="B132" i="15" s="1"/>
  <c r="D132" i="15" s="1"/>
  <c r="E132" i="15" s="1"/>
  <c r="B129" i="14"/>
  <c r="B132" i="14" s="1"/>
  <c r="D132" i="14" s="1"/>
  <c r="E132" i="14" s="1"/>
  <c r="B129" i="13"/>
  <c r="B132" i="13" s="1"/>
  <c r="D132" i="13" s="1"/>
  <c r="E132" i="13" s="1"/>
  <c r="B129" i="12"/>
  <c r="B132" i="12" s="1"/>
  <c r="D132" i="12" s="1"/>
  <c r="E132" i="12" s="1"/>
  <c r="B129" i="11"/>
  <c r="B132" i="11" s="1"/>
  <c r="D132" i="11" s="1"/>
  <c r="E132" i="11" s="1"/>
  <c r="B129" i="10"/>
  <c r="B132" i="10" s="1"/>
  <c r="D132" i="10" s="1"/>
  <c r="E132" i="10" s="1"/>
  <c r="B129" i="9"/>
  <c r="B132" i="9" s="1"/>
  <c r="D132" i="9" s="1"/>
  <c r="E132" i="9" s="1"/>
  <c r="B129" i="8"/>
  <c r="B132" i="8" s="1"/>
  <c r="D132" i="8" s="1"/>
  <c r="E132" i="8" s="1"/>
  <c r="B123" i="24"/>
  <c r="D123" i="24" s="1"/>
  <c r="E123" i="24" s="1"/>
  <c r="B120" i="24"/>
  <c r="B123" i="23"/>
  <c r="D123" i="23" s="1"/>
  <c r="E123" i="23" s="1"/>
  <c r="B120" i="23"/>
  <c r="B123" i="22"/>
  <c r="D123" i="22" s="1"/>
  <c r="E123" i="22" s="1"/>
  <c r="B120" i="22"/>
  <c r="B123" i="21"/>
  <c r="D123" i="21" s="1"/>
  <c r="E123" i="21" s="1"/>
  <c r="B120" i="21"/>
  <c r="B123" i="20"/>
  <c r="D123" i="20" s="1"/>
  <c r="E123" i="20" s="1"/>
  <c r="B120" i="20"/>
  <c r="B123" i="19"/>
  <c r="D123" i="19" s="1"/>
  <c r="E123" i="19" s="1"/>
  <c r="B120" i="19"/>
  <c r="B123" i="18"/>
  <c r="D123" i="18" s="1"/>
  <c r="E123" i="18" s="1"/>
  <c r="B120" i="18"/>
  <c r="B123" i="17"/>
  <c r="D123" i="17" s="1"/>
  <c r="E123" i="17" s="1"/>
  <c r="B120" i="17"/>
  <c r="B123" i="16"/>
  <c r="D123" i="16" s="1"/>
  <c r="E123" i="16" s="1"/>
  <c r="B120" i="16"/>
  <c r="B123" i="15"/>
  <c r="D123" i="15" s="1"/>
  <c r="E123" i="15" s="1"/>
  <c r="B120" i="15"/>
  <c r="B123" i="14"/>
  <c r="D123" i="14" s="1"/>
  <c r="E123" i="14" s="1"/>
  <c r="B120" i="14"/>
  <c r="B123" i="13"/>
  <c r="D123" i="13" s="1"/>
  <c r="E123" i="13" s="1"/>
  <c r="B120" i="13"/>
  <c r="B123" i="12"/>
  <c r="D123" i="12" s="1"/>
  <c r="E123" i="12" s="1"/>
  <c r="B120" i="12"/>
  <c r="B123" i="11"/>
  <c r="D123" i="11" s="1"/>
  <c r="E123" i="11" s="1"/>
  <c r="B120" i="11"/>
  <c r="B123" i="10"/>
  <c r="D123" i="10" s="1"/>
  <c r="E123" i="10" s="1"/>
  <c r="B120" i="10"/>
  <c r="B123" i="9"/>
  <c r="D123" i="9" s="1"/>
  <c r="E123" i="9" s="1"/>
  <c r="B120" i="9"/>
  <c r="B123" i="8"/>
  <c r="D123" i="8" s="1"/>
  <c r="E123" i="8" s="1"/>
  <c r="B120" i="8"/>
  <c r="D186" i="13"/>
  <c r="L21" i="6"/>
  <c r="M9" i="6"/>
  <c r="F24" i="6"/>
  <c r="F23" i="6"/>
  <c r="E24" i="6"/>
  <c r="E23" i="6"/>
  <c r="D24" i="6"/>
  <c r="D23" i="6"/>
  <c r="C24" i="6"/>
  <c r="C23" i="6"/>
  <c r="M21" i="6"/>
  <c r="H24" i="6"/>
  <c r="H23" i="6"/>
  <c r="E89" i="37"/>
  <c r="E89" i="36"/>
  <c r="E89" i="35"/>
  <c r="E89" i="34"/>
  <c r="E89" i="33"/>
  <c r="E89" i="32"/>
  <c r="E89" i="31"/>
  <c r="E89" i="30"/>
  <c r="E89" i="29"/>
  <c r="E89" i="28"/>
  <c r="E89" i="27"/>
  <c r="E89" i="26"/>
  <c r="F119" i="3"/>
  <c r="F125" i="3" s="1"/>
  <c r="D85" i="7" s="1"/>
  <c r="D89" i="7" s="1"/>
  <c r="D109" i="7" s="1"/>
  <c r="G119" i="3"/>
  <c r="G125" i="3" s="1"/>
  <c r="E85" i="7" s="1"/>
  <c r="E89" i="7" s="1"/>
  <c r="E109" i="7" s="1"/>
  <c r="F112" i="3"/>
  <c r="F124" i="3" s="1"/>
  <c r="G112" i="3"/>
  <c r="G124" i="3" s="1"/>
  <c r="F104" i="3"/>
  <c r="F106" i="3" s="1"/>
  <c r="G104" i="3"/>
  <c r="G106" i="3" s="1"/>
  <c r="F57" i="3"/>
  <c r="F58" i="3" s="1"/>
  <c r="G57" i="3"/>
  <c r="G58" i="3" s="1"/>
  <c r="E44" i="7"/>
  <c r="D44" i="7"/>
  <c r="E45" i="8"/>
  <c r="D45" i="8"/>
  <c r="C45" i="8"/>
  <c r="E45" i="9"/>
  <c r="D45" i="9"/>
  <c r="C45" i="9"/>
  <c r="E45" i="10"/>
  <c r="D45" i="10"/>
  <c r="C45" i="10"/>
  <c r="E45" i="11"/>
  <c r="D45" i="11"/>
  <c r="C45" i="11"/>
  <c r="E45" i="12"/>
  <c r="D45" i="12"/>
  <c r="C45" i="12"/>
  <c r="E45" i="13"/>
  <c r="D45" i="13"/>
  <c r="C45" i="13"/>
  <c r="E45" i="14"/>
  <c r="D45" i="14"/>
  <c r="C45" i="14"/>
  <c r="E45" i="15"/>
  <c r="D45" i="15"/>
  <c r="C45" i="15"/>
  <c r="E45" i="16"/>
  <c r="D45" i="16"/>
  <c r="C45" i="16"/>
  <c r="E45" i="17"/>
  <c r="D45" i="17"/>
  <c r="C45" i="17"/>
  <c r="E45" i="18"/>
  <c r="D45" i="18"/>
  <c r="C45" i="18"/>
  <c r="E45" i="19"/>
  <c r="D45" i="19"/>
  <c r="C45" i="19"/>
  <c r="E45" i="20"/>
  <c r="D45" i="20"/>
  <c r="C45" i="20"/>
  <c r="C47" i="20" s="1"/>
  <c r="C51" i="20" s="1"/>
  <c r="E45" i="21"/>
  <c r="D45" i="21"/>
  <c r="C45" i="21"/>
  <c r="E45" i="26"/>
  <c r="D45" i="26"/>
  <c r="C45" i="26"/>
  <c r="E45" i="27"/>
  <c r="D45" i="27"/>
  <c r="C45" i="27"/>
  <c r="E45" i="28"/>
  <c r="D45" i="28"/>
  <c r="C45" i="28"/>
  <c r="E45" i="29"/>
  <c r="D45" i="29"/>
  <c r="C45" i="29"/>
  <c r="E45" i="30"/>
  <c r="D45" i="30"/>
  <c r="C45" i="30"/>
  <c r="E45" i="31"/>
  <c r="D45" i="31"/>
  <c r="C45" i="31"/>
  <c r="E45" i="32"/>
  <c r="D45" i="32"/>
  <c r="C45" i="32"/>
  <c r="E45" i="33"/>
  <c r="D45" i="33"/>
  <c r="C45" i="33"/>
  <c r="E45" i="34"/>
  <c r="D45" i="34"/>
  <c r="C45" i="34"/>
  <c r="E45" i="35"/>
  <c r="D45" i="35"/>
  <c r="C45" i="35"/>
  <c r="E45" i="36"/>
  <c r="D45" i="36"/>
  <c r="C45" i="36"/>
  <c r="E45" i="37"/>
  <c r="D45" i="37"/>
  <c r="C45" i="37"/>
  <c r="E43" i="7"/>
  <c r="D43" i="7"/>
  <c r="E44" i="8"/>
  <c r="D44" i="8"/>
  <c r="C44" i="8"/>
  <c r="E44" i="9"/>
  <c r="D44" i="9"/>
  <c r="C44" i="9"/>
  <c r="E44" i="10"/>
  <c r="E47" i="10" s="1"/>
  <c r="E51" i="10" s="1"/>
  <c r="D44" i="10"/>
  <c r="C44" i="10"/>
  <c r="E44" i="11"/>
  <c r="E47" i="11" s="1"/>
  <c r="E51" i="11" s="1"/>
  <c r="D44" i="11"/>
  <c r="C44" i="11"/>
  <c r="E44" i="12"/>
  <c r="D44" i="12"/>
  <c r="D47" i="12" s="1"/>
  <c r="D51" i="12" s="1"/>
  <c r="C44" i="12"/>
  <c r="E44" i="13"/>
  <c r="D44" i="13"/>
  <c r="C44" i="13"/>
  <c r="E44" i="14"/>
  <c r="E47" i="14" s="1"/>
  <c r="E51" i="14" s="1"/>
  <c r="D44" i="14"/>
  <c r="C44" i="14"/>
  <c r="E44" i="15"/>
  <c r="E47" i="15" s="1"/>
  <c r="E51" i="15" s="1"/>
  <c r="D44" i="15"/>
  <c r="C44" i="15"/>
  <c r="E44" i="16"/>
  <c r="E47" i="16" s="1"/>
  <c r="E51" i="16" s="1"/>
  <c r="D44" i="16"/>
  <c r="C44" i="16"/>
  <c r="E44" i="17"/>
  <c r="D44" i="17"/>
  <c r="C44" i="17"/>
  <c r="E44" i="18"/>
  <c r="D44" i="18"/>
  <c r="C44" i="18"/>
  <c r="E44" i="19"/>
  <c r="D44" i="19"/>
  <c r="D47" i="19" s="1"/>
  <c r="D51" i="19" s="1"/>
  <c r="C44" i="19"/>
  <c r="E44" i="20"/>
  <c r="D44" i="20"/>
  <c r="D47" i="20" s="1"/>
  <c r="D51" i="20" s="1"/>
  <c r="C44" i="20"/>
  <c r="E44" i="21"/>
  <c r="E47" i="21" s="1"/>
  <c r="E51" i="21" s="1"/>
  <c r="D44" i="21"/>
  <c r="C44" i="21"/>
  <c r="E44" i="22"/>
  <c r="D44" i="22"/>
  <c r="C44" i="22"/>
  <c r="E44" i="26"/>
  <c r="D44" i="26"/>
  <c r="C44" i="26"/>
  <c r="E44" i="27"/>
  <c r="D44" i="27"/>
  <c r="C44" i="27"/>
  <c r="E44" i="28"/>
  <c r="D44" i="28"/>
  <c r="C44" i="28"/>
  <c r="E44" i="29"/>
  <c r="E47" i="29" s="1"/>
  <c r="E51" i="29" s="1"/>
  <c r="D44" i="29"/>
  <c r="C44" i="29"/>
  <c r="E44" i="30"/>
  <c r="D44" i="30"/>
  <c r="C44" i="30"/>
  <c r="E44" i="31"/>
  <c r="D44" i="31"/>
  <c r="C44" i="31"/>
  <c r="E44" i="32"/>
  <c r="D44" i="32"/>
  <c r="C44" i="32"/>
  <c r="E44" i="33"/>
  <c r="D44" i="33"/>
  <c r="C44" i="33"/>
  <c r="E44" i="34"/>
  <c r="D44" i="34"/>
  <c r="C44" i="34"/>
  <c r="E44" i="35"/>
  <c r="D44" i="35"/>
  <c r="C44" i="35"/>
  <c r="E44" i="36"/>
  <c r="D44" i="36"/>
  <c r="C44" i="36"/>
  <c r="E44" i="37"/>
  <c r="D44" i="37"/>
  <c r="C44" i="37"/>
  <c r="C47" i="18"/>
  <c r="C51" i="18" s="1"/>
  <c r="E47" i="18"/>
  <c r="E51" i="18" s="1"/>
  <c r="E47" i="20"/>
  <c r="E51" i="20" s="1"/>
  <c r="C47" i="21"/>
  <c r="C51" i="21" s="1"/>
  <c r="D47" i="21"/>
  <c r="D51" i="21" s="1"/>
  <c r="C47" i="22"/>
  <c r="C51" i="22" s="1"/>
  <c r="E47" i="22"/>
  <c r="E51" i="22" s="1"/>
  <c r="E13" i="9"/>
  <c r="C13" i="9"/>
  <c r="E107" i="10"/>
  <c r="E26" i="10"/>
  <c r="E67" i="10" s="1"/>
  <c r="E24" i="10"/>
  <c r="E107" i="11"/>
  <c r="E26" i="11"/>
  <c r="E67" i="11" s="1"/>
  <c r="E24" i="11"/>
  <c r="E13" i="12"/>
  <c r="C13" i="12"/>
  <c r="E13" i="13"/>
  <c r="C13" i="13"/>
  <c r="E107" i="14"/>
  <c r="E26" i="14"/>
  <c r="E67" i="14" s="1"/>
  <c r="E24" i="14"/>
  <c r="E107" i="15"/>
  <c r="E26" i="15"/>
  <c r="E67" i="15" s="1"/>
  <c r="E24" i="15"/>
  <c r="E107" i="16"/>
  <c r="E26" i="16"/>
  <c r="E67" i="16" s="1"/>
  <c r="E24" i="16"/>
  <c r="E107" i="17"/>
  <c r="E26" i="17"/>
  <c r="E67" i="17" s="1"/>
  <c r="E24" i="17"/>
  <c r="E13" i="18"/>
  <c r="E20" i="18" s="1"/>
  <c r="C13" i="18"/>
  <c r="C20" i="18" s="1"/>
  <c r="E13" i="19"/>
  <c r="C13" i="19"/>
  <c r="E13" i="20"/>
  <c r="E20" i="20" s="1"/>
  <c r="C13" i="20"/>
  <c r="C20" i="20" s="1"/>
  <c r="E13" i="21"/>
  <c r="E20" i="21" s="1"/>
  <c r="C13" i="21"/>
  <c r="C20" i="21" s="1"/>
  <c r="E13" i="22"/>
  <c r="E20" i="22" s="1"/>
  <c r="C13" i="22"/>
  <c r="C20" i="22" s="1"/>
  <c r="E13" i="23"/>
  <c r="C13" i="23"/>
  <c r="E13" i="24"/>
  <c r="C13" i="24"/>
  <c r="E13" i="27"/>
  <c r="C13" i="27"/>
  <c r="E107" i="28"/>
  <c r="E26" i="28"/>
  <c r="E67" i="28" s="1"/>
  <c r="E24" i="28"/>
  <c r="E107" i="29"/>
  <c r="E26" i="29"/>
  <c r="E67" i="29" s="1"/>
  <c r="E24" i="29"/>
  <c r="E107" i="30"/>
  <c r="E26" i="30"/>
  <c r="E67" i="30" s="1"/>
  <c r="E24" i="30"/>
  <c r="E107" i="31"/>
  <c r="E26" i="31"/>
  <c r="E67" i="31" s="1"/>
  <c r="E24" i="31"/>
  <c r="E13" i="32"/>
  <c r="C13" i="32"/>
  <c r="E13" i="33"/>
  <c r="C13" i="33"/>
  <c r="E13" i="34"/>
  <c r="C13" i="34"/>
  <c r="E13" i="35"/>
  <c r="C13" i="35"/>
  <c r="E13" i="36"/>
  <c r="C13" i="36"/>
  <c r="E13" i="37"/>
  <c r="C13" i="37"/>
  <c r="E13" i="7"/>
  <c r="D13" i="7"/>
  <c r="E13" i="8"/>
  <c r="D13" i="8"/>
  <c r="C13" i="8"/>
  <c r="D107" i="9"/>
  <c r="D26" i="9"/>
  <c r="D67" i="9" s="1"/>
  <c r="D24" i="9"/>
  <c r="D13" i="10"/>
  <c r="C13" i="10"/>
  <c r="D13" i="11"/>
  <c r="C13" i="11"/>
  <c r="D107" i="12"/>
  <c r="D26" i="12"/>
  <c r="D67" i="12" s="1"/>
  <c r="D24" i="12"/>
  <c r="D107" i="13"/>
  <c r="D26" i="13"/>
  <c r="D67" i="13" s="1"/>
  <c r="D24" i="13"/>
  <c r="D13" i="14"/>
  <c r="C13" i="14"/>
  <c r="D13" i="15"/>
  <c r="C13" i="15"/>
  <c r="D13" i="16"/>
  <c r="C13" i="16"/>
  <c r="D13" i="17"/>
  <c r="C13" i="17"/>
  <c r="D107" i="18"/>
  <c r="D26" i="18"/>
  <c r="D67" i="18" s="1"/>
  <c r="D24" i="18"/>
  <c r="D107" i="19"/>
  <c r="D26" i="19"/>
  <c r="D67" i="19" s="1"/>
  <c r="D24" i="19"/>
  <c r="D107" i="20"/>
  <c r="D26" i="20"/>
  <c r="D67" i="20" s="1"/>
  <c r="D24" i="20"/>
  <c r="D107" i="21"/>
  <c r="D26" i="21"/>
  <c r="D67" i="21" s="1"/>
  <c r="D24" i="21"/>
  <c r="D107" i="22"/>
  <c r="D26" i="22"/>
  <c r="D67" i="22" s="1"/>
  <c r="D24" i="22"/>
  <c r="D107" i="23"/>
  <c r="D26" i="23"/>
  <c r="D67" i="23" s="1"/>
  <c r="D24" i="23"/>
  <c r="D107" i="24"/>
  <c r="D26" i="24"/>
  <c r="D67" i="24" s="1"/>
  <c r="D24" i="24"/>
  <c r="E13" i="26"/>
  <c r="D13" i="26"/>
  <c r="C13" i="26"/>
  <c r="D107" i="27"/>
  <c r="D26" i="27"/>
  <c r="D67" i="27" s="1"/>
  <c r="D24" i="27"/>
  <c r="D13" i="28"/>
  <c r="C13" i="28"/>
  <c r="D13" i="29"/>
  <c r="C13" i="29"/>
  <c r="D13" i="30"/>
  <c r="C13" i="30"/>
  <c r="D13" i="31"/>
  <c r="C13" i="31"/>
  <c r="D107" i="32"/>
  <c r="D26" i="32"/>
  <c r="D67" i="32" s="1"/>
  <c r="D24" i="32"/>
  <c r="D107" i="33"/>
  <c r="D26" i="33"/>
  <c r="D67" i="33" s="1"/>
  <c r="D24" i="33"/>
  <c r="D107" i="34"/>
  <c r="D26" i="34"/>
  <c r="D67" i="34" s="1"/>
  <c r="D24" i="34"/>
  <c r="D107" i="35"/>
  <c r="D26" i="35"/>
  <c r="D67" i="35" s="1"/>
  <c r="D24" i="35"/>
  <c r="D107" i="36"/>
  <c r="D26" i="36"/>
  <c r="D67" i="36" s="1"/>
  <c r="D24" i="36"/>
  <c r="D107" i="37"/>
  <c r="D26" i="37"/>
  <c r="D67" i="37" s="1"/>
  <c r="D24" i="37"/>
  <c r="E47" i="30" l="1"/>
  <c r="E51" i="30" s="1"/>
  <c r="E47" i="31"/>
  <c r="E51" i="31" s="1"/>
  <c r="E47" i="28"/>
  <c r="E51" i="28" s="1"/>
  <c r="D47" i="22"/>
  <c r="D51" i="22" s="1"/>
  <c r="D47" i="18"/>
  <c r="D51" i="18" s="1"/>
  <c r="D47" i="37"/>
  <c r="D51" i="37" s="1"/>
  <c r="D47" i="33"/>
  <c r="D51" i="33" s="1"/>
  <c r="E47" i="17"/>
  <c r="E51" i="17" s="1"/>
  <c r="D47" i="34"/>
  <c r="D51" i="34" s="1"/>
  <c r="D47" i="35"/>
  <c r="D51" i="35" s="1"/>
  <c r="D47" i="27"/>
  <c r="D51" i="27" s="1"/>
  <c r="D47" i="36"/>
  <c r="D51" i="36" s="1"/>
  <c r="D47" i="32"/>
  <c r="D51" i="32" s="1"/>
  <c r="D47" i="13"/>
  <c r="D51" i="13" s="1"/>
  <c r="D47" i="9"/>
  <c r="D51" i="9" s="1"/>
  <c r="D51" i="38"/>
  <c r="F143" i="3"/>
  <c r="F141" i="3"/>
  <c r="E87" i="24"/>
  <c r="E87" i="23"/>
  <c r="E87" i="22"/>
  <c r="E87" i="21"/>
  <c r="E87" i="20"/>
  <c r="E87" i="19"/>
  <c r="E87" i="18"/>
  <c r="E87" i="17"/>
  <c r="E87" i="16"/>
  <c r="E87" i="15"/>
  <c r="E87" i="14"/>
  <c r="E87" i="13"/>
  <c r="E87" i="12"/>
  <c r="E87" i="11"/>
  <c r="E87" i="10"/>
  <c r="E87" i="9"/>
  <c r="E87" i="8"/>
  <c r="E89" i="24"/>
  <c r="E89" i="23"/>
  <c r="E89" i="22"/>
  <c r="E89" i="21"/>
  <c r="E89" i="20"/>
  <c r="E89" i="19"/>
  <c r="E89" i="18"/>
  <c r="E89" i="17"/>
  <c r="E89" i="16"/>
  <c r="E89" i="15"/>
  <c r="E89" i="14"/>
  <c r="E89" i="13"/>
  <c r="E89" i="12"/>
  <c r="E89" i="11"/>
  <c r="E89" i="10"/>
  <c r="E89" i="9"/>
  <c r="E89" i="8"/>
  <c r="E88" i="38"/>
  <c r="E90" i="38" s="1"/>
  <c r="E110" i="38" s="1"/>
  <c r="D88" i="38"/>
  <c r="E49" i="38"/>
  <c r="E38" i="38"/>
  <c r="E36" i="38"/>
  <c r="E35" i="38"/>
  <c r="E34" i="38"/>
  <c r="E33" i="38"/>
  <c r="E32" i="38"/>
  <c r="E30" i="38"/>
  <c r="E31" i="38"/>
  <c r="D90" i="38"/>
  <c r="D65" i="38"/>
  <c r="D68" i="38" s="1"/>
  <c r="D72" i="38" s="1"/>
  <c r="D27" i="38"/>
  <c r="D65" i="37"/>
  <c r="D68" i="37" s="1"/>
  <c r="D72" i="37" s="1"/>
  <c r="D27" i="37"/>
  <c r="D65" i="36"/>
  <c r="D68" i="36" s="1"/>
  <c r="D72" i="36" s="1"/>
  <c r="D27" i="36"/>
  <c r="D65" i="35"/>
  <c r="D68" i="35" s="1"/>
  <c r="D72" i="35" s="1"/>
  <c r="D27" i="35"/>
  <c r="D65" i="34"/>
  <c r="D68" i="34" s="1"/>
  <c r="D72" i="34" s="1"/>
  <c r="D27" i="34"/>
  <c r="D65" i="33"/>
  <c r="D68" i="33" s="1"/>
  <c r="D72" i="33" s="1"/>
  <c r="D27" i="33"/>
  <c r="D65" i="32"/>
  <c r="D68" i="32" s="1"/>
  <c r="D72" i="32" s="1"/>
  <c r="D27" i="32"/>
  <c r="C20" i="31"/>
  <c r="C41" i="31"/>
  <c r="C47" i="31" s="1"/>
  <c r="C51" i="31" s="1"/>
  <c r="D20" i="31"/>
  <c r="D41" i="31"/>
  <c r="D43" i="31"/>
  <c r="C20" i="30"/>
  <c r="C41" i="30"/>
  <c r="C47" i="30" s="1"/>
  <c r="C51" i="30" s="1"/>
  <c r="D20" i="30"/>
  <c r="D41" i="30"/>
  <c r="D43" i="30"/>
  <c r="C20" i="29"/>
  <c r="C41" i="29"/>
  <c r="C47" i="29" s="1"/>
  <c r="C51" i="29" s="1"/>
  <c r="D20" i="29"/>
  <c r="D41" i="29"/>
  <c r="D43" i="29"/>
  <c r="C20" i="28"/>
  <c r="C41" i="28"/>
  <c r="C47" i="28" s="1"/>
  <c r="C51" i="28" s="1"/>
  <c r="D20" i="28"/>
  <c r="D41" i="28"/>
  <c r="D43" i="28"/>
  <c r="D65" i="27"/>
  <c r="D68" i="27" s="1"/>
  <c r="D72" i="27" s="1"/>
  <c r="D27" i="27"/>
  <c r="C20" i="26"/>
  <c r="C41" i="26"/>
  <c r="C47" i="26" s="1"/>
  <c r="C51" i="26" s="1"/>
  <c r="D20" i="26"/>
  <c r="D41" i="26"/>
  <c r="D47" i="26" s="1"/>
  <c r="D51" i="26" s="1"/>
  <c r="E20" i="26"/>
  <c r="E41" i="26"/>
  <c r="E47" i="26" s="1"/>
  <c r="E51" i="26" s="1"/>
  <c r="D65" i="24"/>
  <c r="D68" i="24" s="1"/>
  <c r="D72" i="24" s="1"/>
  <c r="D27" i="24"/>
  <c r="D65" i="23"/>
  <c r="D68" i="23" s="1"/>
  <c r="D72" i="23" s="1"/>
  <c r="D27" i="23"/>
  <c r="D65" i="22"/>
  <c r="D68" i="22" s="1"/>
  <c r="D72" i="22" s="1"/>
  <c r="D27" i="22"/>
  <c r="D65" i="21"/>
  <c r="D68" i="21" s="1"/>
  <c r="D72" i="21" s="1"/>
  <c r="D27" i="21"/>
  <c r="D65" i="20"/>
  <c r="D68" i="20" s="1"/>
  <c r="D72" i="20" s="1"/>
  <c r="D27" i="20"/>
  <c r="D65" i="19"/>
  <c r="D68" i="19" s="1"/>
  <c r="D72" i="19" s="1"/>
  <c r="D27" i="19"/>
  <c r="D65" i="18"/>
  <c r="D68" i="18" s="1"/>
  <c r="D72" i="18" s="1"/>
  <c r="D27" i="18"/>
  <c r="C20" i="17"/>
  <c r="C41" i="17"/>
  <c r="C47" i="17" s="1"/>
  <c r="C51" i="17" s="1"/>
  <c r="D20" i="17"/>
  <c r="D41" i="17"/>
  <c r="D43" i="17"/>
  <c r="C20" i="16"/>
  <c r="C41" i="16"/>
  <c r="C47" i="16" s="1"/>
  <c r="C51" i="16" s="1"/>
  <c r="D20" i="16"/>
  <c r="D41" i="16"/>
  <c r="D43" i="16"/>
  <c r="C20" i="15"/>
  <c r="C41" i="15"/>
  <c r="C47" i="15" s="1"/>
  <c r="C51" i="15" s="1"/>
  <c r="D20" i="15"/>
  <c r="D41" i="15"/>
  <c r="D43" i="15"/>
  <c r="C20" i="14"/>
  <c r="C41" i="14"/>
  <c r="C47" i="14" s="1"/>
  <c r="C51" i="14" s="1"/>
  <c r="D20" i="14"/>
  <c r="D41" i="14"/>
  <c r="D43" i="14"/>
  <c r="D65" i="13"/>
  <c r="D68" i="13" s="1"/>
  <c r="D72" i="13" s="1"/>
  <c r="D27" i="13"/>
  <c r="D65" i="12"/>
  <c r="D68" i="12" s="1"/>
  <c r="D72" i="12" s="1"/>
  <c r="D27" i="12"/>
  <c r="C20" i="11"/>
  <c r="C41" i="11"/>
  <c r="C47" i="11" s="1"/>
  <c r="C51" i="11" s="1"/>
  <c r="D20" i="11"/>
  <c r="D41" i="11"/>
  <c r="D47" i="11" s="1"/>
  <c r="D51" i="11" s="1"/>
  <c r="C20" i="10"/>
  <c r="C41" i="10"/>
  <c r="C47" i="10" s="1"/>
  <c r="C51" i="10" s="1"/>
  <c r="D20" i="10"/>
  <c r="D41" i="10"/>
  <c r="D43" i="10"/>
  <c r="D65" i="9"/>
  <c r="D68" i="9" s="1"/>
  <c r="D72" i="9" s="1"/>
  <c r="D27" i="9"/>
  <c r="C20" i="8"/>
  <c r="C41" i="8"/>
  <c r="C47" i="8" s="1"/>
  <c r="C51" i="8" s="1"/>
  <c r="D20" i="8"/>
  <c r="D41" i="8"/>
  <c r="D43" i="8"/>
  <c r="E20" i="8"/>
  <c r="E41" i="8"/>
  <c r="E47" i="8" s="1"/>
  <c r="E51" i="8" s="1"/>
  <c r="D20" i="7"/>
  <c r="D41" i="7"/>
  <c r="D46" i="7" s="1"/>
  <c r="D50" i="7" s="1"/>
  <c r="E20" i="7"/>
  <c r="E41" i="7"/>
  <c r="E46" i="7" s="1"/>
  <c r="E50" i="7" s="1"/>
  <c r="C20" i="37"/>
  <c r="C41" i="37"/>
  <c r="C47" i="37" s="1"/>
  <c r="C51" i="37" s="1"/>
  <c r="E20" i="37"/>
  <c r="E41" i="37"/>
  <c r="E47" i="37" s="1"/>
  <c r="E51" i="37" s="1"/>
  <c r="C20" i="36"/>
  <c r="C41" i="36"/>
  <c r="C47" i="36" s="1"/>
  <c r="C51" i="36" s="1"/>
  <c r="E20" i="36"/>
  <c r="E41" i="36"/>
  <c r="E47" i="36" s="1"/>
  <c r="E51" i="36" s="1"/>
  <c r="C20" i="35"/>
  <c r="C41" i="35"/>
  <c r="C47" i="35" s="1"/>
  <c r="C51" i="35" s="1"/>
  <c r="E20" i="35"/>
  <c r="E41" i="35"/>
  <c r="E47" i="35" s="1"/>
  <c r="E51" i="35" s="1"/>
  <c r="C20" i="34"/>
  <c r="C41" i="34"/>
  <c r="C47" i="34" s="1"/>
  <c r="C51" i="34" s="1"/>
  <c r="E20" i="34"/>
  <c r="E41" i="34"/>
  <c r="E47" i="34" s="1"/>
  <c r="E51" i="34" s="1"/>
  <c r="C20" i="33"/>
  <c r="C41" i="33"/>
  <c r="C47" i="33" s="1"/>
  <c r="C51" i="33" s="1"/>
  <c r="E20" i="33"/>
  <c r="E41" i="33"/>
  <c r="E47" i="33" s="1"/>
  <c r="E51" i="33" s="1"/>
  <c r="C20" i="32"/>
  <c r="C41" i="32"/>
  <c r="C47" i="32" s="1"/>
  <c r="C51" i="32" s="1"/>
  <c r="E20" i="32"/>
  <c r="E41" i="32"/>
  <c r="E47" i="32" s="1"/>
  <c r="E51" i="32" s="1"/>
  <c r="E65" i="31"/>
  <c r="E68" i="31" s="1"/>
  <c r="E72" i="31" s="1"/>
  <c r="E27" i="31"/>
  <c r="E65" i="30"/>
  <c r="E68" i="30" s="1"/>
  <c r="E72" i="30" s="1"/>
  <c r="E27" i="30"/>
  <c r="E65" i="29"/>
  <c r="E68" i="29" s="1"/>
  <c r="E72" i="29" s="1"/>
  <c r="E27" i="29"/>
  <c r="E65" i="28"/>
  <c r="E68" i="28" s="1"/>
  <c r="E72" i="28" s="1"/>
  <c r="E27" i="28"/>
  <c r="C20" i="27"/>
  <c r="C41" i="27"/>
  <c r="C47" i="27" s="1"/>
  <c r="C51" i="27" s="1"/>
  <c r="E20" i="27"/>
  <c r="E41" i="27"/>
  <c r="E47" i="27" s="1"/>
  <c r="E51" i="27" s="1"/>
  <c r="C20" i="24"/>
  <c r="C41" i="24"/>
  <c r="C47" i="24" s="1"/>
  <c r="C51" i="24" s="1"/>
  <c r="E20" i="24"/>
  <c r="E41" i="24"/>
  <c r="E47" i="24" s="1"/>
  <c r="E51" i="24" s="1"/>
  <c r="C20" i="23"/>
  <c r="C41" i="23"/>
  <c r="C47" i="23" s="1"/>
  <c r="C51" i="23" s="1"/>
  <c r="E20" i="23"/>
  <c r="E41" i="23"/>
  <c r="E47" i="23" s="1"/>
  <c r="E51" i="23" s="1"/>
  <c r="C107" i="22"/>
  <c r="C26" i="22"/>
  <c r="C67" i="22" s="1"/>
  <c r="C24" i="22"/>
  <c r="E107" i="22"/>
  <c r="E26" i="22"/>
  <c r="E67" i="22" s="1"/>
  <c r="E24" i="22"/>
  <c r="C107" i="21"/>
  <c r="C26" i="21"/>
  <c r="C67" i="21" s="1"/>
  <c r="C24" i="21"/>
  <c r="E107" i="21"/>
  <c r="E26" i="21"/>
  <c r="E67" i="21" s="1"/>
  <c r="E24" i="21"/>
  <c r="C107" i="20"/>
  <c r="C26" i="20"/>
  <c r="C67" i="20" s="1"/>
  <c r="C24" i="20"/>
  <c r="E107" i="20"/>
  <c r="E26" i="20"/>
  <c r="E67" i="20" s="1"/>
  <c r="E24" i="20"/>
  <c r="C20" i="19"/>
  <c r="C41" i="19"/>
  <c r="C47" i="19" s="1"/>
  <c r="C51" i="19" s="1"/>
  <c r="E20" i="19"/>
  <c r="E41" i="19"/>
  <c r="E47" i="19" s="1"/>
  <c r="E51" i="19" s="1"/>
  <c r="C107" i="18"/>
  <c r="C26" i="18"/>
  <c r="C67" i="18" s="1"/>
  <c r="C24" i="18"/>
  <c r="E107" i="18"/>
  <c r="E26" i="18"/>
  <c r="E67" i="18" s="1"/>
  <c r="E24" i="18"/>
  <c r="E65" i="17"/>
  <c r="E68" i="17" s="1"/>
  <c r="E72" i="17" s="1"/>
  <c r="E27" i="17"/>
  <c r="E65" i="16"/>
  <c r="E68" i="16" s="1"/>
  <c r="E72" i="16" s="1"/>
  <c r="E27" i="16"/>
  <c r="E65" i="15"/>
  <c r="E68" i="15" s="1"/>
  <c r="E72" i="15" s="1"/>
  <c r="E27" i="15"/>
  <c r="E65" i="14"/>
  <c r="E68" i="14" s="1"/>
  <c r="E72" i="14" s="1"/>
  <c r="E27" i="14"/>
  <c r="C20" i="13"/>
  <c r="C41" i="13"/>
  <c r="C47" i="13" s="1"/>
  <c r="C51" i="13" s="1"/>
  <c r="E20" i="13"/>
  <c r="E41" i="13"/>
  <c r="E47" i="13" s="1"/>
  <c r="E51" i="13" s="1"/>
  <c r="C20" i="12"/>
  <c r="C41" i="12"/>
  <c r="C47" i="12" s="1"/>
  <c r="C51" i="12" s="1"/>
  <c r="E20" i="12"/>
  <c r="E41" i="12"/>
  <c r="E47" i="12" s="1"/>
  <c r="E51" i="12" s="1"/>
  <c r="E65" i="11"/>
  <c r="E68" i="11" s="1"/>
  <c r="E72" i="11" s="1"/>
  <c r="E27" i="11"/>
  <c r="E65" i="10"/>
  <c r="E68" i="10" s="1"/>
  <c r="E72" i="10" s="1"/>
  <c r="E27" i="10"/>
  <c r="C20" i="9"/>
  <c r="C41" i="9"/>
  <c r="C47" i="9" s="1"/>
  <c r="C51" i="9" s="1"/>
  <c r="E20" i="9"/>
  <c r="E41" i="9"/>
  <c r="E47" i="9" s="1"/>
  <c r="E51" i="9" s="1"/>
  <c r="C87" i="37"/>
  <c r="C87" i="36"/>
  <c r="C87" i="35"/>
  <c r="C87" i="34"/>
  <c r="C87" i="33"/>
  <c r="C87" i="32"/>
  <c r="C87" i="31"/>
  <c r="C87" i="30"/>
  <c r="C87" i="29"/>
  <c r="C87" i="28"/>
  <c r="C87" i="27"/>
  <c r="C87" i="26"/>
  <c r="C87" i="24"/>
  <c r="C87" i="23"/>
  <c r="C87" i="22"/>
  <c r="C87" i="21"/>
  <c r="C87" i="20"/>
  <c r="C87" i="19"/>
  <c r="C87" i="18"/>
  <c r="C87" i="17"/>
  <c r="C87" i="16"/>
  <c r="C87" i="15"/>
  <c r="C87" i="14"/>
  <c r="C87" i="13"/>
  <c r="C87" i="12"/>
  <c r="C87" i="11"/>
  <c r="C87" i="10"/>
  <c r="C87" i="9"/>
  <c r="C87" i="8"/>
  <c r="B88" i="37"/>
  <c r="C88" i="37" s="1"/>
  <c r="B88" i="36"/>
  <c r="C88" i="36" s="1"/>
  <c r="B88" i="35"/>
  <c r="C88" i="35" s="1"/>
  <c r="B88" i="34"/>
  <c r="C88" i="34" s="1"/>
  <c r="B88" i="33"/>
  <c r="C88" i="33" s="1"/>
  <c r="B88" i="32"/>
  <c r="C88" i="32" s="1"/>
  <c r="B88" i="31"/>
  <c r="C88" i="31" s="1"/>
  <c r="B88" i="30"/>
  <c r="C88" i="30" s="1"/>
  <c r="B88" i="29"/>
  <c r="C88" i="29" s="1"/>
  <c r="B88" i="28"/>
  <c r="C88" i="28" s="1"/>
  <c r="B88" i="27"/>
  <c r="C88" i="27" s="1"/>
  <c r="B88" i="26"/>
  <c r="C88" i="26" s="1"/>
  <c r="B88" i="24"/>
  <c r="C88" i="24" s="1"/>
  <c r="B88" i="23"/>
  <c r="C88" i="23" s="1"/>
  <c r="B88" i="22"/>
  <c r="C88" i="22" s="1"/>
  <c r="B88" i="21"/>
  <c r="C88" i="21" s="1"/>
  <c r="B88" i="20"/>
  <c r="C88" i="20" s="1"/>
  <c r="B88" i="19"/>
  <c r="C88" i="19" s="1"/>
  <c r="B88" i="18"/>
  <c r="C88" i="18" s="1"/>
  <c r="B88" i="17"/>
  <c r="C88" i="17" s="1"/>
  <c r="B88" i="16"/>
  <c r="C88" i="16" s="1"/>
  <c r="B88" i="15"/>
  <c r="C88" i="15" s="1"/>
  <c r="B88" i="14"/>
  <c r="C88" i="14" s="1"/>
  <c r="B88" i="13"/>
  <c r="C88" i="13" s="1"/>
  <c r="B88" i="12"/>
  <c r="C88" i="12" s="1"/>
  <c r="B88" i="11"/>
  <c r="C88" i="11" s="1"/>
  <c r="B88" i="10"/>
  <c r="C88" i="10" s="1"/>
  <c r="B88" i="9"/>
  <c r="C88" i="9" s="1"/>
  <c r="B88" i="8"/>
  <c r="C88" i="8" s="1"/>
  <c r="B86" i="37"/>
  <c r="B86" i="36"/>
  <c r="B86" i="35"/>
  <c r="B86" i="34"/>
  <c r="B86" i="33"/>
  <c r="B86" i="32"/>
  <c r="B86" i="31"/>
  <c r="B86" i="30"/>
  <c r="B86" i="29"/>
  <c r="B86" i="28"/>
  <c r="B86" i="27"/>
  <c r="B86" i="26"/>
  <c r="B86" i="24"/>
  <c r="B86" i="23"/>
  <c r="B86" i="22"/>
  <c r="B86" i="21"/>
  <c r="B86" i="20"/>
  <c r="B86" i="19"/>
  <c r="B86" i="18"/>
  <c r="B86" i="17"/>
  <c r="B86" i="16"/>
  <c r="B86" i="15"/>
  <c r="B86" i="14"/>
  <c r="B86" i="13"/>
  <c r="B86" i="12"/>
  <c r="B86" i="11"/>
  <c r="B86" i="10"/>
  <c r="B86" i="9"/>
  <c r="B86" i="8"/>
  <c r="L23" i="6"/>
  <c r="M23" i="6" s="1"/>
  <c r="L24" i="6"/>
  <c r="M24" i="6" s="1"/>
  <c r="D142" i="37"/>
  <c r="E140" i="37"/>
  <c r="D142" i="36"/>
  <c r="E140" i="36"/>
  <c r="D142" i="35"/>
  <c r="E140" i="35"/>
  <c r="D142" i="34"/>
  <c r="E140" i="34"/>
  <c r="D142" i="33"/>
  <c r="E140" i="33"/>
  <c r="D142" i="32"/>
  <c r="E140" i="32"/>
  <c r="D142" i="31"/>
  <c r="E140" i="31"/>
  <c r="D142" i="30"/>
  <c r="E140" i="30"/>
  <c r="D142" i="29"/>
  <c r="E140" i="29"/>
  <c r="D142" i="28"/>
  <c r="E140" i="28"/>
  <c r="D142" i="27"/>
  <c r="E140" i="27"/>
  <c r="D142" i="26"/>
  <c r="E140" i="26"/>
  <c r="D33" i="38" l="1"/>
  <c r="D31" i="38"/>
  <c r="D36" i="38"/>
  <c r="D34" i="38"/>
  <c r="D32" i="38"/>
  <c r="D30" i="38"/>
  <c r="D38" i="38"/>
  <c r="D35" i="38"/>
  <c r="C89" i="24"/>
  <c r="C89" i="23"/>
  <c r="C89" i="22"/>
  <c r="C89" i="21"/>
  <c r="C89" i="20"/>
  <c r="C89" i="19"/>
  <c r="C89" i="18"/>
  <c r="C89" i="17"/>
  <c r="C89" i="16"/>
  <c r="C89" i="15"/>
  <c r="C89" i="14"/>
  <c r="C89" i="13"/>
  <c r="C89" i="12"/>
  <c r="C89" i="11"/>
  <c r="C89" i="10"/>
  <c r="C89" i="9"/>
  <c r="C89" i="8"/>
  <c r="D110" i="38"/>
  <c r="E62" i="38"/>
  <c r="E58" i="38"/>
  <c r="E57" i="38"/>
  <c r="D49" i="38"/>
  <c r="E86" i="8"/>
  <c r="E91" i="8" s="1"/>
  <c r="E111" i="8" s="1"/>
  <c r="D86" i="8"/>
  <c r="C86" i="8"/>
  <c r="C91" i="8" s="1"/>
  <c r="C111" i="8" s="1"/>
  <c r="E86" i="9"/>
  <c r="E91" i="9" s="1"/>
  <c r="E111" i="9" s="1"/>
  <c r="D86" i="9"/>
  <c r="C86" i="9"/>
  <c r="C91" i="9" s="1"/>
  <c r="C111" i="9" s="1"/>
  <c r="E86" i="10"/>
  <c r="E91" i="10" s="1"/>
  <c r="E111" i="10" s="1"/>
  <c r="D86" i="10"/>
  <c r="C86" i="10"/>
  <c r="C91" i="10" s="1"/>
  <c r="C111" i="10" s="1"/>
  <c r="E86" i="11"/>
  <c r="E91" i="11" s="1"/>
  <c r="E111" i="11" s="1"/>
  <c r="D86" i="11"/>
  <c r="C86" i="11"/>
  <c r="C91" i="11" s="1"/>
  <c r="C111" i="11" s="1"/>
  <c r="E86" i="12"/>
  <c r="E91" i="12" s="1"/>
  <c r="E111" i="12" s="1"/>
  <c r="D86" i="12"/>
  <c r="C86" i="12"/>
  <c r="C91" i="12" s="1"/>
  <c r="C111" i="12" s="1"/>
  <c r="E86" i="13"/>
  <c r="E91" i="13" s="1"/>
  <c r="E111" i="13" s="1"/>
  <c r="D86" i="13"/>
  <c r="C86" i="13"/>
  <c r="C91" i="13" s="1"/>
  <c r="C111" i="13" s="1"/>
  <c r="E86" i="14"/>
  <c r="E91" i="14" s="1"/>
  <c r="E111" i="14" s="1"/>
  <c r="C86" i="14"/>
  <c r="E86" i="15"/>
  <c r="E91" i="15" s="1"/>
  <c r="E111" i="15" s="1"/>
  <c r="D86" i="15"/>
  <c r="C86" i="15"/>
  <c r="E86" i="16"/>
  <c r="E91" i="16" s="1"/>
  <c r="E111" i="16" s="1"/>
  <c r="D86" i="16"/>
  <c r="C86" i="16"/>
  <c r="E86" i="17"/>
  <c r="E91" i="17" s="1"/>
  <c r="E111" i="17" s="1"/>
  <c r="D86" i="17"/>
  <c r="C86" i="17"/>
  <c r="E86" i="18"/>
  <c r="E91" i="18" s="1"/>
  <c r="E111" i="18" s="1"/>
  <c r="D86" i="18"/>
  <c r="C86" i="18"/>
  <c r="E86" i="19"/>
  <c r="E91" i="19" s="1"/>
  <c r="E111" i="19" s="1"/>
  <c r="D86" i="19"/>
  <c r="C86" i="19"/>
  <c r="E86" i="20"/>
  <c r="E91" i="20" s="1"/>
  <c r="E111" i="20" s="1"/>
  <c r="D86" i="20"/>
  <c r="C86" i="20"/>
  <c r="E86" i="21"/>
  <c r="E91" i="21" s="1"/>
  <c r="E111" i="21" s="1"/>
  <c r="D86" i="21"/>
  <c r="C86" i="21"/>
  <c r="E86" i="22"/>
  <c r="E91" i="22" s="1"/>
  <c r="E111" i="22" s="1"/>
  <c r="D86" i="22"/>
  <c r="C86" i="22"/>
  <c r="E86" i="23"/>
  <c r="E91" i="23" s="1"/>
  <c r="E111" i="23" s="1"/>
  <c r="D86" i="23"/>
  <c r="C86" i="23"/>
  <c r="E86" i="24"/>
  <c r="E91" i="24" s="1"/>
  <c r="E111" i="24" s="1"/>
  <c r="D86" i="24"/>
  <c r="C86" i="24"/>
  <c r="E86" i="26"/>
  <c r="E91" i="26" s="1"/>
  <c r="E111" i="26" s="1"/>
  <c r="D86" i="26"/>
  <c r="C86" i="26"/>
  <c r="C91" i="26" s="1"/>
  <c r="C111" i="26" s="1"/>
  <c r="E86" i="27"/>
  <c r="E91" i="27" s="1"/>
  <c r="E111" i="27" s="1"/>
  <c r="D86" i="27"/>
  <c r="C86" i="27"/>
  <c r="C91" i="27" s="1"/>
  <c r="C111" i="27" s="1"/>
  <c r="E86" i="28"/>
  <c r="E91" i="28" s="1"/>
  <c r="E111" i="28" s="1"/>
  <c r="D86" i="28"/>
  <c r="C86" i="28"/>
  <c r="C91" i="28" s="1"/>
  <c r="C111" i="28" s="1"/>
  <c r="E86" i="29"/>
  <c r="E91" i="29" s="1"/>
  <c r="E111" i="29" s="1"/>
  <c r="D86" i="29"/>
  <c r="C86" i="29"/>
  <c r="C91" i="29" s="1"/>
  <c r="C111" i="29" s="1"/>
  <c r="E86" i="30"/>
  <c r="E91" i="30" s="1"/>
  <c r="E111" i="30" s="1"/>
  <c r="D86" i="30"/>
  <c r="C86" i="30"/>
  <c r="C91" i="30" s="1"/>
  <c r="C111" i="30" s="1"/>
  <c r="E86" i="31"/>
  <c r="E91" i="31" s="1"/>
  <c r="E111" i="31" s="1"/>
  <c r="D86" i="31"/>
  <c r="C86" i="31"/>
  <c r="C91" i="31" s="1"/>
  <c r="C111" i="31" s="1"/>
  <c r="E86" i="32"/>
  <c r="E91" i="32" s="1"/>
  <c r="E111" i="32" s="1"/>
  <c r="D86" i="32"/>
  <c r="C86" i="32"/>
  <c r="C91" i="32" s="1"/>
  <c r="C111" i="32" s="1"/>
  <c r="E86" i="33"/>
  <c r="E91" i="33" s="1"/>
  <c r="E111" i="33" s="1"/>
  <c r="D86" i="33"/>
  <c r="C86" i="33"/>
  <c r="C91" i="33" s="1"/>
  <c r="C111" i="33" s="1"/>
  <c r="E86" i="34"/>
  <c r="E91" i="34" s="1"/>
  <c r="E111" i="34" s="1"/>
  <c r="D86" i="34"/>
  <c r="C86" i="34"/>
  <c r="C91" i="34" s="1"/>
  <c r="C111" i="34" s="1"/>
  <c r="E86" i="35"/>
  <c r="E91" i="35" s="1"/>
  <c r="E111" i="35" s="1"/>
  <c r="D86" i="35"/>
  <c r="C86" i="35"/>
  <c r="C91" i="35" s="1"/>
  <c r="C111" i="35" s="1"/>
  <c r="E86" i="36"/>
  <c r="E91" i="36" s="1"/>
  <c r="E111" i="36" s="1"/>
  <c r="D86" i="36"/>
  <c r="C86" i="36"/>
  <c r="C91" i="36" s="1"/>
  <c r="C111" i="36" s="1"/>
  <c r="E86" i="37"/>
  <c r="E91" i="37" s="1"/>
  <c r="E111" i="37" s="1"/>
  <c r="D86" i="37"/>
  <c r="C86" i="37"/>
  <c r="C91" i="37" s="1"/>
  <c r="C111" i="37" s="1"/>
  <c r="E107" i="9"/>
  <c r="E26" i="9"/>
  <c r="E67" i="9" s="1"/>
  <c r="E24" i="9"/>
  <c r="C107" i="9"/>
  <c r="C26" i="9"/>
  <c r="C67" i="9" s="1"/>
  <c r="C24" i="9"/>
  <c r="E49" i="10"/>
  <c r="E38" i="10"/>
  <c r="E36" i="10"/>
  <c r="E35" i="10"/>
  <c r="E34" i="10"/>
  <c r="E33" i="10"/>
  <c r="E32" i="10"/>
  <c r="E31" i="10"/>
  <c r="E30" i="10"/>
  <c r="E49" i="11"/>
  <c r="E38" i="11"/>
  <c r="E36" i="11"/>
  <c r="E35" i="11"/>
  <c r="E34" i="11"/>
  <c r="E33" i="11"/>
  <c r="E32" i="11"/>
  <c r="E31" i="11"/>
  <c r="E30" i="11"/>
  <c r="E107" i="12"/>
  <c r="E26" i="12"/>
  <c r="E67" i="12" s="1"/>
  <c r="E24" i="12"/>
  <c r="C107" i="12"/>
  <c r="C26" i="12"/>
  <c r="C67" i="12" s="1"/>
  <c r="C24" i="12"/>
  <c r="E107" i="13"/>
  <c r="E26" i="13"/>
  <c r="E67" i="13" s="1"/>
  <c r="E24" i="13"/>
  <c r="C107" i="13"/>
  <c r="C26" i="13"/>
  <c r="C67" i="13" s="1"/>
  <c r="C24" i="13"/>
  <c r="E49" i="14"/>
  <c r="E38" i="14"/>
  <c r="E36" i="14"/>
  <c r="E35" i="14"/>
  <c r="E34" i="14"/>
  <c r="E33" i="14"/>
  <c r="E32" i="14"/>
  <c r="E31" i="14"/>
  <c r="E30" i="14"/>
  <c r="E49" i="15"/>
  <c r="E38" i="15"/>
  <c r="E36" i="15"/>
  <c r="E35" i="15"/>
  <c r="E34" i="15"/>
  <c r="E33" i="15"/>
  <c r="E32" i="15"/>
  <c r="E31" i="15"/>
  <c r="E30" i="15"/>
  <c r="E49" i="16"/>
  <c r="E38" i="16"/>
  <c r="E36" i="16"/>
  <c r="E35" i="16"/>
  <c r="E34" i="16"/>
  <c r="E33" i="16"/>
  <c r="E32" i="16"/>
  <c r="E31" i="16"/>
  <c r="E30" i="16"/>
  <c r="E49" i="17"/>
  <c r="E38" i="17"/>
  <c r="E36" i="17"/>
  <c r="E35" i="17"/>
  <c r="E34" i="17"/>
  <c r="E33" i="17"/>
  <c r="E32" i="17"/>
  <c r="E31" i="17"/>
  <c r="E30" i="17"/>
  <c r="E65" i="18"/>
  <c r="E68" i="18" s="1"/>
  <c r="E72" i="18" s="1"/>
  <c r="E27" i="18"/>
  <c r="C65" i="18"/>
  <c r="C68" i="18" s="1"/>
  <c r="C72" i="18" s="1"/>
  <c r="C27" i="18"/>
  <c r="E107" i="19"/>
  <c r="E26" i="19"/>
  <c r="E67" i="19" s="1"/>
  <c r="E24" i="19"/>
  <c r="C107" i="19"/>
  <c r="C26" i="19"/>
  <c r="C67" i="19" s="1"/>
  <c r="C24" i="19"/>
  <c r="E65" i="20"/>
  <c r="E68" i="20" s="1"/>
  <c r="E72" i="20" s="1"/>
  <c r="E27" i="20"/>
  <c r="C65" i="20"/>
  <c r="C68" i="20" s="1"/>
  <c r="C72" i="20" s="1"/>
  <c r="C27" i="20"/>
  <c r="E65" i="21"/>
  <c r="E68" i="21" s="1"/>
  <c r="E72" i="21" s="1"/>
  <c r="E27" i="21"/>
  <c r="C65" i="21"/>
  <c r="C68" i="21" s="1"/>
  <c r="C72" i="21" s="1"/>
  <c r="C27" i="21"/>
  <c r="E65" i="22"/>
  <c r="E68" i="22" s="1"/>
  <c r="E72" i="22" s="1"/>
  <c r="E27" i="22"/>
  <c r="C65" i="22"/>
  <c r="C68" i="22" s="1"/>
  <c r="C72" i="22" s="1"/>
  <c r="C27" i="22"/>
  <c r="E107" i="23"/>
  <c r="E26" i="23"/>
  <c r="E67" i="23" s="1"/>
  <c r="E24" i="23"/>
  <c r="C107" i="23"/>
  <c r="C26" i="23"/>
  <c r="C67" i="23" s="1"/>
  <c r="C24" i="23"/>
  <c r="E107" i="24"/>
  <c r="E26" i="24"/>
  <c r="E67" i="24" s="1"/>
  <c r="E24" i="24"/>
  <c r="C107" i="24"/>
  <c r="C26" i="24"/>
  <c r="C67" i="24" s="1"/>
  <c r="C24" i="24"/>
  <c r="E107" i="27"/>
  <c r="E26" i="27"/>
  <c r="E67" i="27" s="1"/>
  <c r="E24" i="27"/>
  <c r="C107" i="27"/>
  <c r="C26" i="27"/>
  <c r="C67" i="27" s="1"/>
  <c r="C24" i="27"/>
  <c r="E49" i="28"/>
  <c r="E38" i="28"/>
  <c r="E36" i="28"/>
  <c r="E35" i="28"/>
  <c r="E34" i="28"/>
  <c r="E33" i="28"/>
  <c r="E32" i="28"/>
  <c r="E31" i="28"/>
  <c r="E30" i="28"/>
  <c r="E49" i="29"/>
  <c r="E38" i="29"/>
  <c r="E36" i="29"/>
  <c r="E35" i="29"/>
  <c r="E34" i="29"/>
  <c r="E33" i="29"/>
  <c r="E32" i="29"/>
  <c r="E31" i="29"/>
  <c r="E30" i="29"/>
  <c r="E49" i="30"/>
  <c r="E38" i="30"/>
  <c r="E36" i="30"/>
  <c r="E35" i="30"/>
  <c r="E34" i="30"/>
  <c r="E33" i="30"/>
  <c r="E32" i="30"/>
  <c r="E31" i="30"/>
  <c r="E30" i="30"/>
  <c r="E49" i="31"/>
  <c r="E38" i="31"/>
  <c r="E36" i="31"/>
  <c r="E35" i="31"/>
  <c r="E34" i="31"/>
  <c r="E33" i="31"/>
  <c r="E32" i="31"/>
  <c r="E31" i="31"/>
  <c r="E30" i="31"/>
  <c r="E107" i="32"/>
  <c r="E26" i="32"/>
  <c r="E67" i="32" s="1"/>
  <c r="E24" i="32"/>
  <c r="C107" i="32"/>
  <c r="C26" i="32"/>
  <c r="C67" i="32" s="1"/>
  <c r="C24" i="32"/>
  <c r="E107" i="33"/>
  <c r="E26" i="33"/>
  <c r="E67" i="33" s="1"/>
  <c r="E24" i="33"/>
  <c r="C107" i="33"/>
  <c r="C26" i="33"/>
  <c r="C67" i="33" s="1"/>
  <c r="C24" i="33"/>
  <c r="E107" i="34"/>
  <c r="E26" i="34"/>
  <c r="E67" i="34" s="1"/>
  <c r="E24" i="34"/>
  <c r="C107" i="34"/>
  <c r="C26" i="34"/>
  <c r="C67" i="34" s="1"/>
  <c r="C24" i="34"/>
  <c r="E107" i="35"/>
  <c r="E26" i="35"/>
  <c r="E67" i="35" s="1"/>
  <c r="E24" i="35"/>
  <c r="C107" i="35"/>
  <c r="C26" i="35"/>
  <c r="C67" i="35" s="1"/>
  <c r="C24" i="35"/>
  <c r="E107" i="36"/>
  <c r="E26" i="36"/>
  <c r="E67" i="36" s="1"/>
  <c r="E24" i="36"/>
  <c r="C107" i="36"/>
  <c r="C26" i="36"/>
  <c r="C67" i="36" s="1"/>
  <c r="C24" i="36"/>
  <c r="E107" i="37"/>
  <c r="E26" i="37"/>
  <c r="E67" i="37" s="1"/>
  <c r="E24" i="37"/>
  <c r="C107" i="37"/>
  <c r="C26" i="37"/>
  <c r="C67" i="37" s="1"/>
  <c r="C24" i="37"/>
  <c r="E105" i="7"/>
  <c r="E26" i="7"/>
  <c r="E66" i="7" s="1"/>
  <c r="E24" i="7"/>
  <c r="D105" i="7"/>
  <c r="D26" i="7"/>
  <c r="D66" i="7" s="1"/>
  <c r="D24" i="7"/>
  <c r="E107" i="8"/>
  <c r="E26" i="8"/>
  <c r="E67" i="8" s="1"/>
  <c r="E24" i="8"/>
  <c r="D47" i="8"/>
  <c r="D51" i="8" s="1"/>
  <c r="D107" i="8"/>
  <c r="D26" i="8"/>
  <c r="D67" i="8" s="1"/>
  <c r="D24" i="8"/>
  <c r="C107" i="8"/>
  <c r="C26" i="8"/>
  <c r="C67" i="8" s="1"/>
  <c r="C24" i="8"/>
  <c r="D49" i="9"/>
  <c r="D38" i="9"/>
  <c r="D36" i="9"/>
  <c r="D35" i="9"/>
  <c r="D34" i="9"/>
  <c r="D33" i="9"/>
  <c r="D32" i="9"/>
  <c r="D31" i="9"/>
  <c r="D30" i="9"/>
  <c r="D47" i="10"/>
  <c r="D51" i="10" s="1"/>
  <c r="D107" i="10"/>
  <c r="D26" i="10"/>
  <c r="D67" i="10" s="1"/>
  <c r="D24" i="10"/>
  <c r="C107" i="10"/>
  <c r="C26" i="10"/>
  <c r="C67" i="10" s="1"/>
  <c r="C24" i="10"/>
  <c r="D107" i="11"/>
  <c r="D26" i="11"/>
  <c r="D67" i="11" s="1"/>
  <c r="D24" i="11"/>
  <c r="C107" i="11"/>
  <c r="C26" i="11"/>
  <c r="C67" i="11" s="1"/>
  <c r="C24" i="11"/>
  <c r="D49" i="12"/>
  <c r="D38" i="12"/>
  <c r="D36" i="12"/>
  <c r="D35" i="12"/>
  <c r="D34" i="12"/>
  <c r="D33" i="12"/>
  <c r="D32" i="12"/>
  <c r="D31" i="12"/>
  <c r="D30" i="12"/>
  <c r="D49" i="13"/>
  <c r="D38" i="13"/>
  <c r="D36" i="13"/>
  <c r="D35" i="13"/>
  <c r="D34" i="13"/>
  <c r="D33" i="13"/>
  <c r="D32" i="13"/>
  <c r="D31" i="13"/>
  <c r="D30" i="13"/>
  <c r="D47" i="14"/>
  <c r="D51" i="14" s="1"/>
  <c r="D107" i="14"/>
  <c r="D26" i="14"/>
  <c r="D67" i="14" s="1"/>
  <c r="D24" i="14"/>
  <c r="C107" i="14"/>
  <c r="C26" i="14"/>
  <c r="C67" i="14" s="1"/>
  <c r="C24" i="14"/>
  <c r="D47" i="15"/>
  <c r="D51" i="15" s="1"/>
  <c r="D107" i="15"/>
  <c r="D26" i="15"/>
  <c r="D67" i="15" s="1"/>
  <c r="D24" i="15"/>
  <c r="C107" i="15"/>
  <c r="C26" i="15"/>
  <c r="C67" i="15" s="1"/>
  <c r="C24" i="15"/>
  <c r="D47" i="16"/>
  <c r="D51" i="16" s="1"/>
  <c r="D107" i="16"/>
  <c r="D26" i="16"/>
  <c r="D67" i="16" s="1"/>
  <c r="D24" i="16"/>
  <c r="C107" i="16"/>
  <c r="C26" i="16"/>
  <c r="C67" i="16" s="1"/>
  <c r="C24" i="16"/>
  <c r="D47" i="17"/>
  <c r="D51" i="17" s="1"/>
  <c r="D107" i="17"/>
  <c r="D26" i="17"/>
  <c r="D67" i="17" s="1"/>
  <c r="D24" i="17"/>
  <c r="C107" i="17"/>
  <c r="C26" i="17"/>
  <c r="C67" i="17" s="1"/>
  <c r="C24" i="17"/>
  <c r="D49" i="18"/>
  <c r="D38" i="18"/>
  <c r="D36" i="18"/>
  <c r="D35" i="18"/>
  <c r="D34" i="18"/>
  <c r="D33" i="18"/>
  <c r="D32" i="18"/>
  <c r="D31" i="18"/>
  <c r="D30" i="18"/>
  <c r="D49" i="19"/>
  <c r="D38" i="19"/>
  <c r="D36" i="19"/>
  <c r="D35" i="19"/>
  <c r="D34" i="19"/>
  <c r="D33" i="19"/>
  <c r="D32" i="19"/>
  <c r="D31" i="19"/>
  <c r="D30" i="19"/>
  <c r="D49" i="20"/>
  <c r="D38" i="20"/>
  <c r="D36" i="20"/>
  <c r="D35" i="20"/>
  <c r="D34" i="20"/>
  <c r="D33" i="20"/>
  <c r="D32" i="20"/>
  <c r="D31" i="20"/>
  <c r="D30" i="20"/>
  <c r="D49" i="21"/>
  <c r="D38" i="21"/>
  <c r="D36" i="21"/>
  <c r="D35" i="21"/>
  <c r="D34" i="21"/>
  <c r="D33" i="21"/>
  <c r="D32" i="21"/>
  <c r="D31" i="21"/>
  <c r="D30" i="21"/>
  <c r="D49" i="22"/>
  <c r="D38" i="22"/>
  <c r="D36" i="22"/>
  <c r="D35" i="22"/>
  <c r="D34" i="22"/>
  <c r="D33" i="22"/>
  <c r="D32" i="22"/>
  <c r="D31" i="22"/>
  <c r="D30" i="22"/>
  <c r="D49" i="23"/>
  <c r="D38" i="23"/>
  <c r="D36" i="23"/>
  <c r="D35" i="23"/>
  <c r="D34" i="23"/>
  <c r="D33" i="23"/>
  <c r="D32" i="23"/>
  <c r="D31" i="23"/>
  <c r="D30" i="23"/>
  <c r="D49" i="24"/>
  <c r="D38" i="24"/>
  <c r="D36" i="24"/>
  <c r="D35" i="24"/>
  <c r="D34" i="24"/>
  <c r="D33" i="24"/>
  <c r="D32" i="24"/>
  <c r="D31" i="24"/>
  <c r="D30" i="24"/>
  <c r="E107" i="26"/>
  <c r="E26" i="26"/>
  <c r="E67" i="26" s="1"/>
  <c r="E24" i="26"/>
  <c r="D107" i="26"/>
  <c r="D26" i="26"/>
  <c r="D67" i="26" s="1"/>
  <c r="D24" i="26"/>
  <c r="C107" i="26"/>
  <c r="C26" i="26"/>
  <c r="C67" i="26" s="1"/>
  <c r="C24" i="26"/>
  <c r="D49" i="27"/>
  <c r="D38" i="27"/>
  <c r="D36" i="27"/>
  <c r="D35" i="27"/>
  <c r="D34" i="27"/>
  <c r="D33" i="27"/>
  <c r="D32" i="27"/>
  <c r="D31" i="27"/>
  <c r="D30" i="27"/>
  <c r="D47" i="28"/>
  <c r="D51" i="28" s="1"/>
  <c r="D107" i="28"/>
  <c r="D26" i="28"/>
  <c r="D67" i="28" s="1"/>
  <c r="D24" i="28"/>
  <c r="C107" i="28"/>
  <c r="C26" i="28"/>
  <c r="C67" i="28" s="1"/>
  <c r="C24" i="28"/>
  <c r="D47" i="29"/>
  <c r="D51" i="29" s="1"/>
  <c r="D107" i="29"/>
  <c r="D26" i="29"/>
  <c r="D67" i="29" s="1"/>
  <c r="D24" i="29"/>
  <c r="C107" i="29"/>
  <c r="C26" i="29"/>
  <c r="C67" i="29" s="1"/>
  <c r="C24" i="29"/>
  <c r="D47" i="30"/>
  <c r="D51" i="30" s="1"/>
  <c r="D107" i="30"/>
  <c r="D26" i="30"/>
  <c r="D67" i="30" s="1"/>
  <c r="D24" i="30"/>
  <c r="C107" i="30"/>
  <c r="C26" i="30"/>
  <c r="C67" i="30" s="1"/>
  <c r="C24" i="30"/>
  <c r="D47" i="31"/>
  <c r="D51" i="31" s="1"/>
  <c r="D107" i="31"/>
  <c r="D26" i="31"/>
  <c r="D67" i="31" s="1"/>
  <c r="D24" i="31"/>
  <c r="C107" i="31"/>
  <c r="C26" i="31"/>
  <c r="C67" i="31" s="1"/>
  <c r="C24" i="31"/>
  <c r="D49" i="32"/>
  <c r="D38" i="32"/>
  <c r="D36" i="32"/>
  <c r="D35" i="32"/>
  <c r="D34" i="32"/>
  <c r="D33" i="32"/>
  <c r="D32" i="32"/>
  <c r="D31" i="32"/>
  <c r="D30" i="32"/>
  <c r="D49" i="33"/>
  <c r="D38" i="33"/>
  <c r="D36" i="33"/>
  <c r="D35" i="33"/>
  <c r="D34" i="33"/>
  <c r="D33" i="33"/>
  <c r="D32" i="33"/>
  <c r="D31" i="33"/>
  <c r="D30" i="33"/>
  <c r="D49" i="34"/>
  <c r="D38" i="34"/>
  <c r="D36" i="34"/>
  <c r="D35" i="34"/>
  <c r="D34" i="34"/>
  <c r="D33" i="34"/>
  <c r="D32" i="34"/>
  <c r="D31" i="34"/>
  <c r="D30" i="34"/>
  <c r="D49" i="35"/>
  <c r="D38" i="35"/>
  <c r="D36" i="35"/>
  <c r="D35" i="35"/>
  <c r="D34" i="35"/>
  <c r="D33" i="35"/>
  <c r="D32" i="35"/>
  <c r="D31" i="35"/>
  <c r="D30" i="35"/>
  <c r="D49" i="36"/>
  <c r="D38" i="36"/>
  <c r="D36" i="36"/>
  <c r="D35" i="36"/>
  <c r="D34" i="36"/>
  <c r="D33" i="36"/>
  <c r="D32" i="36"/>
  <c r="D31" i="36"/>
  <c r="D30" i="36"/>
  <c r="D49" i="37"/>
  <c r="D38" i="37"/>
  <c r="D36" i="37"/>
  <c r="D35" i="37"/>
  <c r="D34" i="37"/>
  <c r="D33" i="37"/>
  <c r="D32" i="37"/>
  <c r="D31" i="37"/>
  <c r="D30" i="37"/>
  <c r="C91" i="24" l="1"/>
  <c r="C111" i="24" s="1"/>
  <c r="C91" i="21"/>
  <c r="C111" i="21" s="1"/>
  <c r="C91" i="17"/>
  <c r="C111" i="17" s="1"/>
  <c r="C91" i="18"/>
  <c r="C111" i="18" s="1"/>
  <c r="C91" i="20"/>
  <c r="C111" i="20" s="1"/>
  <c r="C91" i="16"/>
  <c r="C111" i="16" s="1"/>
  <c r="C91" i="22"/>
  <c r="C111" i="22" s="1"/>
  <c r="C91" i="23"/>
  <c r="C111" i="23" s="1"/>
  <c r="C91" i="19"/>
  <c r="C111" i="19" s="1"/>
  <c r="C91" i="15"/>
  <c r="C111" i="15" s="1"/>
  <c r="D39" i="34"/>
  <c r="D50" i="34" s="1"/>
  <c r="D52" i="34" s="1"/>
  <c r="D39" i="21"/>
  <c r="D50" i="21" s="1"/>
  <c r="D52" i="21" s="1"/>
  <c r="D39" i="13"/>
  <c r="D50" i="13" s="1"/>
  <c r="E39" i="31"/>
  <c r="E50" i="31" s="1"/>
  <c r="E52" i="31" s="1"/>
  <c r="E39" i="17"/>
  <c r="E50" i="17" s="1"/>
  <c r="E52" i="17" s="1"/>
  <c r="E39" i="11"/>
  <c r="E50" i="11" s="1"/>
  <c r="D39" i="33"/>
  <c r="D50" i="33" s="1"/>
  <c r="D39" i="24"/>
  <c r="D50" i="24" s="1"/>
  <c r="D39" i="20"/>
  <c r="D50" i="20" s="1"/>
  <c r="D52" i="20" s="1"/>
  <c r="D39" i="12"/>
  <c r="D50" i="12" s="1"/>
  <c r="D52" i="12" s="1"/>
  <c r="E39" i="30"/>
  <c r="E50" i="30" s="1"/>
  <c r="E52" i="30" s="1"/>
  <c r="E39" i="16"/>
  <c r="E50" i="16" s="1"/>
  <c r="E39" i="10"/>
  <c r="E50" i="10" s="1"/>
  <c r="E52" i="10" s="1"/>
  <c r="D62" i="38"/>
  <c r="D58" i="38"/>
  <c r="D57" i="38"/>
  <c r="D59" i="38" s="1"/>
  <c r="D70" i="38" s="1"/>
  <c r="D39" i="36"/>
  <c r="D50" i="36" s="1"/>
  <c r="D52" i="36" s="1"/>
  <c r="D39" i="32"/>
  <c r="D50" i="32" s="1"/>
  <c r="D52" i="32" s="1"/>
  <c r="D39" i="23"/>
  <c r="D50" i="23" s="1"/>
  <c r="D39" i="19"/>
  <c r="D50" i="19" s="1"/>
  <c r="D52" i="19" s="1"/>
  <c r="E39" i="29"/>
  <c r="E50" i="29" s="1"/>
  <c r="E52" i="29" s="1"/>
  <c r="E39" i="15"/>
  <c r="E50" i="15" s="1"/>
  <c r="E52" i="15" s="1"/>
  <c r="D39" i="37"/>
  <c r="D50" i="37" s="1"/>
  <c r="D52" i="37" s="1"/>
  <c r="D39" i="35"/>
  <c r="D50" i="35" s="1"/>
  <c r="D52" i="35" s="1"/>
  <c r="D39" i="27"/>
  <c r="D50" i="27" s="1"/>
  <c r="D52" i="27" s="1"/>
  <c r="D39" i="22"/>
  <c r="D50" i="22" s="1"/>
  <c r="D52" i="22" s="1"/>
  <c r="D39" i="18"/>
  <c r="D50" i="18" s="1"/>
  <c r="D39" i="9"/>
  <c r="D50" i="9" s="1"/>
  <c r="E39" i="28"/>
  <c r="E50" i="28" s="1"/>
  <c r="E52" i="28" s="1"/>
  <c r="E39" i="14"/>
  <c r="E50" i="14" s="1"/>
  <c r="E52" i="14" s="1"/>
  <c r="E59" i="38"/>
  <c r="E70" i="38" s="1"/>
  <c r="D39" i="38"/>
  <c r="D50" i="38" s="1"/>
  <c r="D52" i="38" s="1"/>
  <c r="E39" i="38"/>
  <c r="E50" i="38" s="1"/>
  <c r="E52" i="38" s="1"/>
  <c r="D62" i="37"/>
  <c r="D58" i="37"/>
  <c r="D57" i="37"/>
  <c r="D62" i="36"/>
  <c r="D58" i="36"/>
  <c r="D57" i="36"/>
  <c r="D62" i="35"/>
  <c r="D58" i="35"/>
  <c r="D57" i="35"/>
  <c r="D62" i="34"/>
  <c r="D58" i="34"/>
  <c r="D57" i="34"/>
  <c r="D62" i="33"/>
  <c r="D58" i="33"/>
  <c r="D57" i="33"/>
  <c r="D52" i="33"/>
  <c r="D62" i="32"/>
  <c r="D58" i="32"/>
  <c r="D57" i="32"/>
  <c r="C65" i="31"/>
  <c r="C68" i="31" s="1"/>
  <c r="C72" i="31" s="1"/>
  <c r="C27" i="31"/>
  <c r="D65" i="31"/>
  <c r="D68" i="31" s="1"/>
  <c r="D72" i="31" s="1"/>
  <c r="D27" i="31"/>
  <c r="C65" i="30"/>
  <c r="C68" i="30" s="1"/>
  <c r="C72" i="30" s="1"/>
  <c r="C27" i="30"/>
  <c r="D65" i="30"/>
  <c r="D68" i="30" s="1"/>
  <c r="D72" i="30" s="1"/>
  <c r="D27" i="30"/>
  <c r="C65" i="29"/>
  <c r="C68" i="29" s="1"/>
  <c r="C72" i="29" s="1"/>
  <c r="C27" i="29"/>
  <c r="D65" i="29"/>
  <c r="D68" i="29" s="1"/>
  <c r="D72" i="29" s="1"/>
  <c r="D27" i="29"/>
  <c r="C65" i="28"/>
  <c r="C68" i="28" s="1"/>
  <c r="C72" i="28" s="1"/>
  <c r="C27" i="28"/>
  <c r="D65" i="28"/>
  <c r="D68" i="28" s="1"/>
  <c r="D72" i="28" s="1"/>
  <c r="D27" i="28"/>
  <c r="D62" i="27"/>
  <c r="D58" i="27"/>
  <c r="D57" i="27"/>
  <c r="C65" i="26"/>
  <c r="C68" i="26" s="1"/>
  <c r="C72" i="26" s="1"/>
  <c r="C27" i="26"/>
  <c r="D65" i="26"/>
  <c r="D68" i="26" s="1"/>
  <c r="D72" i="26" s="1"/>
  <c r="D27" i="26"/>
  <c r="E65" i="26"/>
  <c r="E68" i="26" s="1"/>
  <c r="E72" i="26" s="1"/>
  <c r="E27" i="26"/>
  <c r="D62" i="24"/>
  <c r="D58" i="24"/>
  <c r="D57" i="24"/>
  <c r="D52" i="24"/>
  <c r="D62" i="23"/>
  <c r="D58" i="23"/>
  <c r="D57" i="23"/>
  <c r="D52" i="23"/>
  <c r="D62" i="22"/>
  <c r="D58" i="22"/>
  <c r="D57" i="22"/>
  <c r="D62" i="21"/>
  <c r="D58" i="21"/>
  <c r="D57" i="21"/>
  <c r="D62" i="20"/>
  <c r="D58" i="20"/>
  <c r="D57" i="20"/>
  <c r="D62" i="19"/>
  <c r="D58" i="19"/>
  <c r="D57" i="19"/>
  <c r="D59" i="19" s="1"/>
  <c r="D70" i="19" s="1"/>
  <c r="D62" i="18"/>
  <c r="D58" i="18"/>
  <c r="D57" i="18"/>
  <c r="D59" i="18" s="1"/>
  <c r="D70" i="18" s="1"/>
  <c r="D52" i="18"/>
  <c r="C65" i="17"/>
  <c r="C68" i="17" s="1"/>
  <c r="C72" i="17" s="1"/>
  <c r="C27" i="17"/>
  <c r="D65" i="17"/>
  <c r="D68" i="17" s="1"/>
  <c r="D72" i="17" s="1"/>
  <c r="D27" i="17"/>
  <c r="C65" i="16"/>
  <c r="C68" i="16" s="1"/>
  <c r="C72" i="16" s="1"/>
  <c r="C27" i="16"/>
  <c r="D65" i="16"/>
  <c r="D68" i="16" s="1"/>
  <c r="D72" i="16" s="1"/>
  <c r="D27" i="16"/>
  <c r="C65" i="15"/>
  <c r="C68" i="15" s="1"/>
  <c r="C72" i="15" s="1"/>
  <c r="C27" i="15"/>
  <c r="D65" i="15"/>
  <c r="D68" i="15" s="1"/>
  <c r="D72" i="15" s="1"/>
  <c r="D27" i="15"/>
  <c r="C65" i="14"/>
  <c r="C68" i="14" s="1"/>
  <c r="C72" i="14" s="1"/>
  <c r="C27" i="14"/>
  <c r="D65" i="14"/>
  <c r="D68" i="14" s="1"/>
  <c r="D72" i="14" s="1"/>
  <c r="D27" i="14"/>
  <c r="D62" i="13"/>
  <c r="D58" i="13"/>
  <c r="D57" i="13"/>
  <c r="D59" i="13" s="1"/>
  <c r="D70" i="13" s="1"/>
  <c r="D52" i="13"/>
  <c r="D62" i="12"/>
  <c r="D58" i="12"/>
  <c r="D57" i="12"/>
  <c r="D59" i="12" s="1"/>
  <c r="D70" i="12" s="1"/>
  <c r="C65" i="11"/>
  <c r="C68" i="11" s="1"/>
  <c r="C72" i="11" s="1"/>
  <c r="C27" i="11"/>
  <c r="D65" i="11"/>
  <c r="D68" i="11" s="1"/>
  <c r="D72" i="11" s="1"/>
  <c r="D27" i="11"/>
  <c r="C65" i="10"/>
  <c r="C68" i="10" s="1"/>
  <c r="C72" i="10" s="1"/>
  <c r="C27" i="10"/>
  <c r="D65" i="10"/>
  <c r="D68" i="10" s="1"/>
  <c r="D72" i="10" s="1"/>
  <c r="D27" i="10"/>
  <c r="D62" i="9"/>
  <c r="D58" i="9"/>
  <c r="D57" i="9"/>
  <c r="D52" i="9"/>
  <c r="C65" i="8"/>
  <c r="C68" i="8" s="1"/>
  <c r="C72" i="8" s="1"/>
  <c r="C27" i="8"/>
  <c r="D65" i="8"/>
  <c r="D68" i="8" s="1"/>
  <c r="D72" i="8" s="1"/>
  <c r="D27" i="8"/>
  <c r="E65" i="8"/>
  <c r="E68" i="8" s="1"/>
  <c r="E72" i="8" s="1"/>
  <c r="E27" i="8"/>
  <c r="D64" i="7"/>
  <c r="D67" i="7" s="1"/>
  <c r="D71" i="7" s="1"/>
  <c r="D27" i="7"/>
  <c r="E64" i="7"/>
  <c r="E67" i="7" s="1"/>
  <c r="E71" i="7" s="1"/>
  <c r="E27" i="7"/>
  <c r="C65" i="37"/>
  <c r="C68" i="37" s="1"/>
  <c r="C72" i="37" s="1"/>
  <c r="C27" i="37"/>
  <c r="E65" i="37"/>
  <c r="E68" i="37" s="1"/>
  <c r="E72" i="37" s="1"/>
  <c r="E27" i="37"/>
  <c r="C65" i="36"/>
  <c r="C68" i="36" s="1"/>
  <c r="C72" i="36" s="1"/>
  <c r="C27" i="36"/>
  <c r="E65" i="36"/>
  <c r="E68" i="36" s="1"/>
  <c r="E72" i="36" s="1"/>
  <c r="E27" i="36"/>
  <c r="C65" i="35"/>
  <c r="C68" i="35" s="1"/>
  <c r="C72" i="35" s="1"/>
  <c r="C27" i="35"/>
  <c r="E65" i="35"/>
  <c r="E68" i="35" s="1"/>
  <c r="E72" i="35" s="1"/>
  <c r="E27" i="35"/>
  <c r="C65" i="34"/>
  <c r="C68" i="34" s="1"/>
  <c r="C72" i="34" s="1"/>
  <c r="C27" i="34"/>
  <c r="E65" i="34"/>
  <c r="E68" i="34" s="1"/>
  <c r="E72" i="34" s="1"/>
  <c r="E27" i="34"/>
  <c r="C65" i="33"/>
  <c r="C68" i="33" s="1"/>
  <c r="C72" i="33" s="1"/>
  <c r="C27" i="33"/>
  <c r="E65" i="33"/>
  <c r="E68" i="33" s="1"/>
  <c r="E72" i="33" s="1"/>
  <c r="E27" i="33"/>
  <c r="C65" i="32"/>
  <c r="C68" i="32" s="1"/>
  <c r="C72" i="32" s="1"/>
  <c r="C27" i="32"/>
  <c r="E65" i="32"/>
  <c r="E68" i="32" s="1"/>
  <c r="E72" i="32" s="1"/>
  <c r="E27" i="32"/>
  <c r="E62" i="31"/>
  <c r="E58" i="31"/>
  <c r="E57" i="31"/>
  <c r="E62" i="30"/>
  <c r="E58" i="30"/>
  <c r="E57" i="30"/>
  <c r="E62" i="29"/>
  <c r="E58" i="29"/>
  <c r="E57" i="29"/>
  <c r="E62" i="28"/>
  <c r="E58" i="28"/>
  <c r="E57" i="28"/>
  <c r="E59" i="28" s="1"/>
  <c r="E70" i="28" s="1"/>
  <c r="C65" i="27"/>
  <c r="C68" i="27" s="1"/>
  <c r="C72" i="27" s="1"/>
  <c r="C27" i="27"/>
  <c r="E65" i="27"/>
  <c r="E68" i="27" s="1"/>
  <c r="E72" i="27" s="1"/>
  <c r="E27" i="27"/>
  <c r="C65" i="24"/>
  <c r="C68" i="24" s="1"/>
  <c r="C72" i="24" s="1"/>
  <c r="C27" i="24"/>
  <c r="E65" i="24"/>
  <c r="E68" i="24" s="1"/>
  <c r="E72" i="24" s="1"/>
  <c r="E27" i="24"/>
  <c r="C65" i="23"/>
  <c r="C68" i="23" s="1"/>
  <c r="C72" i="23" s="1"/>
  <c r="C27" i="23"/>
  <c r="E65" i="23"/>
  <c r="E68" i="23" s="1"/>
  <c r="E72" i="23" s="1"/>
  <c r="E27" i="23"/>
  <c r="C49" i="22"/>
  <c r="C38" i="22"/>
  <c r="C36" i="22"/>
  <c r="C35" i="22"/>
  <c r="C34" i="22"/>
  <c r="C33" i="22"/>
  <c r="C32" i="22"/>
  <c r="C31" i="22"/>
  <c r="C30" i="22"/>
  <c r="E49" i="22"/>
  <c r="E38" i="22"/>
  <c r="E36" i="22"/>
  <c r="E35" i="22"/>
  <c r="E34" i="22"/>
  <c r="E33" i="22"/>
  <c r="E32" i="22"/>
  <c r="E31" i="22"/>
  <c r="E30" i="22"/>
  <c r="C49" i="21"/>
  <c r="C38" i="21"/>
  <c r="C36" i="21"/>
  <c r="C35" i="21"/>
  <c r="C34" i="21"/>
  <c r="C33" i="21"/>
  <c r="C32" i="21"/>
  <c r="C31" i="21"/>
  <c r="C30" i="21"/>
  <c r="E49" i="21"/>
  <c r="E38" i="21"/>
  <c r="E36" i="21"/>
  <c r="E35" i="21"/>
  <c r="E34" i="21"/>
  <c r="E33" i="21"/>
  <c r="E32" i="21"/>
  <c r="E31" i="21"/>
  <c r="E30" i="21"/>
  <c r="C49" i="20"/>
  <c r="C38" i="20"/>
  <c r="C36" i="20"/>
  <c r="C35" i="20"/>
  <c r="C34" i="20"/>
  <c r="C33" i="20"/>
  <c r="C32" i="20"/>
  <c r="C31" i="20"/>
  <c r="C30" i="20"/>
  <c r="E49" i="20"/>
  <c r="E38" i="20"/>
  <c r="E36" i="20"/>
  <c r="E35" i="20"/>
  <c r="E34" i="20"/>
  <c r="E33" i="20"/>
  <c r="E32" i="20"/>
  <c r="E31" i="20"/>
  <c r="E30" i="20"/>
  <c r="C65" i="19"/>
  <c r="C68" i="19" s="1"/>
  <c r="C72" i="19" s="1"/>
  <c r="C27" i="19"/>
  <c r="E65" i="19"/>
  <c r="E68" i="19" s="1"/>
  <c r="E72" i="19" s="1"/>
  <c r="E27" i="19"/>
  <c r="C49" i="18"/>
  <c r="C38" i="18"/>
  <c r="C36" i="18"/>
  <c r="C35" i="18"/>
  <c r="C34" i="18"/>
  <c r="C33" i="18"/>
  <c r="C32" i="18"/>
  <c r="C31" i="18"/>
  <c r="C30" i="18"/>
  <c r="E49" i="18"/>
  <c r="E38" i="18"/>
  <c r="E36" i="18"/>
  <c r="E35" i="18"/>
  <c r="E34" i="18"/>
  <c r="E33" i="18"/>
  <c r="E32" i="18"/>
  <c r="E31" i="18"/>
  <c r="E30" i="18"/>
  <c r="E62" i="17"/>
  <c r="E58" i="17"/>
  <c r="E57" i="17"/>
  <c r="E62" i="16"/>
  <c r="E58" i="16"/>
  <c r="E57" i="16"/>
  <c r="E52" i="16"/>
  <c r="E62" i="15"/>
  <c r="E58" i="15"/>
  <c r="E57" i="15"/>
  <c r="E62" i="14"/>
  <c r="E58" i="14"/>
  <c r="E57" i="14"/>
  <c r="C65" i="13"/>
  <c r="C68" i="13" s="1"/>
  <c r="C72" i="13" s="1"/>
  <c r="C27" i="13"/>
  <c r="E65" i="13"/>
  <c r="E68" i="13" s="1"/>
  <c r="E72" i="13" s="1"/>
  <c r="E27" i="13"/>
  <c r="C65" i="12"/>
  <c r="C68" i="12" s="1"/>
  <c r="C72" i="12" s="1"/>
  <c r="C27" i="12"/>
  <c r="E65" i="12"/>
  <c r="E68" i="12" s="1"/>
  <c r="E72" i="12" s="1"/>
  <c r="E27" i="12"/>
  <c r="E62" i="11"/>
  <c r="E58" i="11"/>
  <c r="E57" i="11"/>
  <c r="E52" i="11"/>
  <c r="E62" i="10"/>
  <c r="E58" i="10"/>
  <c r="E57" i="10"/>
  <c r="C65" i="9"/>
  <c r="C68" i="9" s="1"/>
  <c r="C72" i="9" s="1"/>
  <c r="C27" i="9"/>
  <c r="E65" i="9"/>
  <c r="E68" i="9" s="1"/>
  <c r="E72" i="9" s="1"/>
  <c r="E27" i="9"/>
  <c r="C91" i="14"/>
  <c r="C111" i="14" s="1"/>
  <c r="D86" i="14"/>
  <c r="D59" i="20" l="1"/>
  <c r="D70" i="20" s="1"/>
  <c r="D59" i="35"/>
  <c r="D70" i="35" s="1"/>
  <c r="E59" i="14"/>
  <c r="E70" i="14" s="1"/>
  <c r="D59" i="21"/>
  <c r="D70" i="21" s="1"/>
  <c r="D59" i="27"/>
  <c r="D70" i="27" s="1"/>
  <c r="E59" i="10"/>
  <c r="E70" i="10" s="1"/>
  <c r="E59" i="11"/>
  <c r="E70" i="11" s="1"/>
  <c r="E59" i="29"/>
  <c r="E70" i="29" s="1"/>
  <c r="E59" i="30"/>
  <c r="E70" i="30" s="1"/>
  <c r="E59" i="31"/>
  <c r="E70" i="31" s="1"/>
  <c r="D59" i="22"/>
  <c r="D70" i="22" s="1"/>
  <c r="D59" i="23"/>
  <c r="D70" i="23" s="1"/>
  <c r="D59" i="24"/>
  <c r="D70" i="24" s="1"/>
  <c r="D59" i="32"/>
  <c r="D70" i="32" s="1"/>
  <c r="D59" i="33"/>
  <c r="D70" i="33" s="1"/>
  <c r="D59" i="34"/>
  <c r="D70" i="34" s="1"/>
  <c r="E59" i="15"/>
  <c r="E70" i="15" s="1"/>
  <c r="E59" i="16"/>
  <c r="E70" i="16" s="1"/>
  <c r="E59" i="17"/>
  <c r="E70" i="17" s="1"/>
  <c r="C39" i="18"/>
  <c r="C50" i="18" s="1"/>
  <c r="C39" i="21"/>
  <c r="C50" i="21" s="1"/>
  <c r="C52" i="21" s="1"/>
  <c r="D59" i="9"/>
  <c r="D70" i="9" s="1"/>
  <c r="D59" i="36"/>
  <c r="D70" i="36" s="1"/>
  <c r="D59" i="37"/>
  <c r="D70" i="37" s="1"/>
  <c r="E39" i="20"/>
  <c r="E50" i="20" s="1"/>
  <c r="E52" i="20" s="1"/>
  <c r="C39" i="20"/>
  <c r="C50" i="20" s="1"/>
  <c r="C52" i="20" s="1"/>
  <c r="E39" i="22"/>
  <c r="E50" i="22" s="1"/>
  <c r="C39" i="22"/>
  <c r="C50" i="22" s="1"/>
  <c r="C52" i="22" s="1"/>
  <c r="E39" i="18"/>
  <c r="E50" i="18" s="1"/>
  <c r="E39" i="21"/>
  <c r="E50" i="21" s="1"/>
  <c r="E52" i="21" s="1"/>
  <c r="D61" i="38"/>
  <c r="D63" i="38" s="1"/>
  <c r="D71" i="38" s="1"/>
  <c r="D73" i="38" s="1"/>
  <c r="E107" i="38"/>
  <c r="E61" i="38"/>
  <c r="E63" i="38" s="1"/>
  <c r="E71" i="38" s="1"/>
  <c r="E73" i="38" s="1"/>
  <c r="D107" i="38"/>
  <c r="E49" i="9"/>
  <c r="E38" i="9"/>
  <c r="E36" i="9"/>
  <c r="E35" i="9"/>
  <c r="E34" i="9"/>
  <c r="E33" i="9"/>
  <c r="E32" i="9"/>
  <c r="E31" i="9"/>
  <c r="E30" i="9"/>
  <c r="C49" i="9"/>
  <c r="C38" i="9"/>
  <c r="C36" i="9"/>
  <c r="C35" i="9"/>
  <c r="C34" i="9"/>
  <c r="C33" i="9"/>
  <c r="C32" i="9"/>
  <c r="C31" i="9"/>
  <c r="C30" i="9"/>
  <c r="E108" i="10"/>
  <c r="E61" i="10"/>
  <c r="E63" i="10" s="1"/>
  <c r="E71" i="10" s="1"/>
  <c r="E73" i="10" s="1"/>
  <c r="E108" i="11"/>
  <c r="E61" i="11"/>
  <c r="E63" i="11" s="1"/>
  <c r="E71" i="11" s="1"/>
  <c r="E49" i="12"/>
  <c r="E38" i="12"/>
  <c r="E36" i="12"/>
  <c r="E35" i="12"/>
  <c r="E34" i="12"/>
  <c r="E33" i="12"/>
  <c r="E32" i="12"/>
  <c r="E31" i="12"/>
  <c r="E30" i="12"/>
  <c r="C49" i="12"/>
  <c r="C38" i="12"/>
  <c r="C36" i="12"/>
  <c r="C35" i="12"/>
  <c r="C34" i="12"/>
  <c r="C33" i="12"/>
  <c r="C32" i="12"/>
  <c r="C31" i="12"/>
  <c r="C30" i="12"/>
  <c r="E49" i="13"/>
  <c r="E38" i="13"/>
  <c r="E36" i="13"/>
  <c r="E35" i="13"/>
  <c r="E34" i="13"/>
  <c r="E33" i="13"/>
  <c r="E32" i="13"/>
  <c r="E31" i="13"/>
  <c r="E30" i="13"/>
  <c r="C49" i="13"/>
  <c r="C38" i="13"/>
  <c r="C36" i="13"/>
  <c r="C35" i="13"/>
  <c r="C34" i="13"/>
  <c r="C33" i="13"/>
  <c r="C32" i="13"/>
  <c r="C31" i="13"/>
  <c r="C30" i="13"/>
  <c r="E108" i="14"/>
  <c r="E61" i="14"/>
  <c r="E63" i="14" s="1"/>
  <c r="E71" i="14" s="1"/>
  <c r="E108" i="15"/>
  <c r="E61" i="15"/>
  <c r="E63" i="15" s="1"/>
  <c r="E71" i="15" s="1"/>
  <c r="E108" i="16"/>
  <c r="E61" i="16"/>
  <c r="E63" i="16" s="1"/>
  <c r="E71" i="16" s="1"/>
  <c r="E108" i="17"/>
  <c r="E61" i="17"/>
  <c r="E63" i="17" s="1"/>
  <c r="E71" i="17" s="1"/>
  <c r="E62" i="18"/>
  <c r="E58" i="18"/>
  <c r="E57" i="18"/>
  <c r="E52" i="18"/>
  <c r="C62" i="18"/>
  <c r="C58" i="18"/>
  <c r="C57" i="18"/>
  <c r="C52" i="18"/>
  <c r="E49" i="19"/>
  <c r="E38" i="19"/>
  <c r="E36" i="19"/>
  <c r="E35" i="19"/>
  <c r="E34" i="19"/>
  <c r="E33" i="19"/>
  <c r="E32" i="19"/>
  <c r="E31" i="19"/>
  <c r="E30" i="19"/>
  <c r="C49" i="19"/>
  <c r="C38" i="19"/>
  <c r="C36" i="19"/>
  <c r="C35" i="19"/>
  <c r="C34" i="19"/>
  <c r="C33" i="19"/>
  <c r="C32" i="19"/>
  <c r="C31" i="19"/>
  <c r="C30" i="19"/>
  <c r="E62" i="20"/>
  <c r="E58" i="20"/>
  <c r="E57" i="20"/>
  <c r="C62" i="20"/>
  <c r="C58" i="20"/>
  <c r="C57" i="20"/>
  <c r="E62" i="21"/>
  <c r="E58" i="21"/>
  <c r="E57" i="21"/>
  <c r="C62" i="21"/>
  <c r="C58" i="21"/>
  <c r="C57" i="21"/>
  <c r="E62" i="22"/>
  <c r="E58" i="22"/>
  <c r="E57" i="22"/>
  <c r="E52" i="22"/>
  <c r="C62" i="22"/>
  <c r="C58" i="22"/>
  <c r="C57" i="22"/>
  <c r="E49" i="23"/>
  <c r="E38" i="23"/>
  <c r="E36" i="23"/>
  <c r="E35" i="23"/>
  <c r="E34" i="23"/>
  <c r="E33" i="23"/>
  <c r="E32" i="23"/>
  <c r="E31" i="23"/>
  <c r="E30" i="23"/>
  <c r="C49" i="23"/>
  <c r="C38" i="23"/>
  <c r="C36" i="23"/>
  <c r="C35" i="23"/>
  <c r="C34" i="23"/>
  <c r="C33" i="23"/>
  <c r="C32" i="23"/>
  <c r="C31" i="23"/>
  <c r="C30" i="23"/>
  <c r="E49" i="24"/>
  <c r="E38" i="24"/>
  <c r="E36" i="24"/>
  <c r="E35" i="24"/>
  <c r="E34" i="24"/>
  <c r="E33" i="24"/>
  <c r="E32" i="24"/>
  <c r="E31" i="24"/>
  <c r="E30" i="24"/>
  <c r="C49" i="24"/>
  <c r="C38" i="24"/>
  <c r="C36" i="24"/>
  <c r="C35" i="24"/>
  <c r="C34" i="24"/>
  <c r="C33" i="24"/>
  <c r="C32" i="24"/>
  <c r="C31" i="24"/>
  <c r="C30" i="24"/>
  <c r="E49" i="27"/>
  <c r="E38" i="27"/>
  <c r="E36" i="27"/>
  <c r="E35" i="27"/>
  <c r="E34" i="27"/>
  <c r="E33" i="27"/>
  <c r="E32" i="27"/>
  <c r="E31" i="27"/>
  <c r="E30" i="27"/>
  <c r="C49" i="27"/>
  <c r="C38" i="27"/>
  <c r="C36" i="27"/>
  <c r="C35" i="27"/>
  <c r="C34" i="27"/>
  <c r="C33" i="27"/>
  <c r="C32" i="27"/>
  <c r="C31" i="27"/>
  <c r="C30" i="27"/>
  <c r="E108" i="28"/>
  <c r="E61" i="28"/>
  <c r="E63" i="28" s="1"/>
  <c r="E71" i="28" s="1"/>
  <c r="E73" i="28" s="1"/>
  <c r="E108" i="29"/>
  <c r="E61" i="29"/>
  <c r="E63" i="29" s="1"/>
  <c r="E71" i="29" s="1"/>
  <c r="E108" i="30"/>
  <c r="E61" i="30"/>
  <c r="E63" i="30" s="1"/>
  <c r="E71" i="30" s="1"/>
  <c r="E108" i="31"/>
  <c r="E61" i="31"/>
  <c r="E63" i="31" s="1"/>
  <c r="E71" i="31" s="1"/>
  <c r="E49" i="32"/>
  <c r="E38" i="32"/>
  <c r="E36" i="32"/>
  <c r="E35" i="32"/>
  <c r="E34" i="32"/>
  <c r="E33" i="32"/>
  <c r="E32" i="32"/>
  <c r="E31" i="32"/>
  <c r="E30" i="32"/>
  <c r="C49" i="32"/>
  <c r="C38" i="32"/>
  <c r="C36" i="32"/>
  <c r="C35" i="32"/>
  <c r="C34" i="32"/>
  <c r="C33" i="32"/>
  <c r="C32" i="32"/>
  <c r="C31" i="32"/>
  <c r="C30" i="32"/>
  <c r="E49" i="33"/>
  <c r="E38" i="33"/>
  <c r="E36" i="33"/>
  <c r="E35" i="33"/>
  <c r="E34" i="33"/>
  <c r="E33" i="33"/>
  <c r="E32" i="33"/>
  <c r="E31" i="33"/>
  <c r="E30" i="33"/>
  <c r="C49" i="33"/>
  <c r="C38" i="33"/>
  <c r="C36" i="33"/>
  <c r="C35" i="33"/>
  <c r="C34" i="33"/>
  <c r="C33" i="33"/>
  <c r="C32" i="33"/>
  <c r="C31" i="33"/>
  <c r="C30" i="33"/>
  <c r="E49" i="34"/>
  <c r="E38" i="34"/>
  <c r="E36" i="34"/>
  <c r="E35" i="34"/>
  <c r="E34" i="34"/>
  <c r="E33" i="34"/>
  <c r="E32" i="34"/>
  <c r="E31" i="34"/>
  <c r="E30" i="34"/>
  <c r="C49" i="34"/>
  <c r="C38" i="34"/>
  <c r="C36" i="34"/>
  <c r="C35" i="34"/>
  <c r="C34" i="34"/>
  <c r="C33" i="34"/>
  <c r="C32" i="34"/>
  <c r="C31" i="34"/>
  <c r="C30" i="34"/>
  <c r="E49" i="35"/>
  <c r="E38" i="35"/>
  <c r="E36" i="35"/>
  <c r="E35" i="35"/>
  <c r="E34" i="35"/>
  <c r="E33" i="35"/>
  <c r="E32" i="35"/>
  <c r="E31" i="35"/>
  <c r="E30" i="35"/>
  <c r="C49" i="35"/>
  <c r="C38" i="35"/>
  <c r="C36" i="35"/>
  <c r="C35" i="35"/>
  <c r="C34" i="35"/>
  <c r="C33" i="35"/>
  <c r="C32" i="35"/>
  <c r="C31" i="35"/>
  <c r="C30" i="35"/>
  <c r="E49" i="36"/>
  <c r="E38" i="36"/>
  <c r="E36" i="36"/>
  <c r="E35" i="36"/>
  <c r="E34" i="36"/>
  <c r="E33" i="36"/>
  <c r="E32" i="36"/>
  <c r="E31" i="36"/>
  <c r="E30" i="36"/>
  <c r="C49" i="36"/>
  <c r="C38" i="36"/>
  <c r="C36" i="36"/>
  <c r="C35" i="36"/>
  <c r="C34" i="36"/>
  <c r="C33" i="36"/>
  <c r="C32" i="36"/>
  <c r="C31" i="36"/>
  <c r="C30" i="36"/>
  <c r="E49" i="37"/>
  <c r="E38" i="37"/>
  <c r="E36" i="37"/>
  <c r="E35" i="37"/>
  <c r="E34" i="37"/>
  <c r="E33" i="37"/>
  <c r="E32" i="37"/>
  <c r="E31" i="37"/>
  <c r="E30" i="37"/>
  <c r="C49" i="37"/>
  <c r="C38" i="37"/>
  <c r="C36" i="37"/>
  <c r="C35" i="37"/>
  <c r="C34" i="37"/>
  <c r="C33" i="37"/>
  <c r="C32" i="37"/>
  <c r="C31" i="37"/>
  <c r="C30" i="37"/>
  <c r="E48" i="7"/>
  <c r="E38" i="7"/>
  <c r="E36" i="7"/>
  <c r="E35" i="7"/>
  <c r="E34" i="7"/>
  <c r="E33" i="7"/>
  <c r="E32" i="7"/>
  <c r="E31" i="7"/>
  <c r="E30" i="7"/>
  <c r="D48" i="7"/>
  <c r="D38" i="7"/>
  <c r="D36" i="7"/>
  <c r="D35" i="7"/>
  <c r="D34" i="7"/>
  <c r="D33" i="7"/>
  <c r="D32" i="7"/>
  <c r="D31" i="7"/>
  <c r="D30" i="7"/>
  <c r="E49" i="8"/>
  <c r="E38" i="8"/>
  <c r="E36" i="8"/>
  <c r="E35" i="8"/>
  <c r="E34" i="8"/>
  <c r="E33" i="8"/>
  <c r="E32" i="8"/>
  <c r="E31" i="8"/>
  <c r="E30" i="8"/>
  <c r="D49" i="8"/>
  <c r="D38" i="8"/>
  <c r="D36" i="8"/>
  <c r="D35" i="8"/>
  <c r="D34" i="8"/>
  <c r="D33" i="8"/>
  <c r="D32" i="8"/>
  <c r="D31" i="8"/>
  <c r="D30" i="8"/>
  <c r="C49" i="8"/>
  <c r="C38" i="8"/>
  <c r="C36" i="8"/>
  <c r="C35" i="8"/>
  <c r="C34" i="8"/>
  <c r="C33" i="8"/>
  <c r="C32" i="8"/>
  <c r="C31" i="8"/>
  <c r="C30" i="8"/>
  <c r="D108" i="9"/>
  <c r="D61" i="9"/>
  <c r="D63" i="9" s="1"/>
  <c r="D71" i="9" s="1"/>
  <c r="D49" i="10"/>
  <c r="D38" i="10"/>
  <c r="D36" i="10"/>
  <c r="D35" i="10"/>
  <c r="D34" i="10"/>
  <c r="D33" i="10"/>
  <c r="D32" i="10"/>
  <c r="D31" i="10"/>
  <c r="D30" i="10"/>
  <c r="C49" i="10"/>
  <c r="C38" i="10"/>
  <c r="C36" i="10"/>
  <c r="C35" i="10"/>
  <c r="C34" i="10"/>
  <c r="C33" i="10"/>
  <c r="C32" i="10"/>
  <c r="C31" i="10"/>
  <c r="C30" i="10"/>
  <c r="D49" i="11"/>
  <c r="D38" i="11"/>
  <c r="D36" i="11"/>
  <c r="D35" i="11"/>
  <c r="D34" i="11"/>
  <c r="D33" i="11"/>
  <c r="D32" i="11"/>
  <c r="D31" i="11"/>
  <c r="D30" i="11"/>
  <c r="C49" i="11"/>
  <c r="C38" i="11"/>
  <c r="C36" i="11"/>
  <c r="C35" i="11"/>
  <c r="C34" i="11"/>
  <c r="C33" i="11"/>
  <c r="C32" i="11"/>
  <c r="C31" i="11"/>
  <c r="C30" i="11"/>
  <c r="D108" i="12"/>
  <c r="D61" i="12"/>
  <c r="D63" i="12" s="1"/>
  <c r="D71" i="12" s="1"/>
  <c r="D73" i="12" s="1"/>
  <c r="D108" i="13"/>
  <c r="D61" i="13"/>
  <c r="D63" i="13" s="1"/>
  <c r="D71" i="13" s="1"/>
  <c r="D73" i="13" s="1"/>
  <c r="D49" i="14"/>
  <c r="D38" i="14"/>
  <c r="D36" i="14"/>
  <c r="D35" i="14"/>
  <c r="D34" i="14"/>
  <c r="D33" i="14"/>
  <c r="D32" i="14"/>
  <c r="D31" i="14"/>
  <c r="D30" i="14"/>
  <c r="C49" i="14"/>
  <c r="C38" i="14"/>
  <c r="C36" i="14"/>
  <c r="C35" i="14"/>
  <c r="C34" i="14"/>
  <c r="C33" i="14"/>
  <c r="C32" i="14"/>
  <c r="C31" i="14"/>
  <c r="C30" i="14"/>
  <c r="D49" i="15"/>
  <c r="D38" i="15"/>
  <c r="D36" i="15"/>
  <c r="D35" i="15"/>
  <c r="D34" i="15"/>
  <c r="D33" i="15"/>
  <c r="D32" i="15"/>
  <c r="D31" i="15"/>
  <c r="D30" i="15"/>
  <c r="C49" i="15"/>
  <c r="C38" i="15"/>
  <c r="C36" i="15"/>
  <c r="C35" i="15"/>
  <c r="C34" i="15"/>
  <c r="C33" i="15"/>
  <c r="C32" i="15"/>
  <c r="C31" i="15"/>
  <c r="C30" i="15"/>
  <c r="D49" i="16"/>
  <c r="D38" i="16"/>
  <c r="D36" i="16"/>
  <c r="D35" i="16"/>
  <c r="D34" i="16"/>
  <c r="D33" i="16"/>
  <c r="D32" i="16"/>
  <c r="D31" i="16"/>
  <c r="D30" i="16"/>
  <c r="C49" i="16"/>
  <c r="C38" i="16"/>
  <c r="C36" i="16"/>
  <c r="C35" i="16"/>
  <c r="C34" i="16"/>
  <c r="C33" i="16"/>
  <c r="C32" i="16"/>
  <c r="C31" i="16"/>
  <c r="C30" i="16"/>
  <c r="D49" i="17"/>
  <c r="D38" i="17"/>
  <c r="D36" i="17"/>
  <c r="D35" i="17"/>
  <c r="D34" i="17"/>
  <c r="D33" i="17"/>
  <c r="D32" i="17"/>
  <c r="D31" i="17"/>
  <c r="D30" i="17"/>
  <c r="C49" i="17"/>
  <c r="C38" i="17"/>
  <c r="C36" i="17"/>
  <c r="C35" i="17"/>
  <c r="C34" i="17"/>
  <c r="C33" i="17"/>
  <c r="C32" i="17"/>
  <c r="C31" i="17"/>
  <c r="C30" i="17"/>
  <c r="D108" i="18"/>
  <c r="D61" i="18"/>
  <c r="D63" i="18" s="1"/>
  <c r="D71" i="18" s="1"/>
  <c r="D73" i="18" s="1"/>
  <c r="D108" i="19"/>
  <c r="D61" i="19"/>
  <c r="D63" i="19" s="1"/>
  <c r="D71" i="19" s="1"/>
  <c r="D73" i="19" s="1"/>
  <c r="D108" i="20"/>
  <c r="D61" i="20"/>
  <c r="D63" i="20" s="1"/>
  <c r="D71" i="20" s="1"/>
  <c r="D108" i="21"/>
  <c r="D61" i="21"/>
  <c r="D63" i="21" s="1"/>
  <c r="D71" i="21" s="1"/>
  <c r="D108" i="22"/>
  <c r="D61" i="22"/>
  <c r="D63" i="22" s="1"/>
  <c r="D71" i="22" s="1"/>
  <c r="D108" i="23"/>
  <c r="D61" i="23"/>
  <c r="D63" i="23" s="1"/>
  <c r="D71" i="23" s="1"/>
  <c r="D108" i="24"/>
  <c r="D61" i="24"/>
  <c r="D63" i="24" s="1"/>
  <c r="D71" i="24" s="1"/>
  <c r="E49" i="26"/>
  <c r="E38" i="26"/>
  <c r="E36" i="26"/>
  <c r="E35" i="26"/>
  <c r="E34" i="26"/>
  <c r="E33" i="26"/>
  <c r="E32" i="26"/>
  <c r="E31" i="26"/>
  <c r="E30" i="26"/>
  <c r="D49" i="26"/>
  <c r="D38" i="26"/>
  <c r="D36" i="26"/>
  <c r="D35" i="26"/>
  <c r="D34" i="26"/>
  <c r="D33" i="26"/>
  <c r="D32" i="26"/>
  <c r="D31" i="26"/>
  <c r="D30" i="26"/>
  <c r="C49" i="26"/>
  <c r="C38" i="26"/>
  <c r="C36" i="26"/>
  <c r="C35" i="26"/>
  <c r="C34" i="26"/>
  <c r="C33" i="26"/>
  <c r="C32" i="26"/>
  <c r="C31" i="26"/>
  <c r="C30" i="26"/>
  <c r="D108" i="27"/>
  <c r="D61" i="27"/>
  <c r="D63" i="27" s="1"/>
  <c r="D71" i="27" s="1"/>
  <c r="D49" i="28"/>
  <c r="D38" i="28"/>
  <c r="D36" i="28"/>
  <c r="D35" i="28"/>
  <c r="D34" i="28"/>
  <c r="D33" i="28"/>
  <c r="D32" i="28"/>
  <c r="D31" i="28"/>
  <c r="D30" i="28"/>
  <c r="C49" i="28"/>
  <c r="C38" i="28"/>
  <c r="C36" i="28"/>
  <c r="C35" i="28"/>
  <c r="C34" i="28"/>
  <c r="C33" i="28"/>
  <c r="C32" i="28"/>
  <c r="C31" i="28"/>
  <c r="C30" i="28"/>
  <c r="D49" i="29"/>
  <c r="D38" i="29"/>
  <c r="D36" i="29"/>
  <c r="D35" i="29"/>
  <c r="D34" i="29"/>
  <c r="D33" i="29"/>
  <c r="D32" i="29"/>
  <c r="D31" i="29"/>
  <c r="D30" i="29"/>
  <c r="C49" i="29"/>
  <c r="C38" i="29"/>
  <c r="C36" i="29"/>
  <c r="C35" i="29"/>
  <c r="C34" i="29"/>
  <c r="C33" i="29"/>
  <c r="C32" i="29"/>
  <c r="C31" i="29"/>
  <c r="C30" i="29"/>
  <c r="D49" i="30"/>
  <c r="D38" i="30"/>
  <c r="D36" i="30"/>
  <c r="D35" i="30"/>
  <c r="D34" i="30"/>
  <c r="D33" i="30"/>
  <c r="D32" i="30"/>
  <c r="D31" i="30"/>
  <c r="D30" i="30"/>
  <c r="C49" i="30"/>
  <c r="C38" i="30"/>
  <c r="C36" i="30"/>
  <c r="C35" i="30"/>
  <c r="C34" i="30"/>
  <c r="C33" i="30"/>
  <c r="C32" i="30"/>
  <c r="C31" i="30"/>
  <c r="C30" i="30"/>
  <c r="D49" i="31"/>
  <c r="D38" i="31"/>
  <c r="D36" i="31"/>
  <c r="D35" i="31"/>
  <c r="D34" i="31"/>
  <c r="D33" i="31"/>
  <c r="D32" i="31"/>
  <c r="D31" i="31"/>
  <c r="D30" i="31"/>
  <c r="C49" i="31"/>
  <c r="C38" i="31"/>
  <c r="C36" i="31"/>
  <c r="C35" i="31"/>
  <c r="C34" i="31"/>
  <c r="C33" i="31"/>
  <c r="C32" i="31"/>
  <c r="C31" i="31"/>
  <c r="C30" i="31"/>
  <c r="D108" i="32"/>
  <c r="D61" i="32"/>
  <c r="D63" i="32" s="1"/>
  <c r="D71" i="32" s="1"/>
  <c r="D108" i="33"/>
  <c r="D61" i="33"/>
  <c r="D63" i="33" s="1"/>
  <c r="D71" i="33" s="1"/>
  <c r="D108" i="34"/>
  <c r="D61" i="34"/>
  <c r="D63" i="34" s="1"/>
  <c r="D71" i="34" s="1"/>
  <c r="D108" i="35"/>
  <c r="D61" i="35"/>
  <c r="D63" i="35" s="1"/>
  <c r="D71" i="35" s="1"/>
  <c r="D108" i="36"/>
  <c r="D61" i="36"/>
  <c r="D63" i="36" s="1"/>
  <c r="D71" i="36" s="1"/>
  <c r="D108" i="37"/>
  <c r="D61" i="37"/>
  <c r="D63" i="37" s="1"/>
  <c r="D71" i="37" s="1"/>
  <c r="D73" i="37" l="1"/>
  <c r="D73" i="35"/>
  <c r="D78" i="35" s="1"/>
  <c r="D73" i="33"/>
  <c r="D79" i="33" s="1"/>
  <c r="E73" i="15"/>
  <c r="E79" i="15" s="1"/>
  <c r="E73" i="29"/>
  <c r="E73" i="11"/>
  <c r="E79" i="11" s="1"/>
  <c r="E73" i="14"/>
  <c r="E80" i="14" s="1"/>
  <c r="D73" i="24"/>
  <c r="D80" i="24" s="1"/>
  <c r="D73" i="20"/>
  <c r="D73" i="34"/>
  <c r="D78" i="34" s="1"/>
  <c r="D73" i="23"/>
  <c r="D109" i="23" s="1"/>
  <c r="D73" i="21"/>
  <c r="D78" i="21" s="1"/>
  <c r="D73" i="9"/>
  <c r="D79" i="9" s="1"/>
  <c r="D73" i="36"/>
  <c r="D78" i="36" s="1"/>
  <c r="E73" i="17"/>
  <c r="E79" i="17" s="1"/>
  <c r="D73" i="27"/>
  <c r="D78" i="27" s="1"/>
  <c r="E73" i="31"/>
  <c r="E78" i="31" s="1"/>
  <c r="D73" i="32"/>
  <c r="D78" i="32" s="1"/>
  <c r="E73" i="30"/>
  <c r="E109" i="30" s="1"/>
  <c r="E39" i="27"/>
  <c r="E50" i="27" s="1"/>
  <c r="E39" i="23"/>
  <c r="E50" i="23" s="1"/>
  <c r="E73" i="16"/>
  <c r="E109" i="16" s="1"/>
  <c r="D73" i="22"/>
  <c r="D78" i="22" s="1"/>
  <c r="C39" i="31"/>
  <c r="C50" i="31" s="1"/>
  <c r="C52" i="31" s="1"/>
  <c r="C39" i="29"/>
  <c r="C50" i="29" s="1"/>
  <c r="D39" i="26"/>
  <c r="D50" i="26" s="1"/>
  <c r="D52" i="26" s="1"/>
  <c r="D39" i="17"/>
  <c r="D50" i="17" s="1"/>
  <c r="D52" i="17" s="1"/>
  <c r="D39" i="15"/>
  <c r="D50" i="15" s="1"/>
  <c r="D52" i="15" s="1"/>
  <c r="C59" i="18"/>
  <c r="C70" i="18" s="1"/>
  <c r="E59" i="18"/>
  <c r="E70" i="18" s="1"/>
  <c r="D39" i="10"/>
  <c r="D50" i="10" s="1"/>
  <c r="C39" i="8"/>
  <c r="C50" i="8" s="1"/>
  <c r="C52" i="8" s="1"/>
  <c r="E39" i="36"/>
  <c r="E50" i="36" s="1"/>
  <c r="E39" i="34"/>
  <c r="E50" i="34" s="1"/>
  <c r="E52" i="34" s="1"/>
  <c r="E39" i="32"/>
  <c r="E50" i="32" s="1"/>
  <c r="E52" i="32" s="1"/>
  <c r="E39" i="12"/>
  <c r="E50" i="12" s="1"/>
  <c r="D39" i="7"/>
  <c r="D49" i="7" s="1"/>
  <c r="E39" i="7"/>
  <c r="E49" i="7" s="1"/>
  <c r="E51" i="7" s="1"/>
  <c r="D39" i="31"/>
  <c r="D50" i="31" s="1"/>
  <c r="D52" i="31" s="1"/>
  <c r="C39" i="16"/>
  <c r="C50" i="16" s="1"/>
  <c r="C52" i="16" s="1"/>
  <c r="C39" i="14"/>
  <c r="C50" i="14" s="1"/>
  <c r="C39" i="11"/>
  <c r="C50" i="11" s="1"/>
  <c r="C52" i="11" s="1"/>
  <c r="C39" i="35"/>
  <c r="C50" i="35" s="1"/>
  <c r="C39" i="33"/>
  <c r="C50" i="33" s="1"/>
  <c r="C52" i="33" s="1"/>
  <c r="C39" i="13"/>
  <c r="C50" i="13" s="1"/>
  <c r="C39" i="30"/>
  <c r="C50" i="30" s="1"/>
  <c r="C52" i="30" s="1"/>
  <c r="C39" i="28"/>
  <c r="C50" i="28" s="1"/>
  <c r="D39" i="16"/>
  <c r="D50" i="16" s="1"/>
  <c r="D52" i="16" s="1"/>
  <c r="D39" i="14"/>
  <c r="D50" i="14" s="1"/>
  <c r="D39" i="11"/>
  <c r="D50" i="11" s="1"/>
  <c r="D52" i="11" s="1"/>
  <c r="E39" i="8"/>
  <c r="E50" i="8" s="1"/>
  <c r="E52" i="8" s="1"/>
  <c r="E39" i="37"/>
  <c r="E50" i="37" s="1"/>
  <c r="E52" i="37" s="1"/>
  <c r="E39" i="35"/>
  <c r="E50" i="35" s="1"/>
  <c r="E39" i="33"/>
  <c r="E50" i="33" s="1"/>
  <c r="E52" i="33" s="1"/>
  <c r="E39" i="24"/>
  <c r="E50" i="24" s="1"/>
  <c r="C59" i="22"/>
  <c r="C70" i="22" s="1"/>
  <c r="E59" i="22"/>
  <c r="E70" i="22" s="1"/>
  <c r="C59" i="21"/>
  <c r="C70" i="21" s="1"/>
  <c r="E59" i="21"/>
  <c r="E70" i="21" s="1"/>
  <c r="C59" i="20"/>
  <c r="C70" i="20" s="1"/>
  <c r="E59" i="20"/>
  <c r="E70" i="20" s="1"/>
  <c r="E39" i="19"/>
  <c r="E50" i="19" s="1"/>
  <c r="E52" i="19" s="1"/>
  <c r="E39" i="13"/>
  <c r="E50" i="13" s="1"/>
  <c r="E52" i="13" s="1"/>
  <c r="C39" i="9"/>
  <c r="C50" i="9" s="1"/>
  <c r="C52" i="9" s="1"/>
  <c r="D39" i="29"/>
  <c r="D50" i="29" s="1"/>
  <c r="E39" i="26"/>
  <c r="E50" i="26" s="1"/>
  <c r="E52" i="26" s="1"/>
  <c r="D39" i="8"/>
  <c r="D50" i="8" s="1"/>
  <c r="D52" i="8" s="1"/>
  <c r="C39" i="37"/>
  <c r="C50" i="37" s="1"/>
  <c r="C52" i="37" s="1"/>
  <c r="C39" i="24"/>
  <c r="C50" i="24" s="1"/>
  <c r="C39" i="19"/>
  <c r="C50" i="19" s="1"/>
  <c r="C52" i="19" s="1"/>
  <c r="D39" i="30"/>
  <c r="D50" i="30" s="1"/>
  <c r="D52" i="30" s="1"/>
  <c r="D39" i="28"/>
  <c r="D50" i="28" s="1"/>
  <c r="D52" i="28" s="1"/>
  <c r="C39" i="26"/>
  <c r="C50" i="26" s="1"/>
  <c r="C39" i="17"/>
  <c r="C50" i="17" s="1"/>
  <c r="C52" i="17" s="1"/>
  <c r="C39" i="15"/>
  <c r="C50" i="15" s="1"/>
  <c r="C52" i="15" s="1"/>
  <c r="C39" i="10"/>
  <c r="C50" i="10" s="1"/>
  <c r="C52" i="10" s="1"/>
  <c r="C39" i="36"/>
  <c r="C50" i="36" s="1"/>
  <c r="C39" i="34"/>
  <c r="C50" i="34" s="1"/>
  <c r="C52" i="34" s="1"/>
  <c r="C39" i="32"/>
  <c r="C50" i="32" s="1"/>
  <c r="C52" i="32" s="1"/>
  <c r="C39" i="27"/>
  <c r="C50" i="27" s="1"/>
  <c r="C52" i="27" s="1"/>
  <c r="C39" i="23"/>
  <c r="C50" i="23" s="1"/>
  <c r="C39" i="12"/>
  <c r="C50" i="12" s="1"/>
  <c r="C52" i="12" s="1"/>
  <c r="E39" i="9"/>
  <c r="E50" i="9" s="1"/>
  <c r="E52" i="9" s="1"/>
  <c r="E108" i="38"/>
  <c r="E80" i="38"/>
  <c r="E79" i="38"/>
  <c r="E77" i="38"/>
  <c r="E78" i="38"/>
  <c r="D108" i="38"/>
  <c r="D80" i="38"/>
  <c r="D79" i="38"/>
  <c r="D78" i="38"/>
  <c r="D77" i="38"/>
  <c r="D109" i="37"/>
  <c r="D78" i="37"/>
  <c r="D80" i="37"/>
  <c r="D79" i="37"/>
  <c r="D77" i="37"/>
  <c r="D90" i="37"/>
  <c r="D91" i="37" s="1"/>
  <c r="D111" i="37" s="1"/>
  <c r="D109" i="36"/>
  <c r="D77" i="36"/>
  <c r="D90" i="36"/>
  <c r="D91" i="36" s="1"/>
  <c r="D111" i="36" s="1"/>
  <c r="D109" i="35"/>
  <c r="D80" i="35"/>
  <c r="D79" i="35"/>
  <c r="D77" i="35"/>
  <c r="D90" i="35"/>
  <c r="D91" i="35" s="1"/>
  <c r="D111" i="35" s="1"/>
  <c r="D109" i="34"/>
  <c r="D80" i="34"/>
  <c r="D77" i="34"/>
  <c r="D90" i="34"/>
  <c r="D91" i="34" s="1"/>
  <c r="D111" i="34" s="1"/>
  <c r="D78" i="33"/>
  <c r="D80" i="33"/>
  <c r="D90" i="33"/>
  <c r="D91" i="33" s="1"/>
  <c r="D111" i="33" s="1"/>
  <c r="D80" i="32"/>
  <c r="D90" i="32"/>
  <c r="D91" i="32" s="1"/>
  <c r="D111" i="32" s="1"/>
  <c r="C62" i="31"/>
  <c r="C58" i="31"/>
  <c r="C57" i="31"/>
  <c r="D62" i="31"/>
  <c r="D58" i="31"/>
  <c r="D57" i="31"/>
  <c r="C62" i="30"/>
  <c r="C58" i="30"/>
  <c r="C57" i="30"/>
  <c r="D62" i="30"/>
  <c r="D58" i="30"/>
  <c r="D57" i="30"/>
  <c r="C62" i="29"/>
  <c r="C58" i="29"/>
  <c r="C57" i="29"/>
  <c r="C52" i="29"/>
  <c r="D62" i="29"/>
  <c r="D58" i="29"/>
  <c r="D57" i="29"/>
  <c r="D52" i="29"/>
  <c r="C62" i="28"/>
  <c r="C58" i="28"/>
  <c r="C57" i="28"/>
  <c r="C52" i="28"/>
  <c r="D62" i="28"/>
  <c r="D58" i="28"/>
  <c r="D57" i="28"/>
  <c r="D90" i="27"/>
  <c r="D91" i="27" s="1"/>
  <c r="D111" i="27" s="1"/>
  <c r="C62" i="26"/>
  <c r="C58" i="26"/>
  <c r="C57" i="26"/>
  <c r="C59" i="26" s="1"/>
  <c r="C70" i="26" s="1"/>
  <c r="C52" i="26"/>
  <c r="D62" i="26"/>
  <c r="D58" i="26"/>
  <c r="D57" i="26"/>
  <c r="D59" i="26" s="1"/>
  <c r="D70" i="26" s="1"/>
  <c r="E62" i="26"/>
  <c r="E58" i="26"/>
  <c r="E57" i="26"/>
  <c r="D90" i="24"/>
  <c r="D91" i="24" s="1"/>
  <c r="D111" i="24" s="1"/>
  <c r="D90" i="23"/>
  <c r="D91" i="23" s="1"/>
  <c r="D111" i="23" s="1"/>
  <c r="D109" i="22"/>
  <c r="D80" i="22"/>
  <c r="D90" i="22"/>
  <c r="D91" i="22" s="1"/>
  <c r="D111" i="22" s="1"/>
  <c r="D90" i="21"/>
  <c r="D91" i="21" s="1"/>
  <c r="D111" i="21" s="1"/>
  <c r="D109" i="20"/>
  <c r="D78" i="20"/>
  <c r="D80" i="20"/>
  <c r="D79" i="20"/>
  <c r="D77" i="20"/>
  <c r="D90" i="20"/>
  <c r="D91" i="20" s="1"/>
  <c r="D111" i="20" s="1"/>
  <c r="D109" i="19"/>
  <c r="D78" i="19"/>
  <c r="D80" i="19"/>
  <c r="D79" i="19"/>
  <c r="D77" i="19"/>
  <c r="D90" i="19"/>
  <c r="D91" i="19" s="1"/>
  <c r="D111" i="19" s="1"/>
  <c r="D109" i="18"/>
  <c r="D78" i="18"/>
  <c r="D80" i="18"/>
  <c r="D79" i="18"/>
  <c r="D77" i="18"/>
  <c r="D90" i="18"/>
  <c r="D91" i="18" s="1"/>
  <c r="D111" i="18" s="1"/>
  <c r="C62" i="17"/>
  <c r="C58" i="17"/>
  <c r="C57" i="17"/>
  <c r="D62" i="17"/>
  <c r="D58" i="17"/>
  <c r="D57" i="17"/>
  <c r="C62" i="16"/>
  <c r="C58" i="16"/>
  <c r="C57" i="16"/>
  <c r="C59" i="16" s="1"/>
  <c r="C70" i="16" s="1"/>
  <c r="D62" i="16"/>
  <c r="D58" i="16"/>
  <c r="D57" i="16"/>
  <c r="C62" i="15"/>
  <c r="C58" i="15"/>
  <c r="C57" i="15"/>
  <c r="D62" i="15"/>
  <c r="D58" i="15"/>
  <c r="D57" i="15"/>
  <c r="C62" i="14"/>
  <c r="C58" i="14"/>
  <c r="C57" i="14"/>
  <c r="C52" i="14"/>
  <c r="D62" i="14"/>
  <c r="D58" i="14"/>
  <c r="D57" i="14"/>
  <c r="D52" i="14"/>
  <c r="D109" i="13"/>
  <c r="D78" i="13"/>
  <c r="D80" i="13"/>
  <c r="D79" i="13"/>
  <c r="D77" i="13"/>
  <c r="D90" i="13"/>
  <c r="D91" i="13" s="1"/>
  <c r="D111" i="13" s="1"/>
  <c r="D109" i="12"/>
  <c r="D78" i="12"/>
  <c r="D80" i="12"/>
  <c r="D79" i="12"/>
  <c r="D77" i="12"/>
  <c r="D90" i="12"/>
  <c r="D91" i="12" s="1"/>
  <c r="D111" i="12" s="1"/>
  <c r="C62" i="11"/>
  <c r="C58" i="11"/>
  <c r="C57" i="11"/>
  <c r="D62" i="11"/>
  <c r="D58" i="11"/>
  <c r="D57" i="11"/>
  <c r="C62" i="10"/>
  <c r="C58" i="10"/>
  <c r="C57" i="10"/>
  <c r="D62" i="10"/>
  <c r="D58" i="10"/>
  <c r="D57" i="10"/>
  <c r="D59" i="10" s="1"/>
  <c r="D70" i="10" s="1"/>
  <c r="D52" i="10"/>
  <c r="D80" i="9"/>
  <c r="D90" i="9"/>
  <c r="D91" i="9" s="1"/>
  <c r="D111" i="9" s="1"/>
  <c r="C62" i="8"/>
  <c r="C58" i="8"/>
  <c r="C57" i="8"/>
  <c r="D62" i="8"/>
  <c r="D58" i="8"/>
  <c r="D57" i="8"/>
  <c r="E62" i="8"/>
  <c r="E58" i="8"/>
  <c r="E57" i="8"/>
  <c r="D61" i="7"/>
  <c r="D57" i="7"/>
  <c r="D56" i="7"/>
  <c r="D51" i="7"/>
  <c r="E61" i="7"/>
  <c r="E57" i="7"/>
  <c r="E56" i="7"/>
  <c r="C62" i="37"/>
  <c r="C58" i="37"/>
  <c r="C57" i="37"/>
  <c r="E62" i="37"/>
  <c r="E58" i="37"/>
  <c r="E57" i="37"/>
  <c r="E59" i="37" s="1"/>
  <c r="E70" i="37" s="1"/>
  <c r="C62" i="36"/>
  <c r="C58" i="36"/>
  <c r="C57" i="36"/>
  <c r="C52" i="36"/>
  <c r="E62" i="36"/>
  <c r="E58" i="36"/>
  <c r="E57" i="36"/>
  <c r="E52" i="36"/>
  <c r="C62" i="35"/>
  <c r="C58" i="35"/>
  <c r="C57" i="35"/>
  <c r="C52" i="35"/>
  <c r="E62" i="35"/>
  <c r="E58" i="35"/>
  <c r="E57" i="35"/>
  <c r="E52" i="35"/>
  <c r="C62" i="34"/>
  <c r="C58" i="34"/>
  <c r="C57" i="34"/>
  <c r="E62" i="34"/>
  <c r="E58" i="34"/>
  <c r="E57" i="34"/>
  <c r="C62" i="33"/>
  <c r="C58" i="33"/>
  <c r="C57" i="33"/>
  <c r="E62" i="33"/>
  <c r="E58" i="33"/>
  <c r="E57" i="33"/>
  <c r="C62" i="32"/>
  <c r="C58" i="32"/>
  <c r="C57" i="32"/>
  <c r="C59" i="32" s="1"/>
  <c r="C70" i="32" s="1"/>
  <c r="E62" i="32"/>
  <c r="E58" i="32"/>
  <c r="E57" i="32"/>
  <c r="E109" i="31"/>
  <c r="E77" i="31"/>
  <c r="E109" i="29"/>
  <c r="E78" i="29"/>
  <c r="E80" i="29"/>
  <c r="E79" i="29"/>
  <c r="E77" i="29"/>
  <c r="E109" i="28"/>
  <c r="E78" i="28"/>
  <c r="E80" i="28"/>
  <c r="E79" i="28"/>
  <c r="E77" i="28"/>
  <c r="C62" i="27"/>
  <c r="C58" i="27"/>
  <c r="C57" i="27"/>
  <c r="C59" i="27" s="1"/>
  <c r="C70" i="27" s="1"/>
  <c r="E62" i="27"/>
  <c r="E58" i="27"/>
  <c r="E57" i="27"/>
  <c r="E52" i="27"/>
  <c r="C62" i="24"/>
  <c r="C58" i="24"/>
  <c r="C57" i="24"/>
  <c r="C52" i="24"/>
  <c r="E62" i="24"/>
  <c r="E58" i="24"/>
  <c r="E57" i="24"/>
  <c r="E52" i="24"/>
  <c r="C62" i="23"/>
  <c r="C58" i="23"/>
  <c r="C57" i="23"/>
  <c r="C52" i="23"/>
  <c r="E62" i="23"/>
  <c r="E58" i="23"/>
  <c r="E57" i="23"/>
  <c r="E52" i="23"/>
  <c r="C108" i="22"/>
  <c r="C61" i="22"/>
  <c r="C63" i="22" s="1"/>
  <c r="C71" i="22" s="1"/>
  <c r="E108" i="22"/>
  <c r="E61" i="22"/>
  <c r="E63" i="22" s="1"/>
  <c r="E71" i="22" s="1"/>
  <c r="C108" i="21"/>
  <c r="C61" i="21"/>
  <c r="C63" i="21" s="1"/>
  <c r="C71" i="21" s="1"/>
  <c r="E108" i="21"/>
  <c r="E61" i="21"/>
  <c r="E63" i="21" s="1"/>
  <c r="E71" i="21" s="1"/>
  <c r="C108" i="20"/>
  <c r="C61" i="20"/>
  <c r="C63" i="20" s="1"/>
  <c r="C71" i="20" s="1"/>
  <c r="E108" i="20"/>
  <c r="E61" i="20"/>
  <c r="E63" i="20" s="1"/>
  <c r="E71" i="20" s="1"/>
  <c r="C62" i="19"/>
  <c r="C58" i="19"/>
  <c r="C57" i="19"/>
  <c r="E62" i="19"/>
  <c r="E58" i="19"/>
  <c r="E57" i="19"/>
  <c r="C108" i="18"/>
  <c r="C61" i="18"/>
  <c r="C63" i="18" s="1"/>
  <c r="C71" i="18" s="1"/>
  <c r="E108" i="18"/>
  <c r="E61" i="18"/>
  <c r="E63" i="18" s="1"/>
  <c r="E71" i="18" s="1"/>
  <c r="E77" i="17"/>
  <c r="E78" i="16"/>
  <c r="E77" i="15"/>
  <c r="E77" i="14"/>
  <c r="C62" i="13"/>
  <c r="C58" i="13"/>
  <c r="C57" i="13"/>
  <c r="C52" i="13"/>
  <c r="E62" i="13"/>
  <c r="E58" i="13"/>
  <c r="E57" i="13"/>
  <c r="C62" i="12"/>
  <c r="C58" i="12"/>
  <c r="C57" i="12"/>
  <c r="E62" i="12"/>
  <c r="E58" i="12"/>
  <c r="E57" i="12"/>
  <c r="E52" i="12"/>
  <c r="E109" i="11"/>
  <c r="E78" i="11"/>
  <c r="E80" i="11"/>
  <c r="E77" i="11"/>
  <c r="E109" i="10"/>
  <c r="E78" i="10"/>
  <c r="E80" i="10"/>
  <c r="E79" i="10"/>
  <c r="E77" i="10"/>
  <c r="C62" i="9"/>
  <c r="C58" i="9"/>
  <c r="C57" i="9"/>
  <c r="C59" i="9" s="1"/>
  <c r="C70" i="9" s="1"/>
  <c r="E62" i="9"/>
  <c r="E58" i="9"/>
  <c r="E57" i="9"/>
  <c r="E80" i="15" l="1"/>
  <c r="E78" i="15"/>
  <c r="E82" i="15" s="1"/>
  <c r="E79" i="30"/>
  <c r="D77" i="21"/>
  <c r="D109" i="33"/>
  <c r="E78" i="14"/>
  <c r="E82" i="14" s="1"/>
  <c r="E100" i="14" s="1"/>
  <c r="E109" i="17"/>
  <c r="D77" i="33"/>
  <c r="E109" i="14"/>
  <c r="E109" i="15"/>
  <c r="C73" i="21"/>
  <c r="E80" i="30"/>
  <c r="D80" i="23"/>
  <c r="D79" i="36"/>
  <c r="D82" i="36" s="1"/>
  <c r="E79" i="14"/>
  <c r="E80" i="17"/>
  <c r="E78" i="30"/>
  <c r="D109" i="21"/>
  <c r="D78" i="24"/>
  <c r="E79" i="16"/>
  <c r="E78" i="17"/>
  <c r="D79" i="23"/>
  <c r="D82" i="23" s="1"/>
  <c r="D79" i="34"/>
  <c r="D80" i="36"/>
  <c r="D79" i="21"/>
  <c r="D77" i="24"/>
  <c r="D82" i="24" s="1"/>
  <c r="D110" i="24" s="1"/>
  <c r="D112" i="24" s="1"/>
  <c r="D109" i="24"/>
  <c r="D77" i="27"/>
  <c r="D80" i="21"/>
  <c r="D77" i="22"/>
  <c r="D78" i="23"/>
  <c r="D79" i="24"/>
  <c r="D79" i="27"/>
  <c r="D79" i="22"/>
  <c r="D77" i="23"/>
  <c r="D109" i="27"/>
  <c r="D59" i="30"/>
  <c r="D70" i="30" s="1"/>
  <c r="C73" i="18"/>
  <c r="C79" i="18" s="1"/>
  <c r="E73" i="20"/>
  <c r="E79" i="20" s="1"/>
  <c r="E79" i="31"/>
  <c r="D78" i="9"/>
  <c r="C73" i="22"/>
  <c r="C79" i="22" s="1"/>
  <c r="E73" i="22"/>
  <c r="E79" i="22" s="1"/>
  <c r="E80" i="31"/>
  <c r="D77" i="9"/>
  <c r="D109" i="9"/>
  <c r="D80" i="27"/>
  <c r="C73" i="20"/>
  <c r="C80" i="20" s="1"/>
  <c r="E77" i="30"/>
  <c r="D77" i="32"/>
  <c r="D109" i="32"/>
  <c r="E80" i="16"/>
  <c r="E59" i="32"/>
  <c r="E70" i="32" s="1"/>
  <c r="C59" i="34"/>
  <c r="C70" i="34" s="1"/>
  <c r="E59" i="35"/>
  <c r="E70" i="35" s="1"/>
  <c r="C59" i="35"/>
  <c r="C70" i="35" s="1"/>
  <c r="C73" i="35" s="1"/>
  <c r="E59" i="36"/>
  <c r="E70" i="36" s="1"/>
  <c r="C59" i="36"/>
  <c r="C70" i="36" s="1"/>
  <c r="C59" i="10"/>
  <c r="C70" i="10" s="1"/>
  <c r="D59" i="16"/>
  <c r="D70" i="16" s="1"/>
  <c r="D79" i="32"/>
  <c r="E77" i="16"/>
  <c r="E82" i="16" s="1"/>
  <c r="E59" i="23"/>
  <c r="E70" i="23" s="1"/>
  <c r="C59" i="23"/>
  <c r="C70" i="23" s="1"/>
  <c r="E59" i="24"/>
  <c r="E70" i="24" s="1"/>
  <c r="C59" i="24"/>
  <c r="C70" i="24" s="1"/>
  <c r="E59" i="27"/>
  <c r="E70" i="27" s="1"/>
  <c r="D59" i="17"/>
  <c r="D70" i="17" s="1"/>
  <c r="E59" i="26"/>
  <c r="E70" i="26" s="1"/>
  <c r="D59" i="28"/>
  <c r="D70" i="28" s="1"/>
  <c r="C59" i="28"/>
  <c r="C70" i="28" s="1"/>
  <c r="D59" i="29"/>
  <c r="D70" i="29" s="1"/>
  <c r="C59" i="29"/>
  <c r="C70" i="29" s="1"/>
  <c r="E59" i="9"/>
  <c r="E70" i="9" s="1"/>
  <c r="E73" i="18"/>
  <c r="E77" i="18" s="1"/>
  <c r="C59" i="19"/>
  <c r="C70" i="19" s="1"/>
  <c r="E73" i="21"/>
  <c r="E77" i="21" s="1"/>
  <c r="E82" i="31"/>
  <c r="E110" i="31" s="1"/>
  <c r="E112" i="31" s="1"/>
  <c r="C59" i="33"/>
  <c r="C70" i="33" s="1"/>
  <c r="E59" i="34"/>
  <c r="E70" i="34" s="1"/>
  <c r="C59" i="11"/>
  <c r="C70" i="11" s="1"/>
  <c r="D59" i="14"/>
  <c r="D70" i="14" s="1"/>
  <c r="C59" i="14"/>
  <c r="C70" i="14" s="1"/>
  <c r="D59" i="15"/>
  <c r="D70" i="15" s="1"/>
  <c r="C59" i="15"/>
  <c r="C70" i="15" s="1"/>
  <c r="E59" i="12"/>
  <c r="E70" i="12" s="1"/>
  <c r="C59" i="12"/>
  <c r="C70" i="12" s="1"/>
  <c r="E59" i="13"/>
  <c r="E70" i="13" s="1"/>
  <c r="C59" i="13"/>
  <c r="C70" i="13" s="1"/>
  <c r="E59" i="19"/>
  <c r="E70" i="19" s="1"/>
  <c r="E73" i="19" s="1"/>
  <c r="E59" i="33"/>
  <c r="E70" i="33" s="1"/>
  <c r="C59" i="37"/>
  <c r="C70" i="37" s="1"/>
  <c r="E58" i="7"/>
  <c r="E69" i="7" s="1"/>
  <c r="D58" i="7"/>
  <c r="D69" i="7" s="1"/>
  <c r="E59" i="8"/>
  <c r="E70" i="8" s="1"/>
  <c r="D59" i="8"/>
  <c r="D70" i="8" s="1"/>
  <c r="C59" i="8"/>
  <c r="C70" i="8" s="1"/>
  <c r="D59" i="11"/>
  <c r="D70" i="11" s="1"/>
  <c r="C59" i="17"/>
  <c r="C70" i="17" s="1"/>
  <c r="D82" i="18"/>
  <c r="D110" i="18" s="1"/>
  <c r="D112" i="18" s="1"/>
  <c r="D82" i="20"/>
  <c r="D98" i="20" s="1"/>
  <c r="D82" i="22"/>
  <c r="D110" i="22" s="1"/>
  <c r="D112" i="22" s="1"/>
  <c r="C59" i="30"/>
  <c r="C70" i="30" s="1"/>
  <c r="D59" i="31"/>
  <c r="D70" i="31" s="1"/>
  <c r="C59" i="31"/>
  <c r="C70" i="31" s="1"/>
  <c r="D82" i="34"/>
  <c r="D98" i="34" s="1"/>
  <c r="D82" i="9"/>
  <c r="D110" i="9" s="1"/>
  <c r="D82" i="13"/>
  <c r="D100" i="13" s="1"/>
  <c r="D82" i="19"/>
  <c r="D98" i="19" s="1"/>
  <c r="E82" i="28"/>
  <c r="E99" i="28" s="1"/>
  <c r="E82" i="29"/>
  <c r="E100" i="29" s="1"/>
  <c r="D82" i="33"/>
  <c r="D110" i="33" s="1"/>
  <c r="D112" i="33" s="1"/>
  <c r="D82" i="35"/>
  <c r="D99" i="35" s="1"/>
  <c r="D82" i="37"/>
  <c r="D100" i="37" s="1"/>
  <c r="E82" i="10"/>
  <c r="E110" i="10" s="1"/>
  <c r="E112" i="10" s="1"/>
  <c r="D82" i="38"/>
  <c r="E82" i="11"/>
  <c r="E110" i="11" s="1"/>
  <c r="E112" i="11" s="1"/>
  <c r="D82" i="12"/>
  <c r="D110" i="12" s="1"/>
  <c r="D112" i="12" s="1"/>
  <c r="E82" i="38"/>
  <c r="E108" i="9"/>
  <c r="E61" i="9"/>
  <c r="E63" i="9" s="1"/>
  <c r="E71" i="9" s="1"/>
  <c r="C108" i="9"/>
  <c r="C61" i="9"/>
  <c r="C63" i="9" s="1"/>
  <c r="C71" i="9" s="1"/>
  <c r="C73" i="9" s="1"/>
  <c r="E108" i="12"/>
  <c r="E61" i="12"/>
  <c r="E63" i="12" s="1"/>
  <c r="E71" i="12" s="1"/>
  <c r="C108" i="12"/>
  <c r="C61" i="12"/>
  <c r="C63" i="12" s="1"/>
  <c r="C71" i="12" s="1"/>
  <c r="E108" i="13"/>
  <c r="E61" i="13"/>
  <c r="E63" i="13" s="1"/>
  <c r="E71" i="13" s="1"/>
  <c r="C108" i="13"/>
  <c r="C61" i="13"/>
  <c r="C63" i="13" s="1"/>
  <c r="C71" i="13" s="1"/>
  <c r="E78" i="18"/>
  <c r="E108" i="19"/>
  <c r="E61" i="19"/>
  <c r="E63" i="19" s="1"/>
  <c r="E71" i="19" s="1"/>
  <c r="C108" i="19"/>
  <c r="C61" i="19"/>
  <c r="C63" i="19" s="1"/>
  <c r="C71" i="19" s="1"/>
  <c r="E80" i="20"/>
  <c r="E77" i="20"/>
  <c r="C109" i="20"/>
  <c r="C79" i="20"/>
  <c r="C78" i="20"/>
  <c r="C109" i="21"/>
  <c r="C80" i="21"/>
  <c r="C79" i="21"/>
  <c r="C77" i="21"/>
  <c r="C78" i="21"/>
  <c r="E80" i="22"/>
  <c r="E77" i="22"/>
  <c r="E108" i="23"/>
  <c r="E61" i="23"/>
  <c r="E63" i="23" s="1"/>
  <c r="E71" i="23" s="1"/>
  <c r="C108" i="23"/>
  <c r="C61" i="23"/>
  <c r="C63" i="23" s="1"/>
  <c r="C71" i="23" s="1"/>
  <c r="C73" i="23" s="1"/>
  <c r="E108" i="24"/>
  <c r="E61" i="24"/>
  <c r="E63" i="24" s="1"/>
  <c r="E71" i="24" s="1"/>
  <c r="C108" i="24"/>
  <c r="C61" i="24"/>
  <c r="C63" i="24" s="1"/>
  <c r="C71" i="24" s="1"/>
  <c r="E108" i="27"/>
  <c r="E61" i="27"/>
  <c r="E63" i="27" s="1"/>
  <c r="E71" i="27" s="1"/>
  <c r="C108" i="27"/>
  <c r="C61" i="27"/>
  <c r="C63" i="27" s="1"/>
  <c r="C71" i="27" s="1"/>
  <c r="C73" i="27" s="1"/>
  <c r="E98" i="31"/>
  <c r="E108" i="32"/>
  <c r="E61" i="32"/>
  <c r="E63" i="32" s="1"/>
  <c r="E71" i="32" s="1"/>
  <c r="C108" i="32"/>
  <c r="C61" i="32"/>
  <c r="C63" i="32" s="1"/>
  <c r="C71" i="32" s="1"/>
  <c r="C73" i="32" s="1"/>
  <c r="E108" i="33"/>
  <c r="E61" i="33"/>
  <c r="E63" i="33" s="1"/>
  <c r="E71" i="33" s="1"/>
  <c r="C108" i="33"/>
  <c r="C61" i="33"/>
  <c r="C63" i="33" s="1"/>
  <c r="C71" i="33" s="1"/>
  <c r="E108" i="34"/>
  <c r="E61" i="34"/>
  <c r="E63" i="34" s="1"/>
  <c r="E71" i="34" s="1"/>
  <c r="C108" i="34"/>
  <c r="C61" i="34"/>
  <c r="C63" i="34" s="1"/>
  <c r="C71" i="34" s="1"/>
  <c r="E108" i="35"/>
  <c r="E61" i="35"/>
  <c r="E63" i="35" s="1"/>
  <c r="E71" i="35" s="1"/>
  <c r="C108" i="35"/>
  <c r="C61" i="35"/>
  <c r="C63" i="35" s="1"/>
  <c r="C71" i="35" s="1"/>
  <c r="E108" i="36"/>
  <c r="E61" i="36"/>
  <c r="E63" i="36" s="1"/>
  <c r="E71" i="36" s="1"/>
  <c r="C108" i="36"/>
  <c r="C61" i="36"/>
  <c r="C63" i="36" s="1"/>
  <c r="C71" i="36" s="1"/>
  <c r="E108" i="37"/>
  <c r="E61" i="37"/>
  <c r="E63" i="37" s="1"/>
  <c r="E71" i="37" s="1"/>
  <c r="E73" i="37" s="1"/>
  <c r="C108" i="37"/>
  <c r="C61" i="37"/>
  <c r="C63" i="37" s="1"/>
  <c r="C71" i="37" s="1"/>
  <c r="E106" i="7"/>
  <c r="E60" i="7"/>
  <c r="E62" i="7" s="1"/>
  <c r="E70" i="7" s="1"/>
  <c r="D106" i="7"/>
  <c r="D60" i="7"/>
  <c r="D62" i="7" s="1"/>
  <c r="D70" i="7" s="1"/>
  <c r="E108" i="8"/>
  <c r="E61" i="8"/>
  <c r="E63" i="8" s="1"/>
  <c r="E71" i="8" s="1"/>
  <c r="D108" i="8"/>
  <c r="D61" i="8"/>
  <c r="D63" i="8" s="1"/>
  <c r="D71" i="8" s="1"/>
  <c r="C108" i="8"/>
  <c r="C61" i="8"/>
  <c r="C63" i="8" s="1"/>
  <c r="C71" i="8" s="1"/>
  <c r="D100" i="9"/>
  <c r="D108" i="10"/>
  <c r="D61" i="10"/>
  <c r="D63" i="10" s="1"/>
  <c r="D71" i="10" s="1"/>
  <c r="D73" i="10" s="1"/>
  <c r="C108" i="10"/>
  <c r="C61" i="10"/>
  <c r="C63" i="10" s="1"/>
  <c r="C71" i="10" s="1"/>
  <c r="D108" i="11"/>
  <c r="D61" i="11"/>
  <c r="D63" i="11" s="1"/>
  <c r="D71" i="11" s="1"/>
  <c r="C108" i="11"/>
  <c r="C61" i="11"/>
  <c r="C63" i="11" s="1"/>
  <c r="C71" i="11" s="1"/>
  <c r="D95" i="12"/>
  <c r="D108" i="14"/>
  <c r="D61" i="14"/>
  <c r="D63" i="14" s="1"/>
  <c r="D71" i="14" s="1"/>
  <c r="D73" i="14" s="1"/>
  <c r="C108" i="14"/>
  <c r="C61" i="14"/>
  <c r="C63" i="14" s="1"/>
  <c r="C71" i="14" s="1"/>
  <c r="D108" i="15"/>
  <c r="D61" i="15"/>
  <c r="D63" i="15" s="1"/>
  <c r="D71" i="15" s="1"/>
  <c r="D73" i="15" s="1"/>
  <c r="C108" i="15"/>
  <c r="C61" i="15"/>
  <c r="C63" i="15" s="1"/>
  <c r="C71" i="15" s="1"/>
  <c r="D108" i="16"/>
  <c r="D61" i="16"/>
  <c r="D63" i="16" s="1"/>
  <c r="D71" i="16" s="1"/>
  <c r="D73" i="16" s="1"/>
  <c r="C108" i="16"/>
  <c r="C61" i="16"/>
  <c r="C63" i="16" s="1"/>
  <c r="C71" i="16" s="1"/>
  <c r="C73" i="16" s="1"/>
  <c r="D108" i="17"/>
  <c r="D61" i="17"/>
  <c r="D63" i="17" s="1"/>
  <c r="D71" i="17" s="1"/>
  <c r="D73" i="17" s="1"/>
  <c r="C108" i="17"/>
  <c r="C61" i="17"/>
  <c r="C63" i="17" s="1"/>
  <c r="C71" i="17" s="1"/>
  <c r="D95" i="18"/>
  <c r="E108" i="26"/>
  <c r="E61" i="26"/>
  <c r="E63" i="26" s="1"/>
  <c r="E71" i="26" s="1"/>
  <c r="E73" i="26" s="1"/>
  <c r="D108" i="26"/>
  <c r="D61" i="26"/>
  <c r="D63" i="26" s="1"/>
  <c r="D71" i="26" s="1"/>
  <c r="D73" i="26" s="1"/>
  <c r="C108" i="26"/>
  <c r="C61" i="26"/>
  <c r="C63" i="26" s="1"/>
  <c r="C71" i="26" s="1"/>
  <c r="C73" i="26" s="1"/>
  <c r="D108" i="28"/>
  <c r="D61" i="28"/>
  <c r="D63" i="28" s="1"/>
  <c r="D71" i="28" s="1"/>
  <c r="C108" i="28"/>
  <c r="C61" i="28"/>
  <c r="C63" i="28" s="1"/>
  <c r="C71" i="28" s="1"/>
  <c r="D108" i="29"/>
  <c r="D61" i="29"/>
  <c r="D63" i="29" s="1"/>
  <c r="D71" i="29" s="1"/>
  <c r="C108" i="29"/>
  <c r="C61" i="29"/>
  <c r="C63" i="29" s="1"/>
  <c r="C71" i="29" s="1"/>
  <c r="D108" i="30"/>
  <c r="D61" i="30"/>
  <c r="D63" i="30" s="1"/>
  <c r="D71" i="30" s="1"/>
  <c r="C108" i="30"/>
  <c r="C61" i="30"/>
  <c r="C63" i="30" s="1"/>
  <c r="C71" i="30" s="1"/>
  <c r="D108" i="31"/>
  <c r="D61" i="31"/>
  <c r="D63" i="31" s="1"/>
  <c r="D71" i="31" s="1"/>
  <c r="C108" i="31"/>
  <c r="C61" i="31"/>
  <c r="C63" i="31" s="1"/>
  <c r="C71" i="31" s="1"/>
  <c r="D99" i="33"/>
  <c r="D98" i="36" l="1"/>
  <c r="D96" i="36"/>
  <c r="D100" i="36"/>
  <c r="E98" i="15"/>
  <c r="E95" i="15"/>
  <c r="C80" i="22"/>
  <c r="E73" i="12"/>
  <c r="D95" i="34"/>
  <c r="D98" i="22"/>
  <c r="D99" i="12"/>
  <c r="C73" i="36"/>
  <c r="C77" i="20"/>
  <c r="C82" i="20" s="1"/>
  <c r="D98" i="18"/>
  <c r="E96" i="28"/>
  <c r="C73" i="19"/>
  <c r="C80" i="18"/>
  <c r="E82" i="30"/>
  <c r="E110" i="30" s="1"/>
  <c r="E112" i="30" s="1"/>
  <c r="D82" i="21"/>
  <c r="D110" i="21" s="1"/>
  <c r="D112" i="21" s="1"/>
  <c r="E82" i="17"/>
  <c r="E98" i="16"/>
  <c r="E95" i="16"/>
  <c r="D100" i="23"/>
  <c r="D97" i="23"/>
  <c r="D99" i="23"/>
  <c r="E100" i="17"/>
  <c r="E97" i="17"/>
  <c r="D95" i="22"/>
  <c r="D99" i="22"/>
  <c r="E99" i="31"/>
  <c r="C73" i="24"/>
  <c r="C109" i="24" s="1"/>
  <c r="C78" i="22"/>
  <c r="D82" i="32"/>
  <c r="D95" i="32" s="1"/>
  <c r="D99" i="34"/>
  <c r="D96" i="22"/>
  <c r="D100" i="22"/>
  <c r="D98" i="13"/>
  <c r="E73" i="36"/>
  <c r="E96" i="31"/>
  <c r="E100" i="31"/>
  <c r="C77" i="22"/>
  <c r="C77" i="18"/>
  <c r="E95" i="10"/>
  <c r="D97" i="34"/>
  <c r="C73" i="34"/>
  <c r="C80" i="34" s="1"/>
  <c r="E95" i="31"/>
  <c r="C109" i="22"/>
  <c r="C78" i="18"/>
  <c r="C109" i="18"/>
  <c r="D112" i="9"/>
  <c r="D110" i="34"/>
  <c r="D112" i="34" s="1"/>
  <c r="D73" i="28"/>
  <c r="D77" i="28" s="1"/>
  <c r="D97" i="22"/>
  <c r="D73" i="11"/>
  <c r="E97" i="31"/>
  <c r="E73" i="23"/>
  <c r="E109" i="23" s="1"/>
  <c r="C73" i="10"/>
  <c r="C79" i="10" s="1"/>
  <c r="D96" i="35"/>
  <c r="D110" i="23"/>
  <c r="D112" i="23" s="1"/>
  <c r="D99" i="18"/>
  <c r="D96" i="9"/>
  <c r="D82" i="27"/>
  <c r="D97" i="27" s="1"/>
  <c r="D95" i="33"/>
  <c r="D73" i="31"/>
  <c r="D79" i="31" s="1"/>
  <c r="D73" i="30"/>
  <c r="D73" i="29"/>
  <c r="D79" i="29" s="1"/>
  <c r="D95" i="23"/>
  <c r="D99" i="19"/>
  <c r="D98" i="9"/>
  <c r="D99" i="27"/>
  <c r="C73" i="15"/>
  <c r="C109" i="15" s="1"/>
  <c r="D99" i="36"/>
  <c r="D98" i="33"/>
  <c r="D98" i="23"/>
  <c r="D99" i="20"/>
  <c r="D95" i="9"/>
  <c r="D99" i="9"/>
  <c r="E73" i="32"/>
  <c r="E77" i="32" s="1"/>
  <c r="E78" i="22"/>
  <c r="E82" i="22" s="1"/>
  <c r="E109" i="22"/>
  <c r="E78" i="20"/>
  <c r="E82" i="20" s="1"/>
  <c r="E109" i="20"/>
  <c r="E109" i="18"/>
  <c r="D95" i="36"/>
  <c r="C73" i="30"/>
  <c r="C77" i="30" s="1"/>
  <c r="C73" i="29"/>
  <c r="C109" i="29" s="1"/>
  <c r="C73" i="28"/>
  <c r="C79" i="28" s="1"/>
  <c r="D96" i="23"/>
  <c r="D97" i="9"/>
  <c r="E79" i="21"/>
  <c r="E98" i="17"/>
  <c r="E99" i="10"/>
  <c r="D72" i="7"/>
  <c r="D107" i="7" s="1"/>
  <c r="D96" i="32"/>
  <c r="D98" i="32"/>
  <c r="D97" i="32"/>
  <c r="E79" i="18"/>
  <c r="E99" i="16"/>
  <c r="C73" i="12"/>
  <c r="C77" i="12" s="1"/>
  <c r="C73" i="13"/>
  <c r="C79" i="13" s="1"/>
  <c r="D96" i="34"/>
  <c r="D100" i="34"/>
  <c r="D95" i="20"/>
  <c r="D110" i="13"/>
  <c r="D112" i="13" s="1"/>
  <c r="C73" i="11"/>
  <c r="C80" i="11" s="1"/>
  <c r="C73" i="8"/>
  <c r="C80" i="8" s="1"/>
  <c r="E73" i="8"/>
  <c r="E109" i="8" s="1"/>
  <c r="E72" i="7"/>
  <c r="E76" i="7" s="1"/>
  <c r="C73" i="33"/>
  <c r="C77" i="33" s="1"/>
  <c r="E99" i="30"/>
  <c r="E73" i="27"/>
  <c r="E109" i="27" s="1"/>
  <c r="E73" i="24"/>
  <c r="E79" i="24" s="1"/>
  <c r="E80" i="18"/>
  <c r="E110" i="17"/>
  <c r="E112" i="17" s="1"/>
  <c r="E100" i="16"/>
  <c r="E98" i="10"/>
  <c r="E73" i="9"/>
  <c r="E79" i="9" s="1"/>
  <c r="C73" i="37"/>
  <c r="C109" i="37" s="1"/>
  <c r="D100" i="35"/>
  <c r="C73" i="17"/>
  <c r="C79" i="17" s="1"/>
  <c r="C73" i="14"/>
  <c r="C109" i="14" s="1"/>
  <c r="D97" i="13"/>
  <c r="D98" i="12"/>
  <c r="E73" i="35"/>
  <c r="E77" i="35" s="1"/>
  <c r="E73" i="33"/>
  <c r="E79" i="33" s="1"/>
  <c r="E96" i="16"/>
  <c r="E100" i="15"/>
  <c r="D95" i="21"/>
  <c r="D96" i="20"/>
  <c r="E95" i="30"/>
  <c r="E80" i="21"/>
  <c r="E96" i="15"/>
  <c r="D97" i="37"/>
  <c r="D97" i="36"/>
  <c r="D110" i="36"/>
  <c r="D112" i="36" s="1"/>
  <c r="C73" i="31"/>
  <c r="C109" i="31" s="1"/>
  <c r="D96" i="24"/>
  <c r="D96" i="21"/>
  <c r="D97" i="20"/>
  <c r="D110" i="20"/>
  <c r="D112" i="20" s="1"/>
  <c r="D96" i="18"/>
  <c r="D100" i="18"/>
  <c r="D73" i="8"/>
  <c r="D79" i="8" s="1"/>
  <c r="E96" i="30"/>
  <c r="E97" i="29"/>
  <c r="E78" i="21"/>
  <c r="E82" i="21" s="1"/>
  <c r="E109" i="21"/>
  <c r="E97" i="15"/>
  <c r="E110" i="14"/>
  <c r="E112" i="14" s="1"/>
  <c r="E73" i="13"/>
  <c r="E109" i="13" s="1"/>
  <c r="D99" i="21"/>
  <c r="D100" i="20"/>
  <c r="E100" i="30"/>
  <c r="E110" i="15"/>
  <c r="E112" i="15" s="1"/>
  <c r="D110" i="37"/>
  <c r="D112" i="37" s="1"/>
  <c r="D95" i="19"/>
  <c r="D97" i="18"/>
  <c r="E73" i="34"/>
  <c r="E109" i="34" s="1"/>
  <c r="E98" i="30"/>
  <c r="E110" i="29"/>
  <c r="E112" i="29" s="1"/>
  <c r="E99" i="15"/>
  <c r="D98" i="37"/>
  <c r="E98" i="29"/>
  <c r="D95" i="37"/>
  <c r="D99" i="37"/>
  <c r="D99" i="24"/>
  <c r="D97" i="19"/>
  <c r="D110" i="19"/>
  <c r="D112" i="19" s="1"/>
  <c r="D95" i="13"/>
  <c r="D99" i="13"/>
  <c r="D96" i="12"/>
  <c r="D100" i="12"/>
  <c r="E95" i="29"/>
  <c r="E99" i="29"/>
  <c r="E100" i="28"/>
  <c r="E97" i="16"/>
  <c r="E110" i="16"/>
  <c r="E112" i="16" s="1"/>
  <c r="E97" i="14"/>
  <c r="E98" i="11"/>
  <c r="D98" i="24"/>
  <c r="D96" i="19"/>
  <c r="D100" i="19"/>
  <c r="D96" i="37"/>
  <c r="D95" i="24"/>
  <c r="D100" i="24"/>
  <c r="D96" i="13"/>
  <c r="D97" i="12"/>
  <c r="E96" i="29"/>
  <c r="D97" i="35"/>
  <c r="D110" i="35"/>
  <c r="D112" i="35" s="1"/>
  <c r="E97" i="28"/>
  <c r="E110" i="28"/>
  <c r="E112" i="28" s="1"/>
  <c r="D98" i="35"/>
  <c r="D96" i="33"/>
  <c r="D100" i="33"/>
  <c r="E98" i="28"/>
  <c r="D95" i="35"/>
  <c r="D97" i="33"/>
  <c r="D95" i="27"/>
  <c r="E97" i="30"/>
  <c r="E95" i="28"/>
  <c r="E95" i="17"/>
  <c r="E99" i="17"/>
  <c r="E98" i="14"/>
  <c r="E95" i="11"/>
  <c r="E99" i="11"/>
  <c r="E96" i="10"/>
  <c r="E100" i="10"/>
  <c r="D98" i="38"/>
  <c r="D96" i="38"/>
  <c r="D94" i="38"/>
  <c r="D99" i="38"/>
  <c r="D95" i="38"/>
  <c r="D97" i="38"/>
  <c r="D97" i="24"/>
  <c r="E96" i="17"/>
  <c r="E95" i="14"/>
  <c r="E99" i="14"/>
  <c r="E96" i="11"/>
  <c r="E100" i="11"/>
  <c r="E97" i="10"/>
  <c r="D109" i="38"/>
  <c r="D111" i="38" s="1"/>
  <c r="E96" i="14"/>
  <c r="E97" i="11"/>
  <c r="E109" i="38"/>
  <c r="E111" i="38" s="1"/>
  <c r="E99" i="38"/>
  <c r="E98" i="38"/>
  <c r="E97" i="38"/>
  <c r="E96" i="38"/>
  <c r="E95" i="38"/>
  <c r="E94" i="38"/>
  <c r="D90" i="31"/>
  <c r="D91" i="31" s="1"/>
  <c r="D111" i="31" s="1"/>
  <c r="C79" i="30"/>
  <c r="D109" i="30"/>
  <c r="D80" i="30"/>
  <c r="D79" i="30"/>
  <c r="D77" i="30"/>
  <c r="D78" i="30"/>
  <c r="D90" i="30"/>
  <c r="D91" i="30" s="1"/>
  <c r="D111" i="30" s="1"/>
  <c r="D80" i="29"/>
  <c r="D90" i="29"/>
  <c r="D91" i="29" s="1"/>
  <c r="D111" i="29" s="1"/>
  <c r="C80" i="28"/>
  <c r="C77" i="28"/>
  <c r="D79" i="28"/>
  <c r="D90" i="28"/>
  <c r="D91" i="28" s="1"/>
  <c r="D111" i="28" s="1"/>
  <c r="C109" i="26"/>
  <c r="C80" i="26"/>
  <c r="C79" i="26"/>
  <c r="C77" i="26"/>
  <c r="C78" i="26"/>
  <c r="D109" i="26"/>
  <c r="D80" i="26"/>
  <c r="D79" i="26"/>
  <c r="D77" i="26"/>
  <c r="D78" i="26"/>
  <c r="D90" i="26"/>
  <c r="D91" i="26" s="1"/>
  <c r="D111" i="26" s="1"/>
  <c r="E109" i="26"/>
  <c r="E80" i="26"/>
  <c r="E79" i="26"/>
  <c r="E77" i="26"/>
  <c r="E78" i="26"/>
  <c r="C80" i="17"/>
  <c r="C77" i="17"/>
  <c r="D109" i="17"/>
  <c r="D80" i="17"/>
  <c r="D79" i="17"/>
  <c r="D77" i="17"/>
  <c r="D78" i="17"/>
  <c r="D90" i="17"/>
  <c r="D91" i="17" s="1"/>
  <c r="D111" i="17" s="1"/>
  <c r="C109" i="16"/>
  <c r="C80" i="16"/>
  <c r="C79" i="16"/>
  <c r="C77" i="16"/>
  <c r="C78" i="16"/>
  <c r="D109" i="16"/>
  <c r="D80" i="16"/>
  <c r="D79" i="16"/>
  <c r="D77" i="16"/>
  <c r="D78" i="16"/>
  <c r="D90" i="16"/>
  <c r="D91" i="16" s="1"/>
  <c r="D111" i="16" s="1"/>
  <c r="C80" i="15"/>
  <c r="C77" i="15"/>
  <c r="D109" i="15"/>
  <c r="D80" i="15"/>
  <c r="D79" i="15"/>
  <c r="D77" i="15"/>
  <c r="D78" i="15"/>
  <c r="D90" i="15"/>
  <c r="D91" i="15" s="1"/>
  <c r="D111" i="15" s="1"/>
  <c r="C77" i="14"/>
  <c r="D109" i="14"/>
  <c r="D80" i="14"/>
  <c r="D79" i="14"/>
  <c r="D77" i="14"/>
  <c r="D78" i="14"/>
  <c r="D90" i="14"/>
  <c r="D91" i="14" s="1"/>
  <c r="D111" i="14" s="1"/>
  <c r="C78" i="11"/>
  <c r="D109" i="11"/>
  <c r="D80" i="11"/>
  <c r="D79" i="11"/>
  <c r="D77" i="11"/>
  <c r="D78" i="11"/>
  <c r="D90" i="11"/>
  <c r="D91" i="11" s="1"/>
  <c r="D111" i="11" s="1"/>
  <c r="C80" i="10"/>
  <c r="C77" i="10"/>
  <c r="D109" i="10"/>
  <c r="D80" i="10"/>
  <c r="D79" i="10"/>
  <c r="D77" i="10"/>
  <c r="D78" i="10"/>
  <c r="D90" i="10"/>
  <c r="D91" i="10" s="1"/>
  <c r="D111" i="10" s="1"/>
  <c r="C78" i="8"/>
  <c r="D90" i="8"/>
  <c r="D91" i="8" s="1"/>
  <c r="D111" i="8" s="1"/>
  <c r="E77" i="8"/>
  <c r="E78" i="7"/>
  <c r="C77" i="37"/>
  <c r="E109" i="37"/>
  <c r="E80" i="37"/>
  <c r="E79" i="37"/>
  <c r="E77" i="37"/>
  <c r="E78" i="37"/>
  <c r="C109" i="36"/>
  <c r="C80" i="36"/>
  <c r="C79" i="36"/>
  <c r="C77" i="36"/>
  <c r="C78" i="36"/>
  <c r="E109" i="36"/>
  <c r="E80" i="36"/>
  <c r="E79" i="36"/>
  <c r="E77" i="36"/>
  <c r="E78" i="36"/>
  <c r="C109" i="35"/>
  <c r="C80" i="35"/>
  <c r="C79" i="35"/>
  <c r="C77" i="35"/>
  <c r="C78" i="35"/>
  <c r="E109" i="35"/>
  <c r="E79" i="35"/>
  <c r="E78" i="35"/>
  <c r="C109" i="34"/>
  <c r="C79" i="34"/>
  <c r="C78" i="34"/>
  <c r="C80" i="33"/>
  <c r="E80" i="33"/>
  <c r="C109" i="32"/>
  <c r="C80" i="32"/>
  <c r="C79" i="32"/>
  <c r="C77" i="32"/>
  <c r="C78" i="32"/>
  <c r="E79" i="32"/>
  <c r="C109" i="27"/>
  <c r="C80" i="27"/>
  <c r="C79" i="27"/>
  <c r="C77" i="27"/>
  <c r="C78" i="27"/>
  <c r="E77" i="27"/>
  <c r="C77" i="24"/>
  <c r="E80" i="24"/>
  <c r="E77" i="24"/>
  <c r="C109" i="23"/>
  <c r="C80" i="23"/>
  <c r="C79" i="23"/>
  <c r="C77" i="23"/>
  <c r="C78" i="23"/>
  <c r="E77" i="23"/>
  <c r="C82" i="21"/>
  <c r="C109" i="19"/>
  <c r="C80" i="19"/>
  <c r="C79" i="19"/>
  <c r="C77" i="19"/>
  <c r="C78" i="19"/>
  <c r="E109" i="19"/>
  <c r="E80" i="19"/>
  <c r="E79" i="19"/>
  <c r="E77" i="19"/>
  <c r="E78" i="19"/>
  <c r="C80" i="13"/>
  <c r="C77" i="13"/>
  <c r="E77" i="13"/>
  <c r="C79" i="12"/>
  <c r="E109" i="12"/>
  <c r="E80" i="12"/>
  <c r="E79" i="12"/>
  <c r="E77" i="12"/>
  <c r="E78" i="12"/>
  <c r="C109" i="9"/>
  <c r="C80" i="9"/>
  <c r="C79" i="9"/>
  <c r="C77" i="9"/>
  <c r="C78" i="9"/>
  <c r="E80" i="9"/>
  <c r="E102" i="31" l="1"/>
  <c r="E113" i="31" s="1"/>
  <c r="E114" i="31" s="1"/>
  <c r="E32" i="5" s="1"/>
  <c r="D102" i="9"/>
  <c r="D113" i="9" s="1"/>
  <c r="D114" i="9" s="1"/>
  <c r="C122" i="9" s="1"/>
  <c r="E77" i="9"/>
  <c r="C78" i="12"/>
  <c r="C79" i="24"/>
  <c r="C79" i="33"/>
  <c r="C77" i="34"/>
  <c r="D80" i="8"/>
  <c r="C78" i="10"/>
  <c r="C109" i="10"/>
  <c r="C79" i="11"/>
  <c r="C79" i="15"/>
  <c r="C78" i="28"/>
  <c r="C109" i="28"/>
  <c r="D109" i="29"/>
  <c r="C80" i="30"/>
  <c r="D97" i="21"/>
  <c r="D110" i="32"/>
  <c r="D112" i="32" s="1"/>
  <c r="D100" i="32"/>
  <c r="D100" i="27"/>
  <c r="D102" i="23"/>
  <c r="D113" i="23" s="1"/>
  <c r="D114" i="23" s="1"/>
  <c r="C131" i="23" s="1"/>
  <c r="D98" i="21"/>
  <c r="C82" i="18"/>
  <c r="C82" i="22"/>
  <c r="D102" i="22"/>
  <c r="D113" i="22" s="1"/>
  <c r="D114" i="22" s="1"/>
  <c r="C131" i="22" s="1"/>
  <c r="C109" i="12"/>
  <c r="E80" i="27"/>
  <c r="E77" i="33"/>
  <c r="E77" i="34"/>
  <c r="E80" i="8"/>
  <c r="C78" i="15"/>
  <c r="D78" i="29"/>
  <c r="D80" i="31"/>
  <c r="E102" i="30"/>
  <c r="E113" i="30" s="1"/>
  <c r="E114" i="30" s="1"/>
  <c r="E31" i="5" s="1"/>
  <c r="D100" i="21"/>
  <c r="D110" i="27"/>
  <c r="D112" i="27" s="1"/>
  <c r="D99" i="32"/>
  <c r="E79" i="23"/>
  <c r="E109" i="32"/>
  <c r="C80" i="37"/>
  <c r="C79" i="8"/>
  <c r="D80" i="28"/>
  <c r="D102" i="34"/>
  <c r="D113" i="34" s="1"/>
  <c r="D114" i="34" s="1"/>
  <c r="C167" i="34" s="1"/>
  <c r="D167" i="34" s="1"/>
  <c r="E167" i="34" s="1"/>
  <c r="E109" i="9"/>
  <c r="E80" i="23"/>
  <c r="C80" i="24"/>
  <c r="E109" i="33"/>
  <c r="C109" i="33"/>
  <c r="C109" i="8"/>
  <c r="D98" i="27"/>
  <c r="D96" i="27"/>
  <c r="D102" i="27" s="1"/>
  <c r="D113" i="27" s="1"/>
  <c r="C109" i="11"/>
  <c r="C80" i="14"/>
  <c r="D78" i="28"/>
  <c r="D82" i="28" s="1"/>
  <c r="D109" i="28"/>
  <c r="D77" i="29"/>
  <c r="C77" i="29"/>
  <c r="C78" i="30"/>
  <c r="C82" i="30" s="1"/>
  <c r="C109" i="30"/>
  <c r="E78" i="9"/>
  <c r="E78" i="23"/>
  <c r="E82" i="23" s="1"/>
  <c r="C78" i="24"/>
  <c r="E78" i="32"/>
  <c r="E78" i="33"/>
  <c r="C78" i="33"/>
  <c r="D76" i="7"/>
  <c r="C80" i="29"/>
  <c r="D102" i="19"/>
  <c r="D113" i="19" s="1"/>
  <c r="D114" i="19" s="1"/>
  <c r="C131" i="19" s="1"/>
  <c r="D109" i="31"/>
  <c r="D77" i="31"/>
  <c r="D78" i="31"/>
  <c r="D77" i="8"/>
  <c r="D102" i="36"/>
  <c r="D113" i="36" s="1"/>
  <c r="D114" i="36" s="1"/>
  <c r="C167" i="36" s="1"/>
  <c r="D167" i="36" s="1"/>
  <c r="E167" i="36" s="1"/>
  <c r="C78" i="13"/>
  <c r="C82" i="13" s="1"/>
  <c r="C109" i="13"/>
  <c r="E78" i="24"/>
  <c r="E82" i="24" s="1"/>
  <c r="E109" i="24"/>
  <c r="E80" i="32"/>
  <c r="E80" i="35"/>
  <c r="E82" i="35" s="1"/>
  <c r="C79" i="37"/>
  <c r="E79" i="7"/>
  <c r="C77" i="8"/>
  <c r="C82" i="8" s="1"/>
  <c r="C78" i="17"/>
  <c r="C82" i="17" s="1"/>
  <c r="C109" i="17"/>
  <c r="C79" i="29"/>
  <c r="D102" i="32"/>
  <c r="D113" i="32" s="1"/>
  <c r="D114" i="32" s="1"/>
  <c r="C167" i="32" s="1"/>
  <c r="D167" i="32" s="1"/>
  <c r="E167" i="32" s="1"/>
  <c r="E102" i="15"/>
  <c r="E113" i="15" s="1"/>
  <c r="E114" i="15" s="1"/>
  <c r="E11" i="5" s="1"/>
  <c r="C78" i="37"/>
  <c r="C82" i="37" s="1"/>
  <c r="C78" i="29"/>
  <c r="E102" i="28"/>
  <c r="E113" i="28" s="1"/>
  <c r="E114" i="28" s="1"/>
  <c r="E29" i="5" s="1"/>
  <c r="D102" i="33"/>
  <c r="D113" i="33" s="1"/>
  <c r="D114" i="33" s="1"/>
  <c r="C167" i="33" s="1"/>
  <c r="D167" i="33" s="1"/>
  <c r="E167" i="33" s="1"/>
  <c r="E82" i="18"/>
  <c r="E98" i="18" s="1"/>
  <c r="D78" i="7"/>
  <c r="E77" i="7"/>
  <c r="E107" i="7"/>
  <c r="D79" i="7"/>
  <c r="D77" i="7"/>
  <c r="D102" i="18"/>
  <c r="D113" i="18" s="1"/>
  <c r="D114" i="18" s="1"/>
  <c r="C140" i="18" s="1"/>
  <c r="C80" i="12"/>
  <c r="C82" i="12" s="1"/>
  <c r="E79" i="27"/>
  <c r="E79" i="8"/>
  <c r="D78" i="8"/>
  <c r="D82" i="8" s="1"/>
  <c r="D109" i="8"/>
  <c r="C77" i="11"/>
  <c r="C82" i="11" s="1"/>
  <c r="C79" i="14"/>
  <c r="C77" i="31"/>
  <c r="E102" i="16"/>
  <c r="E113" i="16" s="1"/>
  <c r="E114" i="16" s="1"/>
  <c r="E12" i="5" s="1"/>
  <c r="D102" i="20"/>
  <c r="D113" i="20" s="1"/>
  <c r="D114" i="20" s="1"/>
  <c r="C122" i="20" s="1"/>
  <c r="E78" i="27"/>
  <c r="E82" i="27" s="1"/>
  <c r="E78" i="8"/>
  <c r="C78" i="14"/>
  <c r="D102" i="13"/>
  <c r="D113" i="13" s="1"/>
  <c r="D114" i="13" s="1"/>
  <c r="C164" i="13" s="1"/>
  <c r="D164" i="13" s="1"/>
  <c r="D102" i="21"/>
  <c r="D113" i="21" s="1"/>
  <c r="D114" i="21" s="1"/>
  <c r="C122" i="21" s="1"/>
  <c r="E79" i="34"/>
  <c r="C79" i="31"/>
  <c r="E80" i="13"/>
  <c r="E80" i="34"/>
  <c r="C80" i="31"/>
  <c r="E101" i="38"/>
  <c r="E112" i="38" s="1"/>
  <c r="E113" i="38" s="1"/>
  <c r="E121" i="38" s="1"/>
  <c r="F23" i="5" s="1"/>
  <c r="F40" i="5" s="1"/>
  <c r="D102" i="24"/>
  <c r="D113" i="24" s="1"/>
  <c r="D114" i="24" s="1"/>
  <c r="C122" i="24" s="1"/>
  <c r="E79" i="13"/>
  <c r="E78" i="13"/>
  <c r="E78" i="34"/>
  <c r="C78" i="31"/>
  <c r="D102" i="35"/>
  <c r="D113" i="35" s="1"/>
  <c r="D114" i="35" s="1"/>
  <c r="C167" i="35" s="1"/>
  <c r="D167" i="35" s="1"/>
  <c r="E167" i="35" s="1"/>
  <c r="D102" i="12"/>
  <c r="D113" i="12" s="1"/>
  <c r="D114" i="12" s="1"/>
  <c r="C122" i="12" s="1"/>
  <c r="E102" i="10"/>
  <c r="E113" i="10" s="1"/>
  <c r="E114" i="10" s="1"/>
  <c r="E6" i="5" s="1"/>
  <c r="E102" i="17"/>
  <c r="E113" i="17" s="1"/>
  <c r="E114" i="17" s="1"/>
  <c r="E102" i="29"/>
  <c r="E113" i="29" s="1"/>
  <c r="E114" i="29" s="1"/>
  <c r="E30" i="5" s="1"/>
  <c r="D102" i="37"/>
  <c r="D113" i="37" s="1"/>
  <c r="D114" i="37" s="1"/>
  <c r="C167" i="37" s="1"/>
  <c r="D167" i="37" s="1"/>
  <c r="E167" i="37" s="1"/>
  <c r="E102" i="11"/>
  <c r="E113" i="11" s="1"/>
  <c r="E114" i="11" s="1"/>
  <c r="E7" i="5" s="1"/>
  <c r="E102" i="14"/>
  <c r="E113" i="14" s="1"/>
  <c r="E114" i="14" s="1"/>
  <c r="D101" i="38"/>
  <c r="D112" i="38" s="1"/>
  <c r="D113" i="38" s="1"/>
  <c r="D121" i="38" s="1"/>
  <c r="F3" i="5" s="1"/>
  <c r="F21" i="5" s="1"/>
  <c r="C82" i="9"/>
  <c r="E82" i="12"/>
  <c r="E95" i="18"/>
  <c r="C110" i="18"/>
  <c r="C112" i="18" s="1"/>
  <c r="C100" i="18"/>
  <c r="C99" i="18"/>
  <c r="C98" i="18"/>
  <c r="C97" i="18"/>
  <c r="C96" i="18"/>
  <c r="C95" i="18"/>
  <c r="E82" i="19"/>
  <c r="C82" i="19"/>
  <c r="E110" i="20"/>
  <c r="E112" i="20" s="1"/>
  <c r="E100" i="20"/>
  <c r="E99" i="20"/>
  <c r="E98" i="20"/>
  <c r="E97" i="20"/>
  <c r="E96" i="20"/>
  <c r="E95" i="20"/>
  <c r="C110" i="20"/>
  <c r="C112" i="20" s="1"/>
  <c r="C100" i="20"/>
  <c r="C99" i="20"/>
  <c r="C98" i="20"/>
  <c r="C97" i="20"/>
  <c r="C96" i="20"/>
  <c r="C95" i="20"/>
  <c r="E110" i="21"/>
  <c r="E112" i="21" s="1"/>
  <c r="E100" i="21"/>
  <c r="E99" i="21"/>
  <c r="E98" i="21"/>
  <c r="E97" i="21"/>
  <c r="E96" i="21"/>
  <c r="E95" i="21"/>
  <c r="C110" i="21"/>
  <c r="C112" i="21" s="1"/>
  <c r="C100" i="21"/>
  <c r="C99" i="21"/>
  <c r="C98" i="21"/>
  <c r="C97" i="21"/>
  <c r="C96" i="21"/>
  <c r="C95" i="21"/>
  <c r="E110" i="22"/>
  <c r="E112" i="22" s="1"/>
  <c r="E100" i="22"/>
  <c r="E99" i="22"/>
  <c r="E98" i="22"/>
  <c r="E97" i="22"/>
  <c r="E96" i="22"/>
  <c r="E95" i="22"/>
  <c r="C110" i="22"/>
  <c r="C112" i="22" s="1"/>
  <c r="C100" i="22"/>
  <c r="C99" i="22"/>
  <c r="C98" i="22"/>
  <c r="C97" i="22"/>
  <c r="C96" i="22"/>
  <c r="C95" i="22"/>
  <c r="C82" i="23"/>
  <c r="C82" i="24"/>
  <c r="C82" i="27"/>
  <c r="C82" i="32"/>
  <c r="E82" i="33"/>
  <c r="C82" i="33"/>
  <c r="C82" i="34"/>
  <c r="C82" i="35"/>
  <c r="E82" i="36"/>
  <c r="C82" i="36"/>
  <c r="E82" i="37"/>
  <c r="C131" i="9"/>
  <c r="D82" i="10"/>
  <c r="C82" i="10"/>
  <c r="D82" i="11"/>
  <c r="C140" i="13"/>
  <c r="D82" i="14"/>
  <c r="D82" i="15"/>
  <c r="C82" i="15"/>
  <c r="D82" i="16"/>
  <c r="C82" i="16"/>
  <c r="D82" i="17"/>
  <c r="E82" i="26"/>
  <c r="D82" i="26"/>
  <c r="C82" i="26"/>
  <c r="C82" i="28"/>
  <c r="D82" i="29"/>
  <c r="D82" i="30"/>
  <c r="C164" i="12" l="1"/>
  <c r="D164" i="12" s="1"/>
  <c r="E164" i="12" s="1"/>
  <c r="C140" i="9"/>
  <c r="C164" i="9"/>
  <c r="D164" i="9" s="1"/>
  <c r="E164" i="9" s="1"/>
  <c r="C164" i="23"/>
  <c r="D164" i="23" s="1"/>
  <c r="E164" i="23" s="1"/>
  <c r="C131" i="20"/>
  <c r="C122" i="22"/>
  <c r="D122" i="22" s="1"/>
  <c r="C122" i="23"/>
  <c r="D122" i="23" s="1"/>
  <c r="C140" i="22"/>
  <c r="D140" i="22" s="1"/>
  <c r="C140" i="23"/>
  <c r="D140" i="23" s="1"/>
  <c r="C164" i="22"/>
  <c r="D164" i="22" s="1"/>
  <c r="E164" i="22" s="1"/>
  <c r="C122" i="13"/>
  <c r="D122" i="13" s="1"/>
  <c r="C164" i="19"/>
  <c r="D164" i="19" s="1"/>
  <c r="E164" i="19" s="1"/>
  <c r="C140" i="19"/>
  <c r="D140" i="19" s="1"/>
  <c r="D114" i="27"/>
  <c r="C167" i="27" s="1"/>
  <c r="D167" i="27" s="1"/>
  <c r="E167" i="27" s="1"/>
  <c r="C82" i="29"/>
  <c r="C164" i="20"/>
  <c r="D164" i="20" s="1"/>
  <c r="E164" i="20" s="1"/>
  <c r="E82" i="9"/>
  <c r="E99" i="9" s="1"/>
  <c r="E82" i="32"/>
  <c r="E110" i="32" s="1"/>
  <c r="E112" i="32" s="1"/>
  <c r="E97" i="18"/>
  <c r="E102" i="18" s="1"/>
  <c r="E113" i="18" s="1"/>
  <c r="C131" i="21"/>
  <c r="D131" i="21" s="1"/>
  <c r="C122" i="19"/>
  <c r="D122" i="19" s="1"/>
  <c r="C131" i="12"/>
  <c r="D131" i="12" s="1"/>
  <c r="E99" i="18"/>
  <c r="E82" i="13"/>
  <c r="E98" i="13" s="1"/>
  <c r="C82" i="14"/>
  <c r="C99" i="14" s="1"/>
  <c r="E82" i="8"/>
  <c r="E98" i="8" s="1"/>
  <c r="E81" i="7"/>
  <c r="C164" i="21"/>
  <c r="D164" i="21" s="1"/>
  <c r="E164" i="21" s="1"/>
  <c r="C140" i="12"/>
  <c r="D140" i="12" s="1"/>
  <c r="E110" i="18"/>
  <c r="E112" i="18" s="1"/>
  <c r="D82" i="31"/>
  <c r="C140" i="21"/>
  <c r="D140" i="21" s="1"/>
  <c r="C140" i="20"/>
  <c r="D140" i="20" s="1"/>
  <c r="C131" i="18"/>
  <c r="D131" i="18" s="1"/>
  <c r="C131" i="13"/>
  <c r="D131" i="13" s="1"/>
  <c r="C131" i="24"/>
  <c r="D131" i="24" s="1"/>
  <c r="E96" i="18"/>
  <c r="E100" i="18"/>
  <c r="E82" i="34"/>
  <c r="E110" i="34" s="1"/>
  <c r="E112" i="34" s="1"/>
  <c r="D81" i="7"/>
  <c r="D108" i="7" s="1"/>
  <c r="D110" i="7" s="1"/>
  <c r="C164" i="24"/>
  <c r="D164" i="24" s="1"/>
  <c r="E164" i="24" s="1"/>
  <c r="C164" i="18"/>
  <c r="D164" i="18" s="1"/>
  <c r="E164" i="18" s="1"/>
  <c r="C122" i="18"/>
  <c r="D122" i="18" s="1"/>
  <c r="C82" i="31"/>
  <c r="C98" i="31" s="1"/>
  <c r="C140" i="24"/>
  <c r="D140" i="24" s="1"/>
  <c r="C102" i="22"/>
  <c r="C113" i="22" s="1"/>
  <c r="C114" i="22" s="1"/>
  <c r="C102" i="20"/>
  <c r="C113" i="20" s="1"/>
  <c r="C114" i="20" s="1"/>
  <c r="C102" i="18"/>
  <c r="C113" i="18" s="1"/>
  <c r="C114" i="18" s="1"/>
  <c r="E102" i="21"/>
  <c r="E113" i="21" s="1"/>
  <c r="E114" i="21" s="1"/>
  <c r="C102" i="21"/>
  <c r="C113" i="21" s="1"/>
  <c r="C114" i="21" s="1"/>
  <c r="E102" i="22"/>
  <c r="E113" i="22" s="1"/>
  <c r="E114" i="22" s="1"/>
  <c r="E102" i="20"/>
  <c r="E113" i="20" s="1"/>
  <c r="E114" i="20" s="1"/>
  <c r="C99" i="31"/>
  <c r="C95" i="31"/>
  <c r="D110" i="31"/>
  <c r="D112" i="31" s="1"/>
  <c r="D100" i="31"/>
  <c r="D99" i="31"/>
  <c r="D98" i="31"/>
  <c r="D97" i="31"/>
  <c r="D96" i="31"/>
  <c r="D95" i="31"/>
  <c r="C110" i="30"/>
  <c r="C112" i="30" s="1"/>
  <c r="C100" i="30"/>
  <c r="C99" i="30"/>
  <c r="C98" i="30"/>
  <c r="C97" i="30"/>
  <c r="C96" i="30"/>
  <c r="C95" i="30"/>
  <c r="D110" i="30"/>
  <c r="D112" i="30" s="1"/>
  <c r="D100" i="30"/>
  <c r="D99" i="30"/>
  <c r="D98" i="30"/>
  <c r="D97" i="30"/>
  <c r="D96" i="30"/>
  <c r="D95" i="30"/>
  <c r="C110" i="29"/>
  <c r="C112" i="29" s="1"/>
  <c r="C100" i="29"/>
  <c r="C99" i="29"/>
  <c r="C98" i="29"/>
  <c r="C97" i="29"/>
  <c r="C96" i="29"/>
  <c r="C95" i="29"/>
  <c r="D110" i="29"/>
  <c r="D112" i="29" s="1"/>
  <c r="D100" i="29"/>
  <c r="D99" i="29"/>
  <c r="D98" i="29"/>
  <c r="D97" i="29"/>
  <c r="D96" i="29"/>
  <c r="D95" i="29"/>
  <c r="C110" i="28"/>
  <c r="C112" i="28" s="1"/>
  <c r="C100" i="28"/>
  <c r="C99" i="28"/>
  <c r="C98" i="28"/>
  <c r="C97" i="28"/>
  <c r="C96" i="28"/>
  <c r="C95" i="28"/>
  <c r="D110" i="28"/>
  <c r="D112" i="28" s="1"/>
  <c r="D100" i="28"/>
  <c r="D99" i="28"/>
  <c r="D98" i="28"/>
  <c r="D97" i="28"/>
  <c r="D96" i="28"/>
  <c r="D95" i="28"/>
  <c r="C110" i="26"/>
  <c r="C112" i="26" s="1"/>
  <c r="C100" i="26"/>
  <c r="C99" i="26"/>
  <c r="C98" i="26"/>
  <c r="C97" i="26"/>
  <c r="C96" i="26"/>
  <c r="C95" i="26"/>
  <c r="D110" i="26"/>
  <c r="D112" i="26" s="1"/>
  <c r="D100" i="26"/>
  <c r="D99" i="26"/>
  <c r="D98" i="26"/>
  <c r="D97" i="26"/>
  <c r="D96" i="26"/>
  <c r="D95" i="26"/>
  <c r="E110" i="26"/>
  <c r="E112" i="26" s="1"/>
  <c r="E100" i="26"/>
  <c r="E99" i="26"/>
  <c r="E98" i="26"/>
  <c r="E97" i="26"/>
  <c r="E96" i="26"/>
  <c r="E95" i="26"/>
  <c r="D122" i="24"/>
  <c r="D131" i="23"/>
  <c r="D131" i="22"/>
  <c r="D122" i="21"/>
  <c r="D122" i="20"/>
  <c r="D131" i="20"/>
  <c r="D131" i="19"/>
  <c r="D140" i="18"/>
  <c r="C110" i="17"/>
  <c r="C112" i="17" s="1"/>
  <c r="C100" i="17"/>
  <c r="C99" i="17"/>
  <c r="C98" i="17"/>
  <c r="C97" i="17"/>
  <c r="C96" i="17"/>
  <c r="C95" i="17"/>
  <c r="D110" i="17"/>
  <c r="D112" i="17" s="1"/>
  <c r="D100" i="17"/>
  <c r="D99" i="17"/>
  <c r="D98" i="17"/>
  <c r="D97" i="17"/>
  <c r="D96" i="17"/>
  <c r="D95" i="17"/>
  <c r="C110" i="16"/>
  <c r="C112" i="16" s="1"/>
  <c r="C100" i="16"/>
  <c r="C99" i="16"/>
  <c r="C98" i="16"/>
  <c r="C97" i="16"/>
  <c r="C96" i="16"/>
  <c r="C95" i="16"/>
  <c r="D110" i="16"/>
  <c r="D112" i="16" s="1"/>
  <c r="D100" i="16"/>
  <c r="D99" i="16"/>
  <c r="D98" i="16"/>
  <c r="D97" i="16"/>
  <c r="D96" i="16"/>
  <c r="D95" i="16"/>
  <c r="C110" i="15"/>
  <c r="C112" i="15" s="1"/>
  <c r="C100" i="15"/>
  <c r="C99" i="15"/>
  <c r="C98" i="15"/>
  <c r="C97" i="15"/>
  <c r="C96" i="15"/>
  <c r="C95" i="15"/>
  <c r="D110" i="15"/>
  <c r="D112" i="15" s="1"/>
  <c r="D100" i="15"/>
  <c r="D99" i="15"/>
  <c r="D98" i="15"/>
  <c r="D97" i="15"/>
  <c r="D96" i="15"/>
  <c r="D95" i="15"/>
  <c r="C110" i="14"/>
  <c r="C112" i="14" s="1"/>
  <c r="C96" i="14"/>
  <c r="D110" i="14"/>
  <c r="D112" i="14" s="1"/>
  <c r="D100" i="14"/>
  <c r="D99" i="14"/>
  <c r="D98" i="14"/>
  <c r="D97" i="14"/>
  <c r="D96" i="14"/>
  <c r="D95" i="14"/>
  <c r="D140" i="13"/>
  <c r="E164" i="13"/>
  <c r="D122" i="12"/>
  <c r="C110" i="11"/>
  <c r="C112" i="11" s="1"/>
  <c r="C100" i="11"/>
  <c r="C99" i="11"/>
  <c r="C98" i="11"/>
  <c r="C97" i="11"/>
  <c r="C96" i="11"/>
  <c r="C95" i="11"/>
  <c r="D110" i="11"/>
  <c r="D112" i="11" s="1"/>
  <c r="D100" i="11"/>
  <c r="D99" i="11"/>
  <c r="D98" i="11"/>
  <c r="D97" i="11"/>
  <c r="D96" i="11"/>
  <c r="D95" i="11"/>
  <c r="C110" i="10"/>
  <c r="C112" i="10" s="1"/>
  <c r="C100" i="10"/>
  <c r="C99" i="10"/>
  <c r="C98" i="10"/>
  <c r="C97" i="10"/>
  <c r="C96" i="10"/>
  <c r="C95" i="10"/>
  <c r="D110" i="10"/>
  <c r="D112" i="10" s="1"/>
  <c r="D100" i="10"/>
  <c r="D99" i="10"/>
  <c r="D98" i="10"/>
  <c r="D97" i="10"/>
  <c r="D96" i="10"/>
  <c r="D95" i="10"/>
  <c r="D122" i="9"/>
  <c r="D131" i="9"/>
  <c r="D140" i="9"/>
  <c r="C110" i="8"/>
  <c r="C112" i="8" s="1"/>
  <c r="C100" i="8"/>
  <c r="C99" i="8"/>
  <c r="C98" i="8"/>
  <c r="C97" i="8"/>
  <c r="C96" i="8"/>
  <c r="C95" i="8"/>
  <c r="D110" i="8"/>
  <c r="D112" i="8" s="1"/>
  <c r="D100" i="8"/>
  <c r="D99" i="8"/>
  <c r="D98" i="8"/>
  <c r="D97" i="8"/>
  <c r="D96" i="8"/>
  <c r="D95" i="8"/>
  <c r="D98" i="7"/>
  <c r="D97" i="7"/>
  <c r="D96" i="7"/>
  <c r="D94" i="7"/>
  <c r="D93" i="7"/>
  <c r="E108" i="7"/>
  <c r="E110" i="7" s="1"/>
  <c r="E98" i="7"/>
  <c r="E97" i="7"/>
  <c r="E96" i="7"/>
  <c r="E95" i="7"/>
  <c r="E94" i="7"/>
  <c r="E93" i="7"/>
  <c r="C110" i="37"/>
  <c r="C112" i="37" s="1"/>
  <c r="C100" i="37"/>
  <c r="C99" i="37"/>
  <c r="C98" i="37"/>
  <c r="C97" i="37"/>
  <c r="C96" i="37"/>
  <c r="C95" i="37"/>
  <c r="E110" i="37"/>
  <c r="E112" i="37" s="1"/>
  <c r="E100" i="37"/>
  <c r="E99" i="37"/>
  <c r="E98" i="37"/>
  <c r="E97" i="37"/>
  <c r="E96" i="37"/>
  <c r="E95" i="37"/>
  <c r="C110" i="36"/>
  <c r="C112" i="36" s="1"/>
  <c r="C100" i="36"/>
  <c r="C99" i="36"/>
  <c r="C98" i="36"/>
  <c r="C97" i="36"/>
  <c r="C96" i="36"/>
  <c r="C95" i="36"/>
  <c r="E110" i="36"/>
  <c r="E112" i="36" s="1"/>
  <c r="E100" i="36"/>
  <c r="E99" i="36"/>
  <c r="E98" i="36"/>
  <c r="E97" i="36"/>
  <c r="E96" i="36"/>
  <c r="E95" i="36"/>
  <c r="C110" i="35"/>
  <c r="C112" i="35" s="1"/>
  <c r="C100" i="35"/>
  <c r="C99" i="35"/>
  <c r="C98" i="35"/>
  <c r="C97" i="35"/>
  <c r="C96" i="35"/>
  <c r="C95" i="35"/>
  <c r="E110" i="35"/>
  <c r="E112" i="35" s="1"/>
  <c r="E100" i="35"/>
  <c r="E99" i="35"/>
  <c r="E98" i="35"/>
  <c r="E97" i="35"/>
  <c r="E96" i="35"/>
  <c r="E95" i="35"/>
  <c r="C110" i="34"/>
  <c r="C112" i="34" s="1"/>
  <c r="C100" i="34"/>
  <c r="C99" i="34"/>
  <c r="C98" i="34"/>
  <c r="C97" i="34"/>
  <c r="C96" i="34"/>
  <c r="C95" i="34"/>
  <c r="E100" i="34"/>
  <c r="E98" i="34"/>
  <c r="E96" i="34"/>
  <c r="C110" i="33"/>
  <c r="C112" i="33" s="1"/>
  <c r="C100" i="33"/>
  <c r="C99" i="33"/>
  <c r="C98" i="33"/>
  <c r="C97" i="33"/>
  <c r="C96" i="33"/>
  <c r="C95" i="33"/>
  <c r="E110" i="33"/>
  <c r="E112" i="33" s="1"/>
  <c r="E100" i="33"/>
  <c r="E99" i="33"/>
  <c r="E98" i="33"/>
  <c r="E97" i="33"/>
  <c r="E96" i="33"/>
  <c r="E95" i="33"/>
  <c r="C110" i="32"/>
  <c r="C112" i="32" s="1"/>
  <c r="C100" i="32"/>
  <c r="C99" i="32"/>
  <c r="C98" i="32"/>
  <c r="C97" i="32"/>
  <c r="C96" i="32"/>
  <c r="C95" i="32"/>
  <c r="E98" i="32"/>
  <c r="C110" i="27"/>
  <c r="C112" i="27" s="1"/>
  <c r="C100" i="27"/>
  <c r="C99" i="27"/>
  <c r="C98" i="27"/>
  <c r="C97" i="27"/>
  <c r="C96" i="27"/>
  <c r="C95" i="27"/>
  <c r="E110" i="27"/>
  <c r="E112" i="27" s="1"/>
  <c r="E100" i="27"/>
  <c r="E99" i="27"/>
  <c r="E98" i="27"/>
  <c r="E97" i="27"/>
  <c r="E96" i="27"/>
  <c r="E95" i="27"/>
  <c r="C110" i="24"/>
  <c r="C112" i="24" s="1"/>
  <c r="C100" i="24"/>
  <c r="C99" i="24"/>
  <c r="C98" i="24"/>
  <c r="C97" i="24"/>
  <c r="C96" i="24"/>
  <c r="C95" i="24"/>
  <c r="E110" i="24"/>
  <c r="E112" i="24" s="1"/>
  <c r="E100" i="24"/>
  <c r="E99" i="24"/>
  <c r="E98" i="24"/>
  <c r="E97" i="24"/>
  <c r="E96" i="24"/>
  <c r="E95" i="24"/>
  <c r="C110" i="23"/>
  <c r="C112" i="23" s="1"/>
  <c r="C100" i="23"/>
  <c r="C99" i="23"/>
  <c r="C98" i="23"/>
  <c r="C97" i="23"/>
  <c r="C96" i="23"/>
  <c r="C95" i="23"/>
  <c r="E110" i="23"/>
  <c r="E112" i="23" s="1"/>
  <c r="E100" i="23"/>
  <c r="E99" i="23"/>
  <c r="E98" i="23"/>
  <c r="E97" i="23"/>
  <c r="E96" i="23"/>
  <c r="E95" i="23"/>
  <c r="C110" i="19"/>
  <c r="C112" i="19" s="1"/>
  <c r="C100" i="19"/>
  <c r="C99" i="19"/>
  <c r="C98" i="19"/>
  <c r="C97" i="19"/>
  <c r="C96" i="19"/>
  <c r="C95" i="19"/>
  <c r="E110" i="19"/>
  <c r="E112" i="19" s="1"/>
  <c r="E100" i="19"/>
  <c r="E99" i="19"/>
  <c r="E98" i="19"/>
  <c r="E97" i="19"/>
  <c r="E96" i="19"/>
  <c r="E95" i="19"/>
  <c r="C110" i="13"/>
  <c r="C112" i="13" s="1"/>
  <c r="C100" i="13"/>
  <c r="C99" i="13"/>
  <c r="C98" i="13"/>
  <c r="C97" i="13"/>
  <c r="C96" i="13"/>
  <c r="C95" i="13"/>
  <c r="E110" i="13"/>
  <c r="E112" i="13" s="1"/>
  <c r="E100" i="13"/>
  <c r="E99" i="13"/>
  <c r="E97" i="13"/>
  <c r="E96" i="13"/>
  <c r="E95" i="13"/>
  <c r="C110" i="12"/>
  <c r="C112" i="12" s="1"/>
  <c r="C100" i="12"/>
  <c r="C99" i="12"/>
  <c r="C98" i="12"/>
  <c r="C97" i="12"/>
  <c r="C96" i="12"/>
  <c r="C95" i="12"/>
  <c r="E110" i="12"/>
  <c r="E112" i="12" s="1"/>
  <c r="E100" i="12"/>
  <c r="E99" i="12"/>
  <c r="E98" i="12"/>
  <c r="E97" i="12"/>
  <c r="E96" i="12"/>
  <c r="E95" i="12"/>
  <c r="C110" i="9"/>
  <c r="C112" i="9" s="1"/>
  <c r="C100" i="9"/>
  <c r="C99" i="9"/>
  <c r="C98" i="9"/>
  <c r="C97" i="9"/>
  <c r="C96" i="9"/>
  <c r="C95" i="9"/>
  <c r="E110" i="9"/>
  <c r="E112" i="9" s="1"/>
  <c r="E100" i="9"/>
  <c r="E97" i="9"/>
  <c r="E96" i="9"/>
  <c r="E114" i="18" l="1"/>
  <c r="E99" i="32"/>
  <c r="E95" i="8"/>
  <c r="E98" i="9"/>
  <c r="E96" i="32"/>
  <c r="E100" i="32"/>
  <c r="E99" i="8"/>
  <c r="C97" i="14"/>
  <c r="E95" i="32"/>
  <c r="E95" i="9"/>
  <c r="E102" i="9" s="1"/>
  <c r="E113" i="9" s="1"/>
  <c r="E114" i="9" s="1"/>
  <c r="E97" i="32"/>
  <c r="C100" i="14"/>
  <c r="E96" i="8"/>
  <c r="E100" i="8"/>
  <c r="E97" i="8"/>
  <c r="E110" i="8"/>
  <c r="E112" i="8" s="1"/>
  <c r="C98" i="14"/>
  <c r="D95" i="7"/>
  <c r="C95" i="14"/>
  <c r="C97" i="31"/>
  <c r="E95" i="34"/>
  <c r="E99" i="34"/>
  <c r="C110" i="31"/>
  <c r="C112" i="31" s="1"/>
  <c r="E97" i="34"/>
  <c r="C96" i="31"/>
  <c r="C100" i="31"/>
  <c r="C102" i="12"/>
  <c r="C113" i="12" s="1"/>
  <c r="C114" i="12" s="1"/>
  <c r="C102" i="24"/>
  <c r="C113" i="24" s="1"/>
  <c r="C114" i="24" s="1"/>
  <c r="C102" i="32"/>
  <c r="C113" i="32" s="1"/>
  <c r="C114" i="32" s="1"/>
  <c r="C102" i="34"/>
  <c r="C113" i="34" s="1"/>
  <c r="C114" i="34" s="1"/>
  <c r="C102" i="36"/>
  <c r="C113" i="36" s="1"/>
  <c r="C114" i="36" s="1"/>
  <c r="D102" i="10"/>
  <c r="D113" i="10" s="1"/>
  <c r="D114" i="10" s="1"/>
  <c r="D102" i="14"/>
  <c r="D113" i="14" s="1"/>
  <c r="D114" i="14" s="1"/>
  <c r="E102" i="26"/>
  <c r="E113" i="26" s="1"/>
  <c r="E114" i="26" s="1"/>
  <c r="E28" i="5" s="1"/>
  <c r="C102" i="28"/>
  <c r="C113" i="28" s="1"/>
  <c r="C114" i="28" s="1"/>
  <c r="C102" i="30"/>
  <c r="C113" i="30" s="1"/>
  <c r="C114" i="30" s="1"/>
  <c r="E100" i="7"/>
  <c r="E111" i="7" s="1"/>
  <c r="E112" i="7" s="1"/>
  <c r="D100" i="7"/>
  <c r="D111" i="7" s="1"/>
  <c r="D112" i="7" s="1"/>
  <c r="D102" i="17"/>
  <c r="D113" i="17" s="1"/>
  <c r="D114" i="17" s="1"/>
  <c r="E102" i="12"/>
  <c r="E113" i="12" s="1"/>
  <c r="E114" i="12" s="1"/>
  <c r="E8" i="5" s="1"/>
  <c r="E102" i="24"/>
  <c r="E113" i="24" s="1"/>
  <c r="E114" i="24" s="1"/>
  <c r="E102" i="36"/>
  <c r="E113" i="36" s="1"/>
  <c r="E114" i="36" s="1"/>
  <c r="C102" i="8"/>
  <c r="C113" i="8" s="1"/>
  <c r="C114" i="8" s="1"/>
  <c r="C102" i="11"/>
  <c r="C113" i="11" s="1"/>
  <c r="C114" i="11" s="1"/>
  <c r="C102" i="15"/>
  <c r="C113" i="15" s="1"/>
  <c r="C102" i="17"/>
  <c r="C113" i="17" s="1"/>
  <c r="C114" i="17" s="1"/>
  <c r="D102" i="28"/>
  <c r="D113" i="28" s="1"/>
  <c r="D114" i="28" s="1"/>
  <c r="C167" i="28" s="1"/>
  <c r="D167" i="28" s="1"/>
  <c r="D102" i="30"/>
  <c r="D113" i="30" s="1"/>
  <c r="D114" i="30" s="1"/>
  <c r="C167" i="30" s="1"/>
  <c r="D167" i="30" s="1"/>
  <c r="C102" i="27"/>
  <c r="C113" i="27" s="1"/>
  <c r="C114" i="27" s="1"/>
  <c r="C102" i="33"/>
  <c r="C113" i="33" s="1"/>
  <c r="C114" i="33" s="1"/>
  <c r="C102" i="35"/>
  <c r="C113" i="35" s="1"/>
  <c r="C114" i="35" s="1"/>
  <c r="C102" i="37"/>
  <c r="C113" i="37" s="1"/>
  <c r="C114" i="37" s="1"/>
  <c r="C102" i="26"/>
  <c r="C113" i="26" s="1"/>
  <c r="C114" i="26" s="1"/>
  <c r="C102" i="29"/>
  <c r="C113" i="29" s="1"/>
  <c r="C114" i="29" s="1"/>
  <c r="E102" i="27"/>
  <c r="E113" i="27" s="1"/>
  <c r="E114" i="27" s="1"/>
  <c r="E26" i="5" s="1"/>
  <c r="E102" i="33"/>
  <c r="E113" i="33" s="1"/>
  <c r="E114" i="33" s="1"/>
  <c r="E102" i="35"/>
  <c r="E113" i="35" s="1"/>
  <c r="E114" i="35" s="1"/>
  <c r="E102" i="37"/>
  <c r="E113" i="37" s="1"/>
  <c r="E114" i="37" s="1"/>
  <c r="D102" i="26"/>
  <c r="D113" i="26" s="1"/>
  <c r="D114" i="26" s="1"/>
  <c r="C167" i="26" s="1"/>
  <c r="D167" i="26" s="1"/>
  <c r="D102" i="29"/>
  <c r="D113" i="29" s="1"/>
  <c r="D114" i="29" s="1"/>
  <c r="C167" i="29" s="1"/>
  <c r="D167" i="29" s="1"/>
  <c r="D102" i="31"/>
  <c r="D113" i="31" s="1"/>
  <c r="D114" i="31" s="1"/>
  <c r="C167" i="31" s="1"/>
  <c r="D167" i="31" s="1"/>
  <c r="C102" i="9"/>
  <c r="C113" i="9" s="1"/>
  <c r="C114" i="9" s="1"/>
  <c r="C102" i="13"/>
  <c r="C113" i="13" s="1"/>
  <c r="C114" i="13" s="1"/>
  <c r="C102" i="19"/>
  <c r="C113" i="19" s="1"/>
  <c r="C114" i="19" s="1"/>
  <c r="C102" i="23"/>
  <c r="C113" i="23" s="1"/>
  <c r="C114" i="23" s="1"/>
  <c r="D102" i="8"/>
  <c r="D113" i="8" s="1"/>
  <c r="D114" i="8" s="1"/>
  <c r="D102" i="11"/>
  <c r="D113" i="11" s="1"/>
  <c r="D114" i="11" s="1"/>
  <c r="D102" i="15"/>
  <c r="D113" i="15" s="1"/>
  <c r="E102" i="13"/>
  <c r="E113" i="13" s="1"/>
  <c r="E114" i="13" s="1"/>
  <c r="E102" i="19"/>
  <c r="E113" i="19" s="1"/>
  <c r="E114" i="19" s="1"/>
  <c r="E102" i="23"/>
  <c r="E113" i="23" s="1"/>
  <c r="E114" i="23" s="1"/>
  <c r="C102" i="10"/>
  <c r="C113" i="10" s="1"/>
  <c r="C114" i="10" s="1"/>
  <c r="C102" i="16"/>
  <c r="C113" i="16" s="1"/>
  <c r="C114" i="16" s="1"/>
  <c r="D102" i="16"/>
  <c r="D113" i="16" s="1"/>
  <c r="D114" i="16" s="1"/>
  <c r="C170" i="18"/>
  <c r="D170" i="18" s="1"/>
  <c r="C167" i="18"/>
  <c r="D167" i="18" s="1"/>
  <c r="C137" i="18"/>
  <c r="C128" i="18"/>
  <c r="C119" i="18"/>
  <c r="P14" i="6"/>
  <c r="C170" i="20"/>
  <c r="D170" i="20" s="1"/>
  <c r="C167" i="20"/>
  <c r="D167" i="20" s="1"/>
  <c r="C137" i="20"/>
  <c r="C128" i="20"/>
  <c r="C119" i="20"/>
  <c r="P16" i="6"/>
  <c r="C170" i="21"/>
  <c r="D170" i="21" s="1"/>
  <c r="C167" i="21"/>
  <c r="D167" i="21" s="1"/>
  <c r="C137" i="21"/>
  <c r="C128" i="21"/>
  <c r="C119" i="21"/>
  <c r="P17" i="6"/>
  <c r="C170" i="22"/>
  <c r="D170" i="22" s="1"/>
  <c r="C167" i="22"/>
  <c r="D167" i="22" s="1"/>
  <c r="C137" i="22"/>
  <c r="C128" i="22"/>
  <c r="C119" i="22"/>
  <c r="P18" i="6"/>
  <c r="D142" i="9"/>
  <c r="E140" i="9"/>
  <c r="D133" i="9"/>
  <c r="E131" i="9"/>
  <c r="D124" i="9"/>
  <c r="E122" i="9"/>
  <c r="D142" i="12"/>
  <c r="E140" i="12"/>
  <c r="D133" i="12"/>
  <c r="E131" i="12"/>
  <c r="D124" i="12"/>
  <c r="E122" i="12"/>
  <c r="D142" i="13"/>
  <c r="E140" i="13"/>
  <c r="D133" i="13"/>
  <c r="E131" i="13"/>
  <c r="D124" i="13"/>
  <c r="E122" i="13"/>
  <c r="D114" i="15"/>
  <c r="C114" i="15"/>
  <c r="D142" i="18"/>
  <c r="E140" i="18"/>
  <c r="D133" i="18"/>
  <c r="E131" i="18"/>
  <c r="D124" i="18"/>
  <c r="E122" i="18"/>
  <c r="D142" i="19"/>
  <c r="E140" i="19"/>
  <c r="D133" i="19"/>
  <c r="E131" i="19"/>
  <c r="D124" i="19"/>
  <c r="E122" i="19"/>
  <c r="D142" i="20"/>
  <c r="E140" i="20"/>
  <c r="D133" i="20"/>
  <c r="E131" i="20"/>
  <c r="D124" i="20"/>
  <c r="E122" i="20"/>
  <c r="D142" i="21"/>
  <c r="E140" i="21"/>
  <c r="D133" i="21"/>
  <c r="E131" i="21"/>
  <c r="D124" i="21"/>
  <c r="E122" i="21"/>
  <c r="D142" i="22"/>
  <c r="E140" i="22"/>
  <c r="D133" i="22"/>
  <c r="E131" i="22"/>
  <c r="D124" i="22"/>
  <c r="E122" i="22"/>
  <c r="D142" i="23"/>
  <c r="E140" i="23"/>
  <c r="D133" i="23"/>
  <c r="E131" i="23"/>
  <c r="D124" i="23"/>
  <c r="E122" i="23"/>
  <c r="D142" i="24"/>
  <c r="E140" i="24"/>
  <c r="D133" i="24"/>
  <c r="E131" i="24"/>
  <c r="D124" i="24"/>
  <c r="E122" i="24"/>
  <c r="C102" i="31" l="1"/>
  <c r="C113" i="31" s="1"/>
  <c r="C114" i="31" s="1"/>
  <c r="C170" i="31" s="1"/>
  <c r="D170" i="31" s="1"/>
  <c r="E102" i="32"/>
  <c r="E113" i="32" s="1"/>
  <c r="E114" i="32" s="1"/>
  <c r="E102" i="8"/>
  <c r="E113" i="8" s="1"/>
  <c r="E102" i="34"/>
  <c r="E113" i="34" s="1"/>
  <c r="E114" i="34" s="1"/>
  <c r="E35" i="5" s="1"/>
  <c r="E40" i="5" s="1"/>
  <c r="C102" i="14"/>
  <c r="C113" i="14" s="1"/>
  <c r="C114" i="14" s="1"/>
  <c r="C155" i="14" s="1"/>
  <c r="D155" i="14" s="1"/>
  <c r="E114" i="8"/>
  <c r="E4" i="5" s="1"/>
  <c r="E21" i="5" s="1"/>
  <c r="E167" i="31"/>
  <c r="C173" i="30"/>
  <c r="D173" i="30" s="1"/>
  <c r="C170" i="30"/>
  <c r="D170" i="30" s="1"/>
  <c r="C146" i="30"/>
  <c r="C137" i="30"/>
  <c r="C128" i="30"/>
  <c r="C119" i="30"/>
  <c r="Q11" i="25"/>
  <c r="E167" i="30"/>
  <c r="C173" i="29"/>
  <c r="D173" i="29" s="1"/>
  <c r="C170" i="29"/>
  <c r="D170" i="29" s="1"/>
  <c r="C146" i="29"/>
  <c r="C137" i="29"/>
  <c r="C128" i="29"/>
  <c r="C119" i="29"/>
  <c r="Q10" i="25"/>
  <c r="E167" i="29"/>
  <c r="C173" i="28"/>
  <c r="D173" i="28" s="1"/>
  <c r="C170" i="28"/>
  <c r="D170" i="28" s="1"/>
  <c r="C161" i="28"/>
  <c r="D161" i="28" s="1"/>
  <c r="C158" i="28"/>
  <c r="D158" i="28" s="1"/>
  <c r="C152" i="28"/>
  <c r="C137" i="28"/>
  <c r="C128" i="28"/>
  <c r="C119" i="28"/>
  <c r="Q9" i="25"/>
  <c r="E167" i="28"/>
  <c r="C173" i="26"/>
  <c r="D173" i="26" s="1"/>
  <c r="C170" i="26"/>
  <c r="D170" i="26" s="1"/>
  <c r="C161" i="26"/>
  <c r="D161" i="26" s="1"/>
  <c r="C158" i="26"/>
  <c r="D158" i="26" s="1"/>
  <c r="C152" i="26"/>
  <c r="D152" i="26" s="1"/>
  <c r="C137" i="26"/>
  <c r="C128" i="26"/>
  <c r="C119" i="26"/>
  <c r="Q8" i="25"/>
  <c r="Q6" i="25"/>
  <c r="Q3" i="25"/>
  <c r="E167" i="26"/>
  <c r="C170" i="17"/>
  <c r="D170" i="17" s="1"/>
  <c r="C167" i="17"/>
  <c r="D167" i="17" s="1"/>
  <c r="C137" i="17"/>
  <c r="C128" i="17"/>
  <c r="C119" i="17"/>
  <c r="P13" i="6"/>
  <c r="C164" i="17"/>
  <c r="D164" i="17" s="1"/>
  <c r="C140" i="17"/>
  <c r="C131" i="17"/>
  <c r="C122" i="17"/>
  <c r="C170" i="16"/>
  <c r="D170" i="16" s="1"/>
  <c r="C167" i="16"/>
  <c r="D167" i="16" s="1"/>
  <c r="C137" i="16"/>
  <c r="C128" i="16"/>
  <c r="C119" i="16"/>
  <c r="P12" i="6"/>
  <c r="C164" i="16"/>
  <c r="D164" i="16" s="1"/>
  <c r="C140" i="16"/>
  <c r="C131" i="16"/>
  <c r="C122" i="16"/>
  <c r="C170" i="15"/>
  <c r="D170" i="15" s="1"/>
  <c r="C167" i="15"/>
  <c r="D167" i="15" s="1"/>
  <c r="C158" i="15"/>
  <c r="D158" i="15" s="1"/>
  <c r="C155" i="15"/>
  <c r="D155" i="15" s="1"/>
  <c r="C152" i="15"/>
  <c r="D152" i="15" s="1"/>
  <c r="C137" i="15"/>
  <c r="C128" i="15"/>
  <c r="C119" i="15"/>
  <c r="P11" i="6"/>
  <c r="C164" i="15"/>
  <c r="D164" i="15" s="1"/>
  <c r="C140" i="15"/>
  <c r="C131" i="15"/>
  <c r="C122" i="15"/>
  <c r="C164" i="14"/>
  <c r="D164" i="14" s="1"/>
  <c r="C140" i="14"/>
  <c r="C131" i="14"/>
  <c r="C122" i="14"/>
  <c r="C170" i="11"/>
  <c r="D170" i="11" s="1"/>
  <c r="C167" i="11"/>
  <c r="D167" i="11" s="1"/>
  <c r="C158" i="11"/>
  <c r="D158" i="11" s="1"/>
  <c r="C155" i="11"/>
  <c r="D155" i="11" s="1"/>
  <c r="C152" i="11"/>
  <c r="D152" i="11" s="1"/>
  <c r="C146" i="11"/>
  <c r="C137" i="11"/>
  <c r="C128" i="11"/>
  <c r="C119" i="11"/>
  <c r="P7" i="6"/>
  <c r="C164" i="11"/>
  <c r="D164" i="11" s="1"/>
  <c r="C140" i="11"/>
  <c r="C131" i="11"/>
  <c r="C122" i="11"/>
  <c r="C170" i="10"/>
  <c r="D170" i="10" s="1"/>
  <c r="C167" i="10"/>
  <c r="D167" i="10" s="1"/>
  <c r="C158" i="10"/>
  <c r="D158" i="10" s="1"/>
  <c r="C155" i="10"/>
  <c r="D155" i="10" s="1"/>
  <c r="C152" i="10"/>
  <c r="D152" i="10" s="1"/>
  <c r="C146" i="10"/>
  <c r="C137" i="10"/>
  <c r="C128" i="10"/>
  <c r="C119" i="10"/>
  <c r="P6" i="6"/>
  <c r="C164" i="10"/>
  <c r="D164" i="10" s="1"/>
  <c r="C140" i="10"/>
  <c r="C131" i="10"/>
  <c r="C122" i="10"/>
  <c r="C171" i="8"/>
  <c r="D171" i="8" s="1"/>
  <c r="E171" i="8" s="1"/>
  <c r="C170" i="8"/>
  <c r="D170" i="8" s="1"/>
  <c r="C167" i="8"/>
  <c r="D167" i="8" s="1"/>
  <c r="C158" i="8"/>
  <c r="D158" i="8" s="1"/>
  <c r="C155" i="8"/>
  <c r="D155" i="8" s="1"/>
  <c r="C152" i="8"/>
  <c r="D152" i="8" s="1"/>
  <c r="C146" i="8"/>
  <c r="C137" i="8"/>
  <c r="C128" i="8"/>
  <c r="C119" i="8"/>
  <c r="P4" i="6"/>
  <c r="P3" i="6"/>
  <c r="C164" i="8"/>
  <c r="D164" i="8" s="1"/>
  <c r="C140" i="8"/>
  <c r="C131" i="8"/>
  <c r="C122" i="8"/>
  <c r="C171" i="24"/>
  <c r="D171" i="24" s="1"/>
  <c r="E171" i="24" s="1"/>
  <c r="C168" i="24"/>
  <c r="D168" i="24" s="1"/>
  <c r="E168" i="24" s="1"/>
  <c r="C165" i="24"/>
  <c r="D165" i="24" s="1"/>
  <c r="C159" i="24"/>
  <c r="D159" i="24" s="1"/>
  <c r="E159" i="24" s="1"/>
  <c r="C156" i="24"/>
  <c r="D156" i="24" s="1"/>
  <c r="E156" i="24" s="1"/>
  <c r="C120" i="24"/>
  <c r="C171" i="23"/>
  <c r="D171" i="23" s="1"/>
  <c r="E171" i="23" s="1"/>
  <c r="C168" i="23"/>
  <c r="D168" i="23" s="1"/>
  <c r="E168" i="23" s="1"/>
  <c r="C165" i="23"/>
  <c r="D165" i="23" s="1"/>
  <c r="C159" i="23"/>
  <c r="D159" i="23" s="1"/>
  <c r="E159" i="23" s="1"/>
  <c r="C156" i="23"/>
  <c r="D156" i="23" s="1"/>
  <c r="E156" i="23" s="1"/>
  <c r="C120" i="23"/>
  <c r="C171" i="22"/>
  <c r="D171" i="22" s="1"/>
  <c r="E171" i="22" s="1"/>
  <c r="C168" i="22"/>
  <c r="D168" i="22" s="1"/>
  <c r="E168" i="22" s="1"/>
  <c r="C165" i="22"/>
  <c r="D165" i="22" s="1"/>
  <c r="C159" i="22"/>
  <c r="D159" i="22" s="1"/>
  <c r="E159" i="22" s="1"/>
  <c r="C156" i="22"/>
  <c r="D156" i="22" s="1"/>
  <c r="E156" i="22" s="1"/>
  <c r="C120" i="22"/>
  <c r="C171" i="21"/>
  <c r="D171" i="21" s="1"/>
  <c r="E171" i="21" s="1"/>
  <c r="C168" i="21"/>
  <c r="D168" i="21" s="1"/>
  <c r="E168" i="21" s="1"/>
  <c r="C165" i="21"/>
  <c r="D165" i="21" s="1"/>
  <c r="C159" i="21"/>
  <c r="D159" i="21" s="1"/>
  <c r="E159" i="21" s="1"/>
  <c r="C156" i="21"/>
  <c r="D156" i="21" s="1"/>
  <c r="E156" i="21" s="1"/>
  <c r="C120" i="21"/>
  <c r="C171" i="20"/>
  <c r="D171" i="20" s="1"/>
  <c r="E171" i="20" s="1"/>
  <c r="C168" i="20"/>
  <c r="D168" i="20" s="1"/>
  <c r="E168" i="20" s="1"/>
  <c r="C165" i="20"/>
  <c r="D165" i="20" s="1"/>
  <c r="C159" i="20"/>
  <c r="D159" i="20" s="1"/>
  <c r="E159" i="20" s="1"/>
  <c r="C156" i="20"/>
  <c r="D156" i="20" s="1"/>
  <c r="E156" i="20" s="1"/>
  <c r="C120" i="20"/>
  <c r="C171" i="19"/>
  <c r="D171" i="19" s="1"/>
  <c r="E171" i="19" s="1"/>
  <c r="C168" i="19"/>
  <c r="D168" i="19" s="1"/>
  <c r="E168" i="19" s="1"/>
  <c r="C165" i="19"/>
  <c r="D165" i="19" s="1"/>
  <c r="C159" i="19"/>
  <c r="D159" i="19" s="1"/>
  <c r="E159" i="19" s="1"/>
  <c r="C156" i="19"/>
  <c r="D156" i="19" s="1"/>
  <c r="E156" i="19" s="1"/>
  <c r="C120" i="19"/>
  <c r="C171" i="18"/>
  <c r="D171" i="18" s="1"/>
  <c r="E171" i="18" s="1"/>
  <c r="C168" i="18"/>
  <c r="D168" i="18" s="1"/>
  <c r="E168" i="18" s="1"/>
  <c r="C165" i="18"/>
  <c r="D165" i="18" s="1"/>
  <c r="C159" i="18"/>
  <c r="D159" i="18" s="1"/>
  <c r="E159" i="18" s="1"/>
  <c r="C156" i="18"/>
  <c r="D156" i="18" s="1"/>
  <c r="E156" i="18" s="1"/>
  <c r="C120" i="18"/>
  <c r="C171" i="17"/>
  <c r="D171" i="17" s="1"/>
  <c r="E171" i="17" s="1"/>
  <c r="C168" i="17"/>
  <c r="D168" i="17" s="1"/>
  <c r="E168" i="17" s="1"/>
  <c r="C165" i="17"/>
  <c r="D165" i="17" s="1"/>
  <c r="E165" i="17" s="1"/>
  <c r="C159" i="17"/>
  <c r="D159" i="17" s="1"/>
  <c r="E159" i="17" s="1"/>
  <c r="C156" i="17"/>
  <c r="D156" i="17" s="1"/>
  <c r="E156" i="17" s="1"/>
  <c r="C120" i="17"/>
  <c r="C171" i="16"/>
  <c r="D171" i="16" s="1"/>
  <c r="E171" i="16" s="1"/>
  <c r="C168" i="16"/>
  <c r="D168" i="16" s="1"/>
  <c r="E168" i="16" s="1"/>
  <c r="C165" i="16"/>
  <c r="D165" i="16" s="1"/>
  <c r="E165" i="16" s="1"/>
  <c r="C159" i="16"/>
  <c r="D159" i="16" s="1"/>
  <c r="E159" i="16" s="1"/>
  <c r="C156" i="16"/>
  <c r="D156" i="16" s="1"/>
  <c r="E156" i="16" s="1"/>
  <c r="C120" i="16"/>
  <c r="C171" i="15"/>
  <c r="D171" i="15" s="1"/>
  <c r="E171" i="15" s="1"/>
  <c r="C168" i="15"/>
  <c r="D168" i="15" s="1"/>
  <c r="E168" i="15" s="1"/>
  <c r="C165" i="15"/>
  <c r="D165" i="15" s="1"/>
  <c r="E165" i="15" s="1"/>
  <c r="C159" i="15"/>
  <c r="D159" i="15" s="1"/>
  <c r="E159" i="15" s="1"/>
  <c r="C156" i="15"/>
  <c r="D156" i="15" s="1"/>
  <c r="E156" i="15" s="1"/>
  <c r="C120" i="15"/>
  <c r="C171" i="14"/>
  <c r="D171" i="14" s="1"/>
  <c r="E171" i="14" s="1"/>
  <c r="C168" i="14"/>
  <c r="D168" i="14" s="1"/>
  <c r="E168" i="14" s="1"/>
  <c r="C165" i="14"/>
  <c r="D165" i="14" s="1"/>
  <c r="E165" i="14" s="1"/>
  <c r="C159" i="14"/>
  <c r="D159" i="14" s="1"/>
  <c r="E159" i="14" s="1"/>
  <c r="C156" i="14"/>
  <c r="D156" i="14" s="1"/>
  <c r="E156" i="14" s="1"/>
  <c r="C120" i="14"/>
  <c r="C171" i="13"/>
  <c r="D171" i="13" s="1"/>
  <c r="E171" i="13" s="1"/>
  <c r="C168" i="13"/>
  <c r="D168" i="13" s="1"/>
  <c r="E168" i="13" s="1"/>
  <c r="C165" i="13"/>
  <c r="D165" i="13" s="1"/>
  <c r="C159" i="13"/>
  <c r="D159" i="13" s="1"/>
  <c r="E159" i="13" s="1"/>
  <c r="C156" i="13"/>
  <c r="D156" i="13" s="1"/>
  <c r="E156" i="13" s="1"/>
  <c r="C120" i="13"/>
  <c r="C171" i="12"/>
  <c r="D171" i="12" s="1"/>
  <c r="E171" i="12" s="1"/>
  <c r="C168" i="12"/>
  <c r="D168" i="12" s="1"/>
  <c r="E168" i="12" s="1"/>
  <c r="C165" i="12"/>
  <c r="D165" i="12" s="1"/>
  <c r="C159" i="12"/>
  <c r="D159" i="12" s="1"/>
  <c r="E159" i="12" s="1"/>
  <c r="C156" i="12"/>
  <c r="D156" i="12" s="1"/>
  <c r="E156" i="12" s="1"/>
  <c r="C120" i="12"/>
  <c r="C171" i="11"/>
  <c r="D171" i="11" s="1"/>
  <c r="E171" i="11" s="1"/>
  <c r="C168" i="11"/>
  <c r="D168" i="11" s="1"/>
  <c r="E168" i="11" s="1"/>
  <c r="C165" i="11"/>
  <c r="D165" i="11" s="1"/>
  <c r="E165" i="11" s="1"/>
  <c r="C159" i="11"/>
  <c r="D159" i="11" s="1"/>
  <c r="E159" i="11" s="1"/>
  <c r="C156" i="11"/>
  <c r="D156" i="11" s="1"/>
  <c r="E156" i="11" s="1"/>
  <c r="C120" i="11"/>
  <c r="C171" i="10"/>
  <c r="D171" i="10" s="1"/>
  <c r="E171" i="10" s="1"/>
  <c r="C168" i="10"/>
  <c r="D168" i="10" s="1"/>
  <c r="E168" i="10" s="1"/>
  <c r="C165" i="10"/>
  <c r="D165" i="10" s="1"/>
  <c r="E165" i="10" s="1"/>
  <c r="C159" i="10"/>
  <c r="D159" i="10" s="1"/>
  <c r="E159" i="10" s="1"/>
  <c r="C156" i="10"/>
  <c r="D156" i="10" s="1"/>
  <c r="E156" i="10" s="1"/>
  <c r="C120" i="10"/>
  <c r="C171" i="9"/>
  <c r="D171" i="9" s="1"/>
  <c r="E171" i="9" s="1"/>
  <c r="C168" i="9"/>
  <c r="D168" i="9" s="1"/>
  <c r="E168" i="9" s="1"/>
  <c r="C165" i="9"/>
  <c r="D165" i="9" s="1"/>
  <c r="C159" i="9"/>
  <c r="D159" i="9" s="1"/>
  <c r="E159" i="9" s="1"/>
  <c r="C156" i="9"/>
  <c r="D156" i="9" s="1"/>
  <c r="E156" i="9" s="1"/>
  <c r="C120" i="9"/>
  <c r="C168" i="8"/>
  <c r="D168" i="8" s="1"/>
  <c r="E168" i="8" s="1"/>
  <c r="C165" i="8"/>
  <c r="D165" i="8" s="1"/>
  <c r="E165" i="8" s="1"/>
  <c r="C159" i="8"/>
  <c r="D159" i="8" s="1"/>
  <c r="E159" i="8" s="1"/>
  <c r="C156" i="8"/>
  <c r="D156" i="8" s="1"/>
  <c r="E156" i="8" s="1"/>
  <c r="C120" i="8"/>
  <c r="C174" i="37"/>
  <c r="D174" i="37" s="1"/>
  <c r="E174" i="37" s="1"/>
  <c r="C171" i="37"/>
  <c r="D171" i="37" s="1"/>
  <c r="E171" i="37" s="1"/>
  <c r="C168" i="37"/>
  <c r="D168" i="37" s="1"/>
  <c r="C162" i="37"/>
  <c r="D162" i="37" s="1"/>
  <c r="E162" i="37" s="1"/>
  <c r="C159" i="37"/>
  <c r="D159" i="37" s="1"/>
  <c r="E159" i="37" s="1"/>
  <c r="C156" i="37"/>
  <c r="D156" i="37" s="1"/>
  <c r="E156" i="37" s="1"/>
  <c r="C153" i="37"/>
  <c r="D153" i="37" s="1"/>
  <c r="E153" i="37" s="1"/>
  <c r="C147" i="37"/>
  <c r="D147" i="37" s="1"/>
  <c r="E147" i="37" s="1"/>
  <c r="C138" i="37"/>
  <c r="D138" i="37" s="1"/>
  <c r="E138" i="37" s="1"/>
  <c r="C129" i="37"/>
  <c r="D129" i="37" s="1"/>
  <c r="E129" i="37" s="1"/>
  <c r="C120" i="37"/>
  <c r="D120" i="37" s="1"/>
  <c r="E120" i="37" s="1"/>
  <c r="C174" i="36"/>
  <c r="D174" i="36" s="1"/>
  <c r="E174" i="36" s="1"/>
  <c r="C171" i="36"/>
  <c r="D171" i="36" s="1"/>
  <c r="E171" i="36" s="1"/>
  <c r="C168" i="36"/>
  <c r="D168" i="36" s="1"/>
  <c r="C162" i="36"/>
  <c r="D162" i="36" s="1"/>
  <c r="E162" i="36" s="1"/>
  <c r="C159" i="36"/>
  <c r="D159" i="36" s="1"/>
  <c r="E159" i="36" s="1"/>
  <c r="C156" i="36"/>
  <c r="D156" i="36" s="1"/>
  <c r="E156" i="36" s="1"/>
  <c r="C153" i="36"/>
  <c r="D153" i="36" s="1"/>
  <c r="E153" i="36" s="1"/>
  <c r="C147" i="36"/>
  <c r="D147" i="36" s="1"/>
  <c r="E147" i="36" s="1"/>
  <c r="C138" i="36"/>
  <c r="D138" i="36" s="1"/>
  <c r="E138" i="36" s="1"/>
  <c r="C129" i="36"/>
  <c r="D129" i="36" s="1"/>
  <c r="E129" i="36" s="1"/>
  <c r="C120" i="36"/>
  <c r="D120" i="36" s="1"/>
  <c r="E120" i="36" s="1"/>
  <c r="C174" i="35"/>
  <c r="D174" i="35" s="1"/>
  <c r="E174" i="35" s="1"/>
  <c r="C171" i="35"/>
  <c r="D171" i="35" s="1"/>
  <c r="E171" i="35" s="1"/>
  <c r="C168" i="35"/>
  <c r="D168" i="35" s="1"/>
  <c r="C162" i="35"/>
  <c r="D162" i="35" s="1"/>
  <c r="E162" i="35" s="1"/>
  <c r="C159" i="35"/>
  <c r="D159" i="35" s="1"/>
  <c r="E159" i="35" s="1"/>
  <c r="C156" i="35"/>
  <c r="D156" i="35" s="1"/>
  <c r="E156" i="35" s="1"/>
  <c r="C153" i="35"/>
  <c r="D153" i="35" s="1"/>
  <c r="E153" i="35" s="1"/>
  <c r="C147" i="35"/>
  <c r="D147" i="35" s="1"/>
  <c r="E147" i="35" s="1"/>
  <c r="C138" i="35"/>
  <c r="D138" i="35" s="1"/>
  <c r="E138" i="35" s="1"/>
  <c r="C129" i="35"/>
  <c r="D129" i="35" s="1"/>
  <c r="E129" i="35" s="1"/>
  <c r="C120" i="35"/>
  <c r="D120" i="35" s="1"/>
  <c r="E120" i="35" s="1"/>
  <c r="C174" i="34"/>
  <c r="D174" i="34" s="1"/>
  <c r="E174" i="34" s="1"/>
  <c r="C171" i="34"/>
  <c r="D171" i="34" s="1"/>
  <c r="E171" i="34" s="1"/>
  <c r="C168" i="34"/>
  <c r="D168" i="34" s="1"/>
  <c r="C162" i="34"/>
  <c r="D162" i="34" s="1"/>
  <c r="E162" i="34" s="1"/>
  <c r="C159" i="34"/>
  <c r="D159" i="34" s="1"/>
  <c r="E159" i="34" s="1"/>
  <c r="C156" i="34"/>
  <c r="D156" i="34" s="1"/>
  <c r="E156" i="34" s="1"/>
  <c r="C153" i="34"/>
  <c r="D153" i="34" s="1"/>
  <c r="E153" i="34" s="1"/>
  <c r="C147" i="34"/>
  <c r="D147" i="34" s="1"/>
  <c r="E147" i="34" s="1"/>
  <c r="C138" i="34"/>
  <c r="D138" i="34" s="1"/>
  <c r="E138" i="34" s="1"/>
  <c r="C129" i="34"/>
  <c r="D129" i="34" s="1"/>
  <c r="E129" i="34" s="1"/>
  <c r="C120" i="34"/>
  <c r="D120" i="34" s="1"/>
  <c r="E120" i="34" s="1"/>
  <c r="C174" i="33"/>
  <c r="D174" i="33" s="1"/>
  <c r="E174" i="33" s="1"/>
  <c r="C171" i="33"/>
  <c r="D171" i="33" s="1"/>
  <c r="E171" i="33" s="1"/>
  <c r="C168" i="33"/>
  <c r="D168" i="33" s="1"/>
  <c r="C162" i="33"/>
  <c r="D162" i="33" s="1"/>
  <c r="E162" i="33" s="1"/>
  <c r="C159" i="33"/>
  <c r="D159" i="33" s="1"/>
  <c r="E159" i="33" s="1"/>
  <c r="C156" i="33"/>
  <c r="D156" i="33" s="1"/>
  <c r="E156" i="33" s="1"/>
  <c r="C153" i="33"/>
  <c r="D153" i="33" s="1"/>
  <c r="E153" i="33" s="1"/>
  <c r="C147" i="33"/>
  <c r="D147" i="33" s="1"/>
  <c r="E147" i="33" s="1"/>
  <c r="C138" i="33"/>
  <c r="D138" i="33" s="1"/>
  <c r="E138" i="33" s="1"/>
  <c r="C129" i="33"/>
  <c r="D129" i="33" s="1"/>
  <c r="E129" i="33" s="1"/>
  <c r="C120" i="33"/>
  <c r="D120" i="33" s="1"/>
  <c r="E120" i="33" s="1"/>
  <c r="C174" i="32"/>
  <c r="D174" i="32" s="1"/>
  <c r="E174" i="32" s="1"/>
  <c r="C171" i="32"/>
  <c r="D171" i="32" s="1"/>
  <c r="E171" i="32" s="1"/>
  <c r="C168" i="32"/>
  <c r="D168" i="32" s="1"/>
  <c r="C162" i="32"/>
  <c r="D162" i="32" s="1"/>
  <c r="E162" i="32" s="1"/>
  <c r="C159" i="32"/>
  <c r="D159" i="32" s="1"/>
  <c r="E159" i="32" s="1"/>
  <c r="C156" i="32"/>
  <c r="D156" i="32" s="1"/>
  <c r="E156" i="32" s="1"/>
  <c r="C153" i="32"/>
  <c r="D153" i="32" s="1"/>
  <c r="E153" i="32" s="1"/>
  <c r="C147" i="32"/>
  <c r="D147" i="32" s="1"/>
  <c r="E147" i="32" s="1"/>
  <c r="C138" i="32"/>
  <c r="D138" i="32" s="1"/>
  <c r="E138" i="32" s="1"/>
  <c r="C129" i="32"/>
  <c r="D129" i="32" s="1"/>
  <c r="E129" i="32" s="1"/>
  <c r="C120" i="32"/>
  <c r="D120" i="32" s="1"/>
  <c r="E120" i="32" s="1"/>
  <c r="C174" i="31"/>
  <c r="D174" i="31" s="1"/>
  <c r="E174" i="31" s="1"/>
  <c r="C171" i="31"/>
  <c r="D171" i="31" s="1"/>
  <c r="E171" i="31" s="1"/>
  <c r="C168" i="31"/>
  <c r="D168" i="31" s="1"/>
  <c r="C162" i="31"/>
  <c r="D162" i="31" s="1"/>
  <c r="E162" i="31" s="1"/>
  <c r="C159" i="31"/>
  <c r="D159" i="31" s="1"/>
  <c r="E159" i="31" s="1"/>
  <c r="C156" i="31"/>
  <c r="D156" i="31" s="1"/>
  <c r="E156" i="31" s="1"/>
  <c r="C153" i="31"/>
  <c r="D153" i="31" s="1"/>
  <c r="E153" i="31" s="1"/>
  <c r="C147" i="31"/>
  <c r="D147" i="31" s="1"/>
  <c r="E147" i="31" s="1"/>
  <c r="C138" i="31"/>
  <c r="D138" i="31" s="1"/>
  <c r="E138" i="31" s="1"/>
  <c r="C129" i="31"/>
  <c r="D129" i="31" s="1"/>
  <c r="E129" i="31" s="1"/>
  <c r="C120" i="31"/>
  <c r="D120" i="31" s="1"/>
  <c r="E120" i="31" s="1"/>
  <c r="C174" i="30"/>
  <c r="D174" i="30" s="1"/>
  <c r="E174" i="30" s="1"/>
  <c r="C171" i="30"/>
  <c r="D171" i="30" s="1"/>
  <c r="E171" i="30" s="1"/>
  <c r="C168" i="30"/>
  <c r="D168" i="30" s="1"/>
  <c r="C162" i="30"/>
  <c r="D162" i="30" s="1"/>
  <c r="E162" i="30" s="1"/>
  <c r="C159" i="30"/>
  <c r="D159" i="30" s="1"/>
  <c r="E159" i="30" s="1"/>
  <c r="C156" i="30"/>
  <c r="D156" i="30" s="1"/>
  <c r="E156" i="30" s="1"/>
  <c r="C153" i="30"/>
  <c r="D153" i="30" s="1"/>
  <c r="E153" i="30" s="1"/>
  <c r="C147" i="30"/>
  <c r="D147" i="30" s="1"/>
  <c r="E147" i="30" s="1"/>
  <c r="C138" i="30"/>
  <c r="D138" i="30" s="1"/>
  <c r="E138" i="30" s="1"/>
  <c r="C129" i="30"/>
  <c r="D129" i="30" s="1"/>
  <c r="E129" i="30" s="1"/>
  <c r="C120" i="30"/>
  <c r="D120" i="30" s="1"/>
  <c r="E120" i="30" s="1"/>
  <c r="C174" i="29"/>
  <c r="D174" i="29" s="1"/>
  <c r="E174" i="29" s="1"/>
  <c r="C171" i="29"/>
  <c r="D171" i="29" s="1"/>
  <c r="E171" i="29" s="1"/>
  <c r="C168" i="29"/>
  <c r="D168" i="29" s="1"/>
  <c r="C162" i="29"/>
  <c r="D162" i="29" s="1"/>
  <c r="E162" i="29" s="1"/>
  <c r="C159" i="29"/>
  <c r="D159" i="29" s="1"/>
  <c r="E159" i="29" s="1"/>
  <c r="C156" i="29"/>
  <c r="D156" i="29" s="1"/>
  <c r="E156" i="29" s="1"/>
  <c r="C153" i="29"/>
  <c r="D153" i="29" s="1"/>
  <c r="E153" i="29" s="1"/>
  <c r="C147" i="29"/>
  <c r="D147" i="29" s="1"/>
  <c r="E147" i="29" s="1"/>
  <c r="C138" i="29"/>
  <c r="D138" i="29" s="1"/>
  <c r="E138" i="29" s="1"/>
  <c r="C129" i="29"/>
  <c r="D129" i="29" s="1"/>
  <c r="E129" i="29" s="1"/>
  <c r="C120" i="29"/>
  <c r="D120" i="29" s="1"/>
  <c r="E120" i="29" s="1"/>
  <c r="C174" i="28"/>
  <c r="D174" i="28" s="1"/>
  <c r="E174" i="28" s="1"/>
  <c r="C171" i="28"/>
  <c r="D171" i="28" s="1"/>
  <c r="E171" i="28" s="1"/>
  <c r="C168" i="28"/>
  <c r="D168" i="28" s="1"/>
  <c r="C162" i="28"/>
  <c r="D162" i="28" s="1"/>
  <c r="E162" i="28" s="1"/>
  <c r="C159" i="28"/>
  <c r="D159" i="28" s="1"/>
  <c r="E159" i="28" s="1"/>
  <c r="C156" i="28"/>
  <c r="D156" i="28" s="1"/>
  <c r="E156" i="28" s="1"/>
  <c r="C153" i="28"/>
  <c r="D153" i="28" s="1"/>
  <c r="E153" i="28" s="1"/>
  <c r="C147" i="28"/>
  <c r="D147" i="28" s="1"/>
  <c r="E147" i="28" s="1"/>
  <c r="C138" i="28"/>
  <c r="D138" i="28" s="1"/>
  <c r="E138" i="28" s="1"/>
  <c r="C129" i="28"/>
  <c r="D129" i="28" s="1"/>
  <c r="E129" i="28" s="1"/>
  <c r="C120" i="28"/>
  <c r="D120" i="28" s="1"/>
  <c r="E120" i="28" s="1"/>
  <c r="C174" i="27"/>
  <c r="D174" i="27" s="1"/>
  <c r="E174" i="27" s="1"/>
  <c r="C171" i="27"/>
  <c r="D171" i="27" s="1"/>
  <c r="E171" i="27" s="1"/>
  <c r="C168" i="27"/>
  <c r="D168" i="27" s="1"/>
  <c r="C162" i="27"/>
  <c r="D162" i="27" s="1"/>
  <c r="E162" i="27" s="1"/>
  <c r="C159" i="27"/>
  <c r="D159" i="27" s="1"/>
  <c r="E159" i="27" s="1"/>
  <c r="C156" i="27"/>
  <c r="D156" i="27" s="1"/>
  <c r="E156" i="27" s="1"/>
  <c r="C153" i="27"/>
  <c r="D153" i="27" s="1"/>
  <c r="E153" i="27" s="1"/>
  <c r="C147" i="27"/>
  <c r="D147" i="27" s="1"/>
  <c r="E147" i="27" s="1"/>
  <c r="C138" i="27"/>
  <c r="D138" i="27" s="1"/>
  <c r="E138" i="27" s="1"/>
  <c r="C129" i="27"/>
  <c r="D129" i="27" s="1"/>
  <c r="E129" i="27" s="1"/>
  <c r="C120" i="27"/>
  <c r="D120" i="27" s="1"/>
  <c r="E120" i="27" s="1"/>
  <c r="C174" i="26"/>
  <c r="D174" i="26" s="1"/>
  <c r="E174" i="26" s="1"/>
  <c r="C171" i="26"/>
  <c r="D171" i="26" s="1"/>
  <c r="E171" i="26" s="1"/>
  <c r="C168" i="26"/>
  <c r="D168" i="26" s="1"/>
  <c r="C162" i="26"/>
  <c r="D162" i="26" s="1"/>
  <c r="E162" i="26" s="1"/>
  <c r="C159" i="26"/>
  <c r="D159" i="26" s="1"/>
  <c r="E159" i="26" s="1"/>
  <c r="C156" i="26"/>
  <c r="D156" i="26" s="1"/>
  <c r="E156" i="26" s="1"/>
  <c r="C153" i="26"/>
  <c r="D153" i="26" s="1"/>
  <c r="E153" i="26" s="1"/>
  <c r="C147" i="26"/>
  <c r="D147" i="26" s="1"/>
  <c r="E147" i="26" s="1"/>
  <c r="C138" i="26"/>
  <c r="D138" i="26" s="1"/>
  <c r="E138" i="26" s="1"/>
  <c r="C129" i="26"/>
  <c r="D129" i="26" s="1"/>
  <c r="E129" i="26" s="1"/>
  <c r="C120" i="26"/>
  <c r="D120" i="26" s="1"/>
  <c r="E120" i="26" s="1"/>
  <c r="C173" i="37"/>
  <c r="D173" i="37" s="1"/>
  <c r="C170" i="37"/>
  <c r="D170" i="37" s="1"/>
  <c r="C146" i="37"/>
  <c r="C137" i="37"/>
  <c r="C128" i="37"/>
  <c r="C119" i="37"/>
  <c r="Q19" i="25"/>
  <c r="C173" i="36"/>
  <c r="D173" i="36" s="1"/>
  <c r="C170" i="36"/>
  <c r="D170" i="36" s="1"/>
  <c r="C146" i="36"/>
  <c r="C137" i="36"/>
  <c r="C128" i="36"/>
  <c r="C119" i="36"/>
  <c r="Q18" i="25"/>
  <c r="C173" i="35"/>
  <c r="D173" i="35" s="1"/>
  <c r="C170" i="35"/>
  <c r="D170" i="35" s="1"/>
  <c r="C146" i="35"/>
  <c r="C137" i="35"/>
  <c r="C128" i="35"/>
  <c r="C119" i="35"/>
  <c r="Q17" i="25"/>
  <c r="C173" i="34"/>
  <c r="D173" i="34" s="1"/>
  <c r="C170" i="34"/>
  <c r="D170" i="34" s="1"/>
  <c r="C146" i="34"/>
  <c r="C137" i="34"/>
  <c r="C128" i="34"/>
  <c r="C119" i="34"/>
  <c r="Q15" i="25"/>
  <c r="C173" i="33"/>
  <c r="D173" i="33" s="1"/>
  <c r="C170" i="33"/>
  <c r="D170" i="33" s="1"/>
  <c r="C146" i="33"/>
  <c r="C137" i="33"/>
  <c r="C128" i="33"/>
  <c r="C119" i="33"/>
  <c r="Q14" i="25"/>
  <c r="C173" i="32"/>
  <c r="D173" i="32" s="1"/>
  <c r="C170" i="32"/>
  <c r="D170" i="32" s="1"/>
  <c r="C146" i="32"/>
  <c r="C137" i="32"/>
  <c r="C128" i="32"/>
  <c r="C119" i="32"/>
  <c r="Q13" i="25"/>
  <c r="C173" i="27"/>
  <c r="D173" i="27" s="1"/>
  <c r="C170" i="27"/>
  <c r="D170" i="27" s="1"/>
  <c r="C161" i="27"/>
  <c r="D161" i="27" s="1"/>
  <c r="C158" i="27"/>
  <c r="D158" i="27" s="1"/>
  <c r="C152" i="27"/>
  <c r="C137" i="27"/>
  <c r="C128" i="27"/>
  <c r="C119" i="27"/>
  <c r="Q7" i="25"/>
  <c r="Q5" i="25"/>
  <c r="Q4" i="25"/>
  <c r="C170" i="24"/>
  <c r="D170" i="24" s="1"/>
  <c r="C167" i="24"/>
  <c r="D167" i="24" s="1"/>
  <c r="C137" i="24"/>
  <c r="C128" i="24"/>
  <c r="C119" i="24"/>
  <c r="P20" i="6"/>
  <c r="C170" i="23"/>
  <c r="D170" i="23" s="1"/>
  <c r="C167" i="23"/>
  <c r="D167" i="23" s="1"/>
  <c r="C137" i="23"/>
  <c r="C128" i="23"/>
  <c r="C119" i="23"/>
  <c r="P19" i="6"/>
  <c r="D119" i="22"/>
  <c r="D128" i="22"/>
  <c r="C146" i="22"/>
  <c r="D137" i="22"/>
  <c r="E167" i="22"/>
  <c r="E170" i="22"/>
  <c r="D119" i="21"/>
  <c r="D128" i="21"/>
  <c r="C146" i="21"/>
  <c r="D137" i="21"/>
  <c r="E167" i="21"/>
  <c r="E170" i="21"/>
  <c r="D119" i="20"/>
  <c r="D128" i="20"/>
  <c r="C146" i="20"/>
  <c r="D137" i="20"/>
  <c r="E167" i="20"/>
  <c r="E170" i="20"/>
  <c r="C170" i="19"/>
  <c r="D170" i="19" s="1"/>
  <c r="C167" i="19"/>
  <c r="D167" i="19" s="1"/>
  <c r="C137" i="19"/>
  <c r="C128" i="19"/>
  <c r="C119" i="19"/>
  <c r="P15" i="6"/>
  <c r="D119" i="18"/>
  <c r="D128" i="18"/>
  <c r="C146" i="18"/>
  <c r="D137" i="18"/>
  <c r="E167" i="18"/>
  <c r="E170" i="18"/>
  <c r="C170" i="13"/>
  <c r="D170" i="13" s="1"/>
  <c r="C167" i="13"/>
  <c r="D167" i="13" s="1"/>
  <c r="C137" i="13"/>
  <c r="C128" i="13"/>
  <c r="C119" i="13"/>
  <c r="P9" i="6"/>
  <c r="C170" i="12"/>
  <c r="D170" i="12" s="1"/>
  <c r="C167" i="12"/>
  <c r="D167" i="12" s="1"/>
  <c r="C146" i="12"/>
  <c r="C137" i="12"/>
  <c r="C128" i="12"/>
  <c r="C119" i="12"/>
  <c r="P8" i="6"/>
  <c r="C170" i="9"/>
  <c r="D170" i="9" s="1"/>
  <c r="C167" i="9"/>
  <c r="D167" i="9" s="1"/>
  <c r="C158" i="9"/>
  <c r="D158" i="9" s="1"/>
  <c r="C155" i="9"/>
  <c r="D155" i="9" s="1"/>
  <c r="C152" i="9"/>
  <c r="D152" i="9" s="1"/>
  <c r="C146" i="9"/>
  <c r="C137" i="9"/>
  <c r="C128" i="9"/>
  <c r="C119" i="9"/>
  <c r="P5" i="6"/>
  <c r="C170" i="14" l="1"/>
  <c r="D170" i="14" s="1"/>
  <c r="P10" i="6"/>
  <c r="C152" i="14"/>
  <c r="D152" i="14" s="1"/>
  <c r="C158" i="14"/>
  <c r="D158" i="14" s="1"/>
  <c r="D160" i="14" s="1"/>
  <c r="C183" i="14" s="1"/>
  <c r="E183" i="14" s="1"/>
  <c r="C128" i="14"/>
  <c r="C137" i="14"/>
  <c r="C167" i="14"/>
  <c r="D167" i="14" s="1"/>
  <c r="E167" i="14" s="1"/>
  <c r="C119" i="14"/>
  <c r="D119" i="14" s="1"/>
  <c r="C137" i="31"/>
  <c r="D137" i="31" s="1"/>
  <c r="C173" i="31"/>
  <c r="D173" i="31" s="1"/>
  <c r="E173" i="31" s="1"/>
  <c r="Q12" i="25"/>
  <c r="C146" i="31"/>
  <c r="C152" i="31" s="1"/>
  <c r="C128" i="31"/>
  <c r="D128" i="31" s="1"/>
  <c r="C119" i="31"/>
  <c r="D119" i="31" s="1"/>
  <c r="D172" i="18"/>
  <c r="C186" i="18" s="1"/>
  <c r="E186" i="18" s="1"/>
  <c r="D172" i="22"/>
  <c r="C186" i="22" s="1"/>
  <c r="E186" i="22" s="1"/>
  <c r="D169" i="22"/>
  <c r="C185" i="22" s="1"/>
  <c r="E185" i="22" s="1"/>
  <c r="D169" i="20"/>
  <c r="C185" i="20" s="1"/>
  <c r="E185" i="20" s="1"/>
  <c r="D169" i="21"/>
  <c r="C185" i="21" s="1"/>
  <c r="E185" i="21" s="1"/>
  <c r="D172" i="20"/>
  <c r="C186" i="20" s="1"/>
  <c r="E186" i="20" s="1"/>
  <c r="D169" i="18"/>
  <c r="C185" i="18" s="1"/>
  <c r="E185" i="18" s="1"/>
  <c r="D172" i="21"/>
  <c r="C186" i="21" s="1"/>
  <c r="E186" i="21" s="1"/>
  <c r="D119" i="9"/>
  <c r="D128" i="9"/>
  <c r="D137" i="9"/>
  <c r="D146" i="9"/>
  <c r="E152" i="9"/>
  <c r="D157" i="9"/>
  <c r="C182" i="9" s="1"/>
  <c r="E182" i="9" s="1"/>
  <c r="E155" i="9"/>
  <c r="D160" i="9"/>
  <c r="C183" i="9" s="1"/>
  <c r="E183" i="9" s="1"/>
  <c r="E158" i="9"/>
  <c r="D169" i="9"/>
  <c r="C185" i="9" s="1"/>
  <c r="E185" i="9" s="1"/>
  <c r="E167" i="9"/>
  <c r="D172" i="9"/>
  <c r="C186" i="9" s="1"/>
  <c r="E186" i="9" s="1"/>
  <c r="E170" i="9"/>
  <c r="D119" i="12"/>
  <c r="D128" i="12"/>
  <c r="D137" i="12"/>
  <c r="C158" i="12"/>
  <c r="D158" i="12" s="1"/>
  <c r="C155" i="12"/>
  <c r="D155" i="12" s="1"/>
  <c r="C152" i="12"/>
  <c r="D152" i="12" s="1"/>
  <c r="D146" i="12"/>
  <c r="D169" i="12"/>
  <c r="C185" i="12" s="1"/>
  <c r="E185" i="12" s="1"/>
  <c r="E167" i="12"/>
  <c r="D172" i="12"/>
  <c r="C186" i="12" s="1"/>
  <c r="E186" i="12" s="1"/>
  <c r="E170" i="12"/>
  <c r="C146" i="13"/>
  <c r="D119" i="13"/>
  <c r="D128" i="13"/>
  <c r="D137" i="13"/>
  <c r="D169" i="13"/>
  <c r="C185" i="13" s="1"/>
  <c r="E185" i="13" s="1"/>
  <c r="E167" i="13"/>
  <c r="D172" i="13"/>
  <c r="C186" i="13" s="1"/>
  <c r="E186" i="13" s="1"/>
  <c r="E170" i="13"/>
  <c r="E137" i="18"/>
  <c r="C152" i="18"/>
  <c r="D146" i="18"/>
  <c r="E128" i="18"/>
  <c r="E119" i="18"/>
  <c r="D119" i="19"/>
  <c r="D128" i="19"/>
  <c r="C146" i="19"/>
  <c r="D137" i="19"/>
  <c r="D169" i="19"/>
  <c r="C185" i="19" s="1"/>
  <c r="E185" i="19" s="1"/>
  <c r="E167" i="19"/>
  <c r="D172" i="19"/>
  <c r="C186" i="19" s="1"/>
  <c r="E186" i="19" s="1"/>
  <c r="E170" i="19"/>
  <c r="E137" i="20"/>
  <c r="C152" i="20"/>
  <c r="D146" i="20"/>
  <c r="E128" i="20"/>
  <c r="E119" i="20"/>
  <c r="E137" i="21"/>
  <c r="C152" i="21"/>
  <c r="D146" i="21"/>
  <c r="E128" i="21"/>
  <c r="E119" i="21"/>
  <c r="E137" i="22"/>
  <c r="C152" i="22"/>
  <c r="D146" i="22"/>
  <c r="E128" i="22"/>
  <c r="E119" i="22"/>
  <c r="D119" i="23"/>
  <c r="D128" i="23"/>
  <c r="C146" i="23"/>
  <c r="D137" i="23"/>
  <c r="D169" i="23"/>
  <c r="C185" i="23" s="1"/>
  <c r="E185" i="23" s="1"/>
  <c r="E167" i="23"/>
  <c r="D172" i="23"/>
  <c r="C186" i="23" s="1"/>
  <c r="E186" i="23" s="1"/>
  <c r="E170" i="23"/>
  <c r="D119" i="24"/>
  <c r="D128" i="24"/>
  <c r="C146" i="24"/>
  <c r="D137" i="24"/>
  <c r="D169" i="24"/>
  <c r="C185" i="24" s="1"/>
  <c r="E185" i="24" s="1"/>
  <c r="E167" i="24"/>
  <c r="D172" i="24"/>
  <c r="C186" i="24" s="1"/>
  <c r="E186" i="24" s="1"/>
  <c r="E170" i="24"/>
  <c r="D119" i="27"/>
  <c r="D128" i="27"/>
  <c r="C146" i="27"/>
  <c r="D137" i="27"/>
  <c r="C155" i="27"/>
  <c r="D155" i="27" s="1"/>
  <c r="D152" i="27"/>
  <c r="D160" i="27"/>
  <c r="E158" i="27"/>
  <c r="D163" i="27"/>
  <c r="E161" i="27"/>
  <c r="D172" i="27"/>
  <c r="E170" i="27"/>
  <c r="D175" i="27"/>
  <c r="E173" i="27"/>
  <c r="D119" i="32"/>
  <c r="D128" i="32"/>
  <c r="D137" i="32"/>
  <c r="C152" i="32"/>
  <c r="D146" i="32"/>
  <c r="D172" i="32"/>
  <c r="C189" i="32" s="1"/>
  <c r="E189" i="32" s="1"/>
  <c r="E170" i="32"/>
  <c r="D175" i="32"/>
  <c r="C190" i="32" s="1"/>
  <c r="E190" i="32" s="1"/>
  <c r="E173" i="32"/>
  <c r="D119" i="33"/>
  <c r="D128" i="33"/>
  <c r="D137" i="33"/>
  <c r="C152" i="33"/>
  <c r="D146" i="33"/>
  <c r="D172" i="33"/>
  <c r="C189" i="33" s="1"/>
  <c r="E189" i="33" s="1"/>
  <c r="E170" i="33"/>
  <c r="D175" i="33"/>
  <c r="C190" i="33" s="1"/>
  <c r="E190" i="33" s="1"/>
  <c r="E173" i="33"/>
  <c r="D119" i="34"/>
  <c r="D128" i="34"/>
  <c r="D137" i="34"/>
  <c r="C152" i="34"/>
  <c r="D146" i="34"/>
  <c r="D172" i="34"/>
  <c r="C189" i="34" s="1"/>
  <c r="E189" i="34" s="1"/>
  <c r="E170" i="34"/>
  <c r="D175" i="34"/>
  <c r="C190" i="34" s="1"/>
  <c r="E190" i="34" s="1"/>
  <c r="E173" i="34"/>
  <c r="D119" i="35"/>
  <c r="D128" i="35"/>
  <c r="D137" i="35"/>
  <c r="C152" i="35"/>
  <c r="D146" i="35"/>
  <c r="D172" i="35"/>
  <c r="C189" i="35" s="1"/>
  <c r="E189" i="35" s="1"/>
  <c r="E170" i="35"/>
  <c r="D175" i="35"/>
  <c r="C190" i="35" s="1"/>
  <c r="E190" i="35" s="1"/>
  <c r="E173" i="35"/>
  <c r="D119" i="36"/>
  <c r="D128" i="36"/>
  <c r="D137" i="36"/>
  <c r="C152" i="36"/>
  <c r="D146" i="36"/>
  <c r="D172" i="36"/>
  <c r="C189" i="36" s="1"/>
  <c r="E189" i="36" s="1"/>
  <c r="E170" i="36"/>
  <c r="D175" i="36"/>
  <c r="C190" i="36" s="1"/>
  <c r="E190" i="36" s="1"/>
  <c r="E173" i="36"/>
  <c r="D119" i="37"/>
  <c r="D128" i="37"/>
  <c r="D137" i="37"/>
  <c r="C152" i="37"/>
  <c r="D146" i="37"/>
  <c r="D172" i="37"/>
  <c r="C189" i="37" s="1"/>
  <c r="E189" i="37" s="1"/>
  <c r="E170" i="37"/>
  <c r="D175" i="37"/>
  <c r="C190" i="37" s="1"/>
  <c r="E190" i="37" s="1"/>
  <c r="E173" i="37"/>
  <c r="E168" i="26"/>
  <c r="D169" i="26"/>
  <c r="E168" i="27"/>
  <c r="D169" i="27"/>
  <c r="E168" i="28"/>
  <c r="D169" i="28"/>
  <c r="C188" i="28" s="1"/>
  <c r="E188" i="28" s="1"/>
  <c r="C29" i="5" s="1"/>
  <c r="E168" i="29"/>
  <c r="D169" i="29"/>
  <c r="C188" i="29" s="1"/>
  <c r="E188" i="29" s="1"/>
  <c r="C30" i="5" s="1"/>
  <c r="E168" i="30"/>
  <c r="D169" i="30"/>
  <c r="C188" i="30" s="1"/>
  <c r="E188" i="30" s="1"/>
  <c r="C31" i="5" s="1"/>
  <c r="E168" i="31"/>
  <c r="D169" i="31"/>
  <c r="C188" i="31" s="1"/>
  <c r="E188" i="31" s="1"/>
  <c r="C32" i="5" s="1"/>
  <c r="E168" i="32"/>
  <c r="D169" i="32"/>
  <c r="C188" i="32" s="1"/>
  <c r="E188" i="32" s="1"/>
  <c r="C33" i="5" s="1"/>
  <c r="E168" i="33"/>
  <c r="D169" i="33"/>
  <c r="C188" i="33" s="1"/>
  <c r="E188" i="33" s="1"/>
  <c r="C34" i="5" s="1"/>
  <c r="E168" i="34"/>
  <c r="D169" i="34"/>
  <c r="C188" i="34" s="1"/>
  <c r="E188" i="34" s="1"/>
  <c r="C35" i="5" s="1"/>
  <c r="E168" i="35"/>
  <c r="D169" i="35"/>
  <c r="C188" i="35" s="1"/>
  <c r="E188" i="35" s="1"/>
  <c r="C37" i="5" s="1"/>
  <c r="E168" i="36"/>
  <c r="D169" i="36"/>
  <c r="C188" i="36" s="1"/>
  <c r="E188" i="36" s="1"/>
  <c r="C38" i="5" s="1"/>
  <c r="E168" i="37"/>
  <c r="D169" i="37"/>
  <c r="C188" i="37" s="1"/>
  <c r="E188" i="37" s="1"/>
  <c r="C39" i="5" s="1"/>
  <c r="C129" i="8"/>
  <c r="D120" i="8"/>
  <c r="E120" i="8" s="1"/>
  <c r="C129" i="9"/>
  <c r="D120" i="9"/>
  <c r="E120" i="9" s="1"/>
  <c r="E165" i="9"/>
  <c r="D166" i="9"/>
  <c r="C184" i="9" s="1"/>
  <c r="E184" i="9" s="1"/>
  <c r="C5" i="5" s="1"/>
  <c r="C129" i="10"/>
  <c r="D120" i="10"/>
  <c r="E120" i="10" s="1"/>
  <c r="C129" i="11"/>
  <c r="D120" i="11"/>
  <c r="E120" i="11" s="1"/>
  <c r="C129" i="12"/>
  <c r="D120" i="12"/>
  <c r="E120" i="12" s="1"/>
  <c r="E165" i="12"/>
  <c r="D166" i="12"/>
  <c r="C184" i="12" s="1"/>
  <c r="E184" i="12" s="1"/>
  <c r="C8" i="5" s="1"/>
  <c r="C147" i="13"/>
  <c r="D147" i="13" s="1"/>
  <c r="E147" i="13" s="1"/>
  <c r="C129" i="13"/>
  <c r="D120" i="13"/>
  <c r="E120" i="13" s="1"/>
  <c r="E165" i="13"/>
  <c r="D166" i="13"/>
  <c r="C184" i="13" s="1"/>
  <c r="E184" i="13" s="1"/>
  <c r="C9" i="5" s="1"/>
  <c r="C147" i="14"/>
  <c r="D147" i="14" s="1"/>
  <c r="E147" i="14" s="1"/>
  <c r="C129" i="14"/>
  <c r="D120" i="14"/>
  <c r="E120" i="14" s="1"/>
  <c r="C129" i="15"/>
  <c r="D120" i="15"/>
  <c r="E120" i="15" s="1"/>
  <c r="C129" i="16"/>
  <c r="D120" i="16"/>
  <c r="E120" i="16" s="1"/>
  <c r="C129" i="17"/>
  <c r="D120" i="17"/>
  <c r="E120" i="17" s="1"/>
  <c r="C129" i="18"/>
  <c r="D120" i="18"/>
  <c r="E165" i="18"/>
  <c r="D166" i="18"/>
  <c r="C184" i="18" s="1"/>
  <c r="E184" i="18" s="1"/>
  <c r="C14" i="5" s="1"/>
  <c r="C129" i="19"/>
  <c r="D120" i="19"/>
  <c r="E120" i="19" s="1"/>
  <c r="E165" i="19"/>
  <c r="D166" i="19"/>
  <c r="C184" i="19" s="1"/>
  <c r="E184" i="19" s="1"/>
  <c r="C15" i="5" s="1"/>
  <c r="C129" i="20"/>
  <c r="D120" i="20"/>
  <c r="E165" i="20"/>
  <c r="D166" i="20"/>
  <c r="C184" i="20" s="1"/>
  <c r="E184" i="20" s="1"/>
  <c r="C16" i="5" s="1"/>
  <c r="C129" i="21"/>
  <c r="D120" i="21"/>
  <c r="E165" i="21"/>
  <c r="D166" i="21"/>
  <c r="C184" i="21" s="1"/>
  <c r="E184" i="21" s="1"/>
  <c r="C17" i="5" s="1"/>
  <c r="C129" i="22"/>
  <c r="D120" i="22"/>
  <c r="E165" i="22"/>
  <c r="D166" i="22"/>
  <c r="C184" i="22" s="1"/>
  <c r="E184" i="22" s="1"/>
  <c r="C18" i="5" s="1"/>
  <c r="C129" i="23"/>
  <c r="D120" i="23"/>
  <c r="E120" i="23" s="1"/>
  <c r="E165" i="23"/>
  <c r="D166" i="23"/>
  <c r="C184" i="23" s="1"/>
  <c r="E184" i="23" s="1"/>
  <c r="C19" i="5" s="1"/>
  <c r="C129" i="24"/>
  <c r="D120" i="24"/>
  <c r="E120" i="24" s="1"/>
  <c r="E165" i="24"/>
  <c r="D166" i="24"/>
  <c r="C184" i="24" s="1"/>
  <c r="E184" i="24" s="1"/>
  <c r="C20" i="5" s="1"/>
  <c r="D122" i="8"/>
  <c r="D131" i="8"/>
  <c r="D140" i="8"/>
  <c r="D166" i="8"/>
  <c r="E164" i="8"/>
  <c r="P21" i="6"/>
  <c r="D119" i="8"/>
  <c r="D128" i="8"/>
  <c r="D137" i="8"/>
  <c r="D146" i="8"/>
  <c r="E152" i="8"/>
  <c r="D157" i="8"/>
  <c r="E155" i="8"/>
  <c r="D160" i="8"/>
  <c r="E158" i="8"/>
  <c r="D169" i="8"/>
  <c r="E167" i="8"/>
  <c r="D172" i="8"/>
  <c r="E170" i="8"/>
  <c r="D122" i="10"/>
  <c r="D131" i="10"/>
  <c r="D140" i="10"/>
  <c r="D166" i="10"/>
  <c r="C184" i="10" s="1"/>
  <c r="E184" i="10" s="1"/>
  <c r="C6" i="5" s="1"/>
  <c r="E164" i="10"/>
  <c r="D119" i="10"/>
  <c r="D128" i="10"/>
  <c r="D137" i="10"/>
  <c r="D146" i="10"/>
  <c r="E152" i="10"/>
  <c r="D157" i="10"/>
  <c r="C182" i="10" s="1"/>
  <c r="E182" i="10" s="1"/>
  <c r="E155" i="10"/>
  <c r="D160" i="10"/>
  <c r="C183" i="10" s="1"/>
  <c r="E183" i="10" s="1"/>
  <c r="E158" i="10"/>
  <c r="D169" i="10"/>
  <c r="C185" i="10" s="1"/>
  <c r="E185" i="10" s="1"/>
  <c r="E167" i="10"/>
  <c r="D172" i="10"/>
  <c r="C186" i="10" s="1"/>
  <c r="E186" i="10" s="1"/>
  <c r="E170" i="10"/>
  <c r="D122" i="11"/>
  <c r="D131" i="11"/>
  <c r="D140" i="11"/>
  <c r="D166" i="11"/>
  <c r="C184" i="11" s="1"/>
  <c r="E184" i="11" s="1"/>
  <c r="C7" i="5" s="1"/>
  <c r="E164" i="11"/>
  <c r="D119" i="11"/>
  <c r="D128" i="11"/>
  <c r="D137" i="11"/>
  <c r="D146" i="11"/>
  <c r="E152" i="11"/>
  <c r="D157" i="11"/>
  <c r="C182" i="11" s="1"/>
  <c r="E182" i="11" s="1"/>
  <c r="E155" i="11"/>
  <c r="D160" i="11"/>
  <c r="C183" i="11" s="1"/>
  <c r="E183" i="11" s="1"/>
  <c r="E158" i="11"/>
  <c r="D169" i="11"/>
  <c r="C185" i="11" s="1"/>
  <c r="E185" i="11" s="1"/>
  <c r="E167" i="11"/>
  <c r="D172" i="11"/>
  <c r="C186" i="11" s="1"/>
  <c r="E186" i="11" s="1"/>
  <c r="E170" i="11"/>
  <c r="D122" i="14"/>
  <c r="D131" i="14"/>
  <c r="D140" i="14"/>
  <c r="D166" i="14"/>
  <c r="C184" i="14" s="1"/>
  <c r="E184" i="14" s="1"/>
  <c r="C10" i="5" s="1"/>
  <c r="E164" i="14"/>
  <c r="C146" i="14"/>
  <c r="D128" i="14"/>
  <c r="D137" i="14"/>
  <c r="E152" i="14"/>
  <c r="D157" i="14"/>
  <c r="C182" i="14" s="1"/>
  <c r="E182" i="14" s="1"/>
  <c r="E155" i="14"/>
  <c r="D172" i="14"/>
  <c r="C186" i="14" s="1"/>
  <c r="E186" i="14" s="1"/>
  <c r="E170" i="14"/>
  <c r="D122" i="15"/>
  <c r="D131" i="15"/>
  <c r="D140" i="15"/>
  <c r="D166" i="15"/>
  <c r="C184" i="15" s="1"/>
  <c r="E184" i="15" s="1"/>
  <c r="C11" i="5" s="1"/>
  <c r="E164" i="15"/>
  <c r="D119" i="15"/>
  <c r="C146" i="15"/>
  <c r="D128" i="15"/>
  <c r="D137" i="15"/>
  <c r="E152" i="15"/>
  <c r="D157" i="15"/>
  <c r="C182" i="15" s="1"/>
  <c r="E182" i="15" s="1"/>
  <c r="E155" i="15"/>
  <c r="D160" i="15"/>
  <c r="C183" i="15" s="1"/>
  <c r="E183" i="15" s="1"/>
  <c r="E158" i="15"/>
  <c r="D169" i="15"/>
  <c r="C185" i="15" s="1"/>
  <c r="E185" i="15" s="1"/>
  <c r="E167" i="15"/>
  <c r="D172" i="15"/>
  <c r="C186" i="15" s="1"/>
  <c r="E186" i="15" s="1"/>
  <c r="E170" i="15"/>
  <c r="D122" i="16"/>
  <c r="D131" i="16"/>
  <c r="D140" i="16"/>
  <c r="D166" i="16"/>
  <c r="C184" i="16" s="1"/>
  <c r="E184" i="16" s="1"/>
  <c r="C12" i="5" s="1"/>
  <c r="E164" i="16"/>
  <c r="D119" i="16"/>
  <c r="C146" i="16"/>
  <c r="D128" i="16"/>
  <c r="D137" i="16"/>
  <c r="D169" i="16"/>
  <c r="C185" i="16" s="1"/>
  <c r="E185" i="16" s="1"/>
  <c r="E167" i="16"/>
  <c r="D172" i="16"/>
  <c r="C186" i="16" s="1"/>
  <c r="E186" i="16" s="1"/>
  <c r="E170" i="16"/>
  <c r="D122" i="17"/>
  <c r="D131" i="17"/>
  <c r="D140" i="17"/>
  <c r="D166" i="17"/>
  <c r="C184" i="17" s="1"/>
  <c r="E184" i="17" s="1"/>
  <c r="C13" i="5" s="1"/>
  <c r="E164" i="17"/>
  <c r="D119" i="17"/>
  <c r="C146" i="17"/>
  <c r="D128" i="17"/>
  <c r="D137" i="17"/>
  <c r="D169" i="17"/>
  <c r="C185" i="17" s="1"/>
  <c r="E185" i="17" s="1"/>
  <c r="E167" i="17"/>
  <c r="D172" i="17"/>
  <c r="C186" i="17" s="1"/>
  <c r="E186" i="17" s="1"/>
  <c r="E170" i="17"/>
  <c r="Q20" i="25"/>
  <c r="D119" i="26"/>
  <c r="D128" i="26"/>
  <c r="C146" i="26"/>
  <c r="D137" i="26"/>
  <c r="D154" i="26"/>
  <c r="E152" i="26"/>
  <c r="D160" i="26"/>
  <c r="E158" i="26"/>
  <c r="D163" i="26"/>
  <c r="E161" i="26"/>
  <c r="D172" i="26"/>
  <c r="E170" i="26"/>
  <c r="D175" i="26"/>
  <c r="E173" i="26"/>
  <c r="D119" i="28"/>
  <c r="D128" i="28"/>
  <c r="C146" i="28"/>
  <c r="D137" i="28"/>
  <c r="C155" i="28"/>
  <c r="D155" i="28" s="1"/>
  <c r="D152" i="28"/>
  <c r="D160" i="28"/>
  <c r="C186" i="28" s="1"/>
  <c r="E186" i="28" s="1"/>
  <c r="B29" i="5" s="1"/>
  <c r="E158" i="28"/>
  <c r="D163" i="28"/>
  <c r="C187" i="28" s="1"/>
  <c r="E187" i="28" s="1"/>
  <c r="E161" i="28"/>
  <c r="D172" i="28"/>
  <c r="C189" i="28" s="1"/>
  <c r="E189" i="28" s="1"/>
  <c r="E170" i="28"/>
  <c r="D175" i="28"/>
  <c r="C190" i="28" s="1"/>
  <c r="E190" i="28" s="1"/>
  <c r="E173" i="28"/>
  <c r="D119" i="29"/>
  <c r="D128" i="29"/>
  <c r="D137" i="29"/>
  <c r="C152" i="29"/>
  <c r="D146" i="29"/>
  <c r="D172" i="29"/>
  <c r="C189" i="29" s="1"/>
  <c r="E189" i="29" s="1"/>
  <c r="E170" i="29"/>
  <c r="D175" i="29"/>
  <c r="C190" i="29" s="1"/>
  <c r="E190" i="29" s="1"/>
  <c r="E173" i="29"/>
  <c r="D119" i="30"/>
  <c r="D128" i="30"/>
  <c r="D137" i="30"/>
  <c r="C152" i="30"/>
  <c r="D146" i="30"/>
  <c r="D172" i="30"/>
  <c r="C189" i="30" s="1"/>
  <c r="E189" i="30" s="1"/>
  <c r="E170" i="30"/>
  <c r="D175" i="30"/>
  <c r="C190" i="30" s="1"/>
  <c r="E190" i="30" s="1"/>
  <c r="E173" i="30"/>
  <c r="D172" i="31"/>
  <c r="C189" i="31" s="1"/>
  <c r="E189" i="31" s="1"/>
  <c r="E170" i="31"/>
  <c r="E158" i="14" l="1"/>
  <c r="D175" i="31"/>
  <c r="C190" i="31" s="1"/>
  <c r="E190" i="31" s="1"/>
  <c r="D146" i="31"/>
  <c r="D148" i="31" s="1"/>
  <c r="C183" i="31" s="1"/>
  <c r="E183" i="31" s="1"/>
  <c r="D169" i="14"/>
  <c r="C185" i="14" s="1"/>
  <c r="E185" i="14" s="1"/>
  <c r="C158" i="31"/>
  <c r="C155" i="31"/>
  <c r="D155" i="31" s="1"/>
  <c r="D152" i="31"/>
  <c r="D139" i="31"/>
  <c r="C182" i="31" s="1"/>
  <c r="E182" i="31" s="1"/>
  <c r="E137" i="31"/>
  <c r="D130" i="31"/>
  <c r="C181" i="31" s="1"/>
  <c r="E181" i="31" s="1"/>
  <c r="E128" i="31"/>
  <c r="D121" i="31"/>
  <c r="C180" i="31" s="1"/>
  <c r="E180" i="31" s="1"/>
  <c r="E119" i="31"/>
  <c r="D148" i="30"/>
  <c r="C183" i="30" s="1"/>
  <c r="E183" i="30" s="1"/>
  <c r="E146" i="30"/>
  <c r="C158" i="30"/>
  <c r="C155" i="30"/>
  <c r="D155" i="30" s="1"/>
  <c r="D152" i="30"/>
  <c r="D139" i="30"/>
  <c r="C182" i="30" s="1"/>
  <c r="E182" i="30" s="1"/>
  <c r="E137" i="30"/>
  <c r="D130" i="30"/>
  <c r="C181" i="30" s="1"/>
  <c r="E181" i="30" s="1"/>
  <c r="E128" i="30"/>
  <c r="D121" i="30"/>
  <c r="C180" i="30" s="1"/>
  <c r="E180" i="30" s="1"/>
  <c r="E119" i="30"/>
  <c r="D148" i="29"/>
  <c r="C183" i="29" s="1"/>
  <c r="E183" i="29" s="1"/>
  <c r="E146" i="29"/>
  <c r="C158" i="29"/>
  <c r="C155" i="29"/>
  <c r="D155" i="29" s="1"/>
  <c r="D152" i="29"/>
  <c r="D139" i="29"/>
  <c r="C182" i="29" s="1"/>
  <c r="E182" i="29" s="1"/>
  <c r="E137" i="29"/>
  <c r="D130" i="29"/>
  <c r="C181" i="29" s="1"/>
  <c r="E181" i="29" s="1"/>
  <c r="E128" i="29"/>
  <c r="D121" i="29"/>
  <c r="C180" i="29" s="1"/>
  <c r="E180" i="29" s="1"/>
  <c r="E119" i="29"/>
  <c r="D154" i="28"/>
  <c r="C184" i="28" s="1"/>
  <c r="E184" i="28" s="1"/>
  <c r="E152" i="28"/>
  <c r="D157" i="28"/>
  <c r="C185" i="28" s="1"/>
  <c r="E185" i="28" s="1"/>
  <c r="E155" i="28"/>
  <c r="D139" i="28"/>
  <c r="C182" i="28" s="1"/>
  <c r="E182" i="28" s="1"/>
  <c r="E137" i="28"/>
  <c r="D146" i="28"/>
  <c r="D130" i="28"/>
  <c r="C181" i="28" s="1"/>
  <c r="E181" i="28" s="1"/>
  <c r="E128" i="28"/>
  <c r="D121" i="28"/>
  <c r="C180" i="28" s="1"/>
  <c r="E180" i="28" s="1"/>
  <c r="E119" i="28"/>
  <c r="C220" i="26"/>
  <c r="E220" i="26" s="1"/>
  <c r="C205" i="26"/>
  <c r="E205" i="26" s="1"/>
  <c r="C190" i="26"/>
  <c r="E190" i="26" s="1"/>
  <c r="C219" i="26"/>
  <c r="E219" i="26" s="1"/>
  <c r="C204" i="26"/>
  <c r="E204" i="26" s="1"/>
  <c r="C189" i="26"/>
  <c r="E189" i="26" s="1"/>
  <c r="C217" i="26"/>
  <c r="E217" i="26" s="1"/>
  <c r="C202" i="26"/>
  <c r="E202" i="26" s="1"/>
  <c r="C187" i="26"/>
  <c r="E187" i="26" s="1"/>
  <c r="C216" i="26"/>
  <c r="E216" i="26" s="1"/>
  <c r="B28" i="5" s="1"/>
  <c r="C201" i="26"/>
  <c r="E201" i="26" s="1"/>
  <c r="B26" i="5" s="1"/>
  <c r="C186" i="26"/>
  <c r="E186" i="26" s="1"/>
  <c r="B23" i="5" s="1"/>
  <c r="C214" i="26"/>
  <c r="E214" i="26" s="1"/>
  <c r="C199" i="26"/>
  <c r="E199" i="26" s="1"/>
  <c r="C184" i="26"/>
  <c r="E184" i="26" s="1"/>
  <c r="D139" i="26"/>
  <c r="E137" i="26"/>
  <c r="C155" i="26"/>
  <c r="D155" i="26" s="1"/>
  <c r="D146" i="26"/>
  <c r="D130" i="26"/>
  <c r="E128" i="26"/>
  <c r="D121" i="26"/>
  <c r="E119" i="26"/>
  <c r="E137" i="17"/>
  <c r="E128" i="17"/>
  <c r="C152" i="17"/>
  <c r="D146" i="17"/>
  <c r="D121" i="17"/>
  <c r="C177" i="17" s="1"/>
  <c r="E177" i="17" s="1"/>
  <c r="E119" i="17"/>
  <c r="D142" i="17"/>
  <c r="E140" i="17"/>
  <c r="D133" i="17"/>
  <c r="E131" i="17"/>
  <c r="D124" i="17"/>
  <c r="E122" i="17"/>
  <c r="E137" i="16"/>
  <c r="E128" i="16"/>
  <c r="C152" i="16"/>
  <c r="D146" i="16"/>
  <c r="D121" i="16"/>
  <c r="C177" i="16" s="1"/>
  <c r="E177" i="16" s="1"/>
  <c r="E119" i="16"/>
  <c r="D142" i="16"/>
  <c r="E140" i="16"/>
  <c r="D133" i="16"/>
  <c r="E131" i="16"/>
  <c r="D124" i="16"/>
  <c r="E122" i="16"/>
  <c r="E137" i="15"/>
  <c r="E128" i="15"/>
  <c r="D146" i="15"/>
  <c r="D121" i="15"/>
  <c r="C177" i="15" s="1"/>
  <c r="E177" i="15" s="1"/>
  <c r="E119" i="15"/>
  <c r="D142" i="15"/>
  <c r="E140" i="15"/>
  <c r="D133" i="15"/>
  <c r="E131" i="15"/>
  <c r="D124" i="15"/>
  <c r="E122" i="15"/>
  <c r="E137" i="14"/>
  <c r="E128" i="14"/>
  <c r="D121" i="14"/>
  <c r="C177" i="14" s="1"/>
  <c r="E177" i="14" s="1"/>
  <c r="E119" i="14"/>
  <c r="D146" i="14"/>
  <c r="D142" i="14"/>
  <c r="E140" i="14"/>
  <c r="D133" i="14"/>
  <c r="E131" i="14"/>
  <c r="D124" i="14"/>
  <c r="E122" i="14"/>
  <c r="E146" i="11"/>
  <c r="E137" i="11"/>
  <c r="E128" i="11"/>
  <c r="D121" i="11"/>
  <c r="C177" i="11" s="1"/>
  <c r="E177" i="11" s="1"/>
  <c r="E119" i="11"/>
  <c r="D142" i="11"/>
  <c r="E140" i="11"/>
  <c r="D133" i="11"/>
  <c r="E131" i="11"/>
  <c r="D124" i="11"/>
  <c r="E122" i="11"/>
  <c r="E146" i="10"/>
  <c r="E137" i="10"/>
  <c r="E128" i="10"/>
  <c r="D121" i="10"/>
  <c r="C177" i="10" s="1"/>
  <c r="E177" i="10" s="1"/>
  <c r="E119" i="10"/>
  <c r="D142" i="10"/>
  <c r="E140" i="10"/>
  <c r="D133" i="10"/>
  <c r="E131" i="10"/>
  <c r="D124" i="10"/>
  <c r="E122" i="10"/>
  <c r="C200" i="8"/>
  <c r="E200" i="8" s="1"/>
  <c r="C186" i="8"/>
  <c r="E186" i="8" s="1"/>
  <c r="C199" i="8"/>
  <c r="E199" i="8" s="1"/>
  <c r="C185" i="8"/>
  <c r="E185" i="8" s="1"/>
  <c r="C197" i="8"/>
  <c r="E197" i="8" s="1"/>
  <c r="C183" i="8"/>
  <c r="E183" i="8" s="1"/>
  <c r="C196" i="8"/>
  <c r="E196" i="8" s="1"/>
  <c r="C182" i="8"/>
  <c r="E182" i="8" s="1"/>
  <c r="E146" i="8"/>
  <c r="E137" i="8"/>
  <c r="E128" i="8"/>
  <c r="D121" i="8"/>
  <c r="E119" i="8"/>
  <c r="C198" i="8"/>
  <c r="E198" i="8" s="1"/>
  <c r="C4" i="5" s="1"/>
  <c r="C184" i="8"/>
  <c r="E184" i="8" s="1"/>
  <c r="C3" i="5" s="1"/>
  <c r="D142" i="8"/>
  <c r="E140" i="8"/>
  <c r="D133" i="8"/>
  <c r="E131" i="8"/>
  <c r="D124" i="8"/>
  <c r="E122" i="8"/>
  <c r="C138" i="24"/>
  <c r="D129" i="24"/>
  <c r="E129" i="24" s="1"/>
  <c r="C138" i="23"/>
  <c r="D129" i="23"/>
  <c r="E129" i="23" s="1"/>
  <c r="E120" i="22"/>
  <c r="D121" i="22"/>
  <c r="C177" i="22" s="1"/>
  <c r="E177" i="22" s="1"/>
  <c r="C138" i="22"/>
  <c r="D129" i="22"/>
  <c r="E120" i="21"/>
  <c r="D121" i="21"/>
  <c r="C177" i="21" s="1"/>
  <c r="E177" i="21" s="1"/>
  <c r="C138" i="21"/>
  <c r="D129" i="21"/>
  <c r="E120" i="20"/>
  <c r="D121" i="20"/>
  <c r="C177" i="20" s="1"/>
  <c r="E177" i="20" s="1"/>
  <c r="C138" i="20"/>
  <c r="D129" i="20"/>
  <c r="C138" i="19"/>
  <c r="D129" i="19"/>
  <c r="E129" i="19" s="1"/>
  <c r="E120" i="18"/>
  <c r="D121" i="18"/>
  <c r="C177" i="18" s="1"/>
  <c r="E177" i="18" s="1"/>
  <c r="C138" i="18"/>
  <c r="D129" i="18"/>
  <c r="C138" i="17"/>
  <c r="D129" i="17"/>
  <c r="C138" i="16"/>
  <c r="D129" i="16"/>
  <c r="C147" i="15"/>
  <c r="D147" i="15" s="1"/>
  <c r="E147" i="15" s="1"/>
  <c r="C138" i="15"/>
  <c r="D129" i="15"/>
  <c r="C138" i="14"/>
  <c r="D129" i="14"/>
  <c r="C153" i="13"/>
  <c r="D153" i="13" s="1"/>
  <c r="E153" i="13" s="1"/>
  <c r="C138" i="13"/>
  <c r="D138" i="13" s="1"/>
  <c r="E138" i="13" s="1"/>
  <c r="D129" i="13"/>
  <c r="E129" i="13" s="1"/>
  <c r="C138" i="12"/>
  <c r="D129" i="12"/>
  <c r="E129" i="12" s="1"/>
  <c r="C138" i="11"/>
  <c r="D129" i="11"/>
  <c r="C138" i="10"/>
  <c r="D129" i="10"/>
  <c r="C138" i="9"/>
  <c r="D129" i="9"/>
  <c r="E129" i="9" s="1"/>
  <c r="C138" i="8"/>
  <c r="D129" i="8"/>
  <c r="C218" i="27"/>
  <c r="E218" i="27" s="1"/>
  <c r="C27" i="5" s="1"/>
  <c r="C203" i="27"/>
  <c r="E203" i="27" s="1"/>
  <c r="C25" i="5" s="1"/>
  <c r="C188" i="27"/>
  <c r="E188" i="27" s="1"/>
  <c r="C24" i="5" s="1"/>
  <c r="C218" i="26"/>
  <c r="E218" i="26" s="1"/>
  <c r="C28" i="5" s="1"/>
  <c r="C203" i="26"/>
  <c r="E203" i="26" s="1"/>
  <c r="C26" i="5" s="1"/>
  <c r="C188" i="26"/>
  <c r="E188" i="26" s="1"/>
  <c r="C23" i="5" s="1"/>
  <c r="D148" i="37"/>
  <c r="C183" i="37" s="1"/>
  <c r="E183" i="37" s="1"/>
  <c r="E146" i="37"/>
  <c r="C158" i="37"/>
  <c r="C155" i="37"/>
  <c r="D155" i="37" s="1"/>
  <c r="D152" i="37"/>
  <c r="D139" i="37"/>
  <c r="C182" i="37" s="1"/>
  <c r="E182" i="37" s="1"/>
  <c r="E137" i="37"/>
  <c r="D130" i="37"/>
  <c r="C181" i="37" s="1"/>
  <c r="E181" i="37" s="1"/>
  <c r="E128" i="37"/>
  <c r="D121" i="37"/>
  <c r="C180" i="37" s="1"/>
  <c r="E180" i="37" s="1"/>
  <c r="E119" i="37"/>
  <c r="D148" i="36"/>
  <c r="C183" i="36" s="1"/>
  <c r="E183" i="36" s="1"/>
  <c r="E146" i="36"/>
  <c r="C158" i="36"/>
  <c r="C155" i="36"/>
  <c r="D155" i="36" s="1"/>
  <c r="D152" i="36"/>
  <c r="D139" i="36"/>
  <c r="C182" i="36" s="1"/>
  <c r="E182" i="36" s="1"/>
  <c r="E137" i="36"/>
  <c r="D130" i="36"/>
  <c r="C181" i="36" s="1"/>
  <c r="E181" i="36" s="1"/>
  <c r="E128" i="36"/>
  <c r="D121" i="36"/>
  <c r="C180" i="36" s="1"/>
  <c r="E180" i="36" s="1"/>
  <c r="E119" i="36"/>
  <c r="D148" i="35"/>
  <c r="C183" i="35" s="1"/>
  <c r="E183" i="35" s="1"/>
  <c r="E146" i="35"/>
  <c r="C158" i="35"/>
  <c r="C155" i="35"/>
  <c r="D155" i="35" s="1"/>
  <c r="D152" i="35"/>
  <c r="D139" i="35"/>
  <c r="C182" i="35" s="1"/>
  <c r="E182" i="35" s="1"/>
  <c r="E137" i="35"/>
  <c r="D130" i="35"/>
  <c r="C181" i="35" s="1"/>
  <c r="E181" i="35" s="1"/>
  <c r="E128" i="35"/>
  <c r="D121" i="35"/>
  <c r="C180" i="35" s="1"/>
  <c r="E180" i="35" s="1"/>
  <c r="E119" i="35"/>
  <c r="D148" i="34"/>
  <c r="C183" i="34" s="1"/>
  <c r="E183" i="34" s="1"/>
  <c r="E146" i="34"/>
  <c r="C158" i="34"/>
  <c r="C155" i="34"/>
  <c r="D155" i="34" s="1"/>
  <c r="D152" i="34"/>
  <c r="D139" i="34"/>
  <c r="C182" i="34" s="1"/>
  <c r="E182" i="34" s="1"/>
  <c r="E137" i="34"/>
  <c r="D130" i="34"/>
  <c r="C181" i="34" s="1"/>
  <c r="E181" i="34" s="1"/>
  <c r="E128" i="34"/>
  <c r="D121" i="34"/>
  <c r="C180" i="34" s="1"/>
  <c r="E180" i="34" s="1"/>
  <c r="E119" i="34"/>
  <c r="D148" i="33"/>
  <c r="C183" i="33" s="1"/>
  <c r="E183" i="33" s="1"/>
  <c r="E146" i="33"/>
  <c r="C161" i="33"/>
  <c r="D161" i="33" s="1"/>
  <c r="C158" i="33"/>
  <c r="D158" i="33" s="1"/>
  <c r="C155" i="33"/>
  <c r="D155" i="33" s="1"/>
  <c r="D152" i="33"/>
  <c r="D139" i="33"/>
  <c r="C182" i="33" s="1"/>
  <c r="E182" i="33" s="1"/>
  <c r="E137" i="33"/>
  <c r="D130" i="33"/>
  <c r="C181" i="33" s="1"/>
  <c r="E181" i="33" s="1"/>
  <c r="E128" i="33"/>
  <c r="D121" i="33"/>
  <c r="C180" i="33" s="1"/>
  <c r="E180" i="33" s="1"/>
  <c r="E119" i="33"/>
  <c r="D148" i="32"/>
  <c r="C183" i="32" s="1"/>
  <c r="E183" i="32" s="1"/>
  <c r="E146" i="32"/>
  <c r="C158" i="32"/>
  <c r="C155" i="32"/>
  <c r="D155" i="32" s="1"/>
  <c r="D152" i="32"/>
  <c r="D139" i="32"/>
  <c r="C182" i="32" s="1"/>
  <c r="E182" i="32" s="1"/>
  <c r="E137" i="32"/>
  <c r="D130" i="32"/>
  <c r="C181" i="32" s="1"/>
  <c r="E181" i="32" s="1"/>
  <c r="E128" i="32"/>
  <c r="D121" i="32"/>
  <c r="C180" i="32" s="1"/>
  <c r="E180" i="32" s="1"/>
  <c r="E119" i="32"/>
  <c r="C220" i="27"/>
  <c r="E220" i="27" s="1"/>
  <c r="C205" i="27"/>
  <c r="E205" i="27" s="1"/>
  <c r="C190" i="27"/>
  <c r="E190" i="27" s="1"/>
  <c r="C219" i="27"/>
  <c r="E219" i="27" s="1"/>
  <c r="C204" i="27"/>
  <c r="E204" i="27" s="1"/>
  <c r="C189" i="27"/>
  <c r="E189" i="27" s="1"/>
  <c r="C217" i="27"/>
  <c r="E217" i="27" s="1"/>
  <c r="C202" i="27"/>
  <c r="E202" i="27" s="1"/>
  <c r="C187" i="27"/>
  <c r="E187" i="27" s="1"/>
  <c r="C216" i="27"/>
  <c r="E216" i="27" s="1"/>
  <c r="B27" i="5" s="1"/>
  <c r="C201" i="27"/>
  <c r="E201" i="27" s="1"/>
  <c r="B25" i="5" s="1"/>
  <c r="C186" i="27"/>
  <c r="E186" i="27" s="1"/>
  <c r="B24" i="5" s="1"/>
  <c r="D154" i="27"/>
  <c r="E152" i="27"/>
  <c r="D157" i="27"/>
  <c r="E155" i="27"/>
  <c r="D139" i="27"/>
  <c r="E137" i="27"/>
  <c r="D146" i="27"/>
  <c r="D130" i="27"/>
  <c r="E128" i="27"/>
  <c r="D121" i="27"/>
  <c r="E119" i="27"/>
  <c r="E137" i="24"/>
  <c r="C152" i="24"/>
  <c r="D146" i="24"/>
  <c r="E128" i="24"/>
  <c r="D121" i="24"/>
  <c r="C177" i="24" s="1"/>
  <c r="E177" i="24" s="1"/>
  <c r="E119" i="24"/>
  <c r="E137" i="23"/>
  <c r="C152" i="23"/>
  <c r="D146" i="23"/>
  <c r="E128" i="23"/>
  <c r="D121" i="23"/>
  <c r="C177" i="23" s="1"/>
  <c r="E177" i="23" s="1"/>
  <c r="E119" i="23"/>
  <c r="E146" i="22"/>
  <c r="C155" i="22"/>
  <c r="D152" i="22"/>
  <c r="E146" i="21"/>
  <c r="C155" i="21"/>
  <c r="D152" i="21"/>
  <c r="E146" i="20"/>
  <c r="C155" i="20"/>
  <c r="D152" i="20"/>
  <c r="E137" i="19"/>
  <c r="C152" i="19"/>
  <c r="D146" i="19"/>
  <c r="E128" i="19"/>
  <c r="D121" i="19"/>
  <c r="C177" i="19" s="1"/>
  <c r="E177" i="19" s="1"/>
  <c r="E119" i="19"/>
  <c r="E146" i="18"/>
  <c r="C155" i="18"/>
  <c r="D152" i="18"/>
  <c r="E137" i="13"/>
  <c r="E128" i="13"/>
  <c r="D121" i="13"/>
  <c r="C177" i="13" s="1"/>
  <c r="E177" i="13" s="1"/>
  <c r="E119" i="13"/>
  <c r="C152" i="13"/>
  <c r="D146" i="13"/>
  <c r="E146" i="12"/>
  <c r="E152" i="12"/>
  <c r="D157" i="12"/>
  <c r="C182" i="12" s="1"/>
  <c r="E182" i="12" s="1"/>
  <c r="E155" i="12"/>
  <c r="D160" i="12"/>
  <c r="C183" i="12" s="1"/>
  <c r="E183" i="12" s="1"/>
  <c r="E158" i="12"/>
  <c r="E137" i="12"/>
  <c r="E128" i="12"/>
  <c r="D121" i="12"/>
  <c r="C177" i="12" s="1"/>
  <c r="E177" i="12" s="1"/>
  <c r="E119" i="12"/>
  <c r="E146" i="9"/>
  <c r="E137" i="9"/>
  <c r="E128" i="9"/>
  <c r="D121" i="9"/>
  <c r="C177" i="9" s="1"/>
  <c r="E177" i="9" s="1"/>
  <c r="E119" i="9"/>
  <c r="D139" i="13" l="1"/>
  <c r="C179" i="13" s="1"/>
  <c r="E179" i="13" s="1"/>
  <c r="E146" i="31"/>
  <c r="D130" i="19"/>
  <c r="C178" i="19" s="1"/>
  <c r="E178" i="19" s="1"/>
  <c r="D130" i="24"/>
  <c r="C178" i="24" s="1"/>
  <c r="E178" i="24" s="1"/>
  <c r="D130" i="13"/>
  <c r="C178" i="13" s="1"/>
  <c r="E178" i="13" s="1"/>
  <c r="D130" i="9"/>
  <c r="C178" i="9" s="1"/>
  <c r="E178" i="9" s="1"/>
  <c r="C40" i="5"/>
  <c r="D130" i="23"/>
  <c r="C178" i="23" s="1"/>
  <c r="E178" i="23" s="1"/>
  <c r="C21" i="5"/>
  <c r="D130" i="12"/>
  <c r="C178" i="12" s="1"/>
  <c r="E178" i="12" s="1"/>
  <c r="D148" i="13"/>
  <c r="C180" i="13" s="1"/>
  <c r="E180" i="13" s="1"/>
  <c r="E146" i="13"/>
  <c r="C155" i="13"/>
  <c r="D152" i="13"/>
  <c r="E152" i="18"/>
  <c r="C158" i="18"/>
  <c r="D158" i="18" s="1"/>
  <c r="D155" i="18"/>
  <c r="E146" i="19"/>
  <c r="C155" i="19"/>
  <c r="D152" i="19"/>
  <c r="E152" i="20"/>
  <c r="C158" i="20"/>
  <c r="D158" i="20" s="1"/>
  <c r="D155" i="20"/>
  <c r="E152" i="21"/>
  <c r="C158" i="21"/>
  <c r="D158" i="21" s="1"/>
  <c r="D155" i="21"/>
  <c r="E152" i="22"/>
  <c r="C158" i="22"/>
  <c r="D158" i="22" s="1"/>
  <c r="D155" i="22"/>
  <c r="E146" i="23"/>
  <c r="C155" i="23"/>
  <c r="D152" i="23"/>
  <c r="E146" i="24"/>
  <c r="C155" i="24"/>
  <c r="D152" i="24"/>
  <c r="C210" i="27"/>
  <c r="E210" i="27" s="1"/>
  <c r="C195" i="27"/>
  <c r="E195" i="27" s="1"/>
  <c r="C180" i="27"/>
  <c r="E180" i="27" s="1"/>
  <c r="C211" i="27"/>
  <c r="E211" i="27" s="1"/>
  <c r="C196" i="27"/>
  <c r="E196" i="27" s="1"/>
  <c r="C181" i="27"/>
  <c r="E181" i="27" s="1"/>
  <c r="D148" i="27"/>
  <c r="E146" i="27"/>
  <c r="C212" i="27"/>
  <c r="E212" i="27" s="1"/>
  <c r="C197" i="27"/>
  <c r="E197" i="27" s="1"/>
  <c r="C182" i="27"/>
  <c r="E182" i="27" s="1"/>
  <c r="C215" i="27"/>
  <c r="E215" i="27" s="1"/>
  <c r="C200" i="27"/>
  <c r="E200" i="27" s="1"/>
  <c r="C185" i="27"/>
  <c r="E185" i="27" s="1"/>
  <c r="C214" i="27"/>
  <c r="E214" i="27" s="1"/>
  <c r="C199" i="27"/>
  <c r="E199" i="27" s="1"/>
  <c r="C184" i="27"/>
  <c r="E184" i="27" s="1"/>
  <c r="D154" i="32"/>
  <c r="C184" i="32" s="1"/>
  <c r="E184" i="32" s="1"/>
  <c r="E152" i="32"/>
  <c r="D157" i="32"/>
  <c r="C185" i="32" s="1"/>
  <c r="E185" i="32" s="1"/>
  <c r="E155" i="32"/>
  <c r="C161" i="32"/>
  <c r="D161" i="32" s="1"/>
  <c r="D158" i="32"/>
  <c r="D154" i="33"/>
  <c r="C184" i="33" s="1"/>
  <c r="E184" i="33" s="1"/>
  <c r="E152" i="33"/>
  <c r="D157" i="33"/>
  <c r="C185" i="33" s="1"/>
  <c r="E185" i="33" s="1"/>
  <c r="E155" i="33"/>
  <c r="D160" i="33"/>
  <c r="C186" i="33" s="1"/>
  <c r="E186" i="33" s="1"/>
  <c r="B34" i="5" s="1"/>
  <c r="E158" i="33"/>
  <c r="D163" i="33"/>
  <c r="C187" i="33" s="1"/>
  <c r="E187" i="33" s="1"/>
  <c r="E161" i="33"/>
  <c r="D154" i="34"/>
  <c r="C184" i="34" s="1"/>
  <c r="E184" i="34" s="1"/>
  <c r="E152" i="34"/>
  <c r="D157" i="34"/>
  <c r="C185" i="34" s="1"/>
  <c r="E185" i="34" s="1"/>
  <c r="E155" i="34"/>
  <c r="C161" i="34"/>
  <c r="D161" i="34" s="1"/>
  <c r="D158" i="34"/>
  <c r="D154" i="35"/>
  <c r="C184" i="35" s="1"/>
  <c r="E184" i="35" s="1"/>
  <c r="E152" i="35"/>
  <c r="D157" i="35"/>
  <c r="C185" i="35" s="1"/>
  <c r="E185" i="35" s="1"/>
  <c r="E155" i="35"/>
  <c r="C161" i="35"/>
  <c r="D161" i="35" s="1"/>
  <c r="D158" i="35"/>
  <c r="D154" i="36"/>
  <c r="C184" i="36" s="1"/>
  <c r="E184" i="36" s="1"/>
  <c r="E152" i="36"/>
  <c r="D157" i="36"/>
  <c r="C185" i="36" s="1"/>
  <c r="E185" i="36" s="1"/>
  <c r="E155" i="36"/>
  <c r="C161" i="36"/>
  <c r="D161" i="36" s="1"/>
  <c r="D158" i="36"/>
  <c r="D154" i="37"/>
  <c r="C184" i="37" s="1"/>
  <c r="E184" i="37" s="1"/>
  <c r="E152" i="37"/>
  <c r="D157" i="37"/>
  <c r="C185" i="37" s="1"/>
  <c r="E185" i="37" s="1"/>
  <c r="E155" i="37"/>
  <c r="C161" i="37"/>
  <c r="D161" i="37" s="1"/>
  <c r="D158" i="37"/>
  <c r="E129" i="8"/>
  <c r="D130" i="8"/>
  <c r="C147" i="8"/>
  <c r="D138" i="8"/>
  <c r="C147" i="9"/>
  <c r="D138" i="9"/>
  <c r="E129" i="10"/>
  <c r="D130" i="10"/>
  <c r="C178" i="10" s="1"/>
  <c r="E178" i="10" s="1"/>
  <c r="C147" i="10"/>
  <c r="D138" i="10"/>
  <c r="E129" i="11"/>
  <c r="D130" i="11"/>
  <c r="C178" i="11" s="1"/>
  <c r="E178" i="11" s="1"/>
  <c r="C147" i="11"/>
  <c r="D138" i="11"/>
  <c r="C147" i="12"/>
  <c r="D138" i="12"/>
  <c r="E129" i="14"/>
  <c r="D130" i="14"/>
  <c r="C178" i="14" s="1"/>
  <c r="E178" i="14" s="1"/>
  <c r="C153" i="14"/>
  <c r="D153" i="14" s="1"/>
  <c r="D138" i="14"/>
  <c r="E129" i="15"/>
  <c r="D130" i="15"/>
  <c r="C178" i="15" s="1"/>
  <c r="E178" i="15" s="1"/>
  <c r="C153" i="15"/>
  <c r="D153" i="15" s="1"/>
  <c r="D138" i="15"/>
  <c r="E129" i="16"/>
  <c r="D130" i="16"/>
  <c r="C178" i="16" s="1"/>
  <c r="E178" i="16" s="1"/>
  <c r="C147" i="16"/>
  <c r="D138" i="16"/>
  <c r="E129" i="17"/>
  <c r="D130" i="17"/>
  <c r="C178" i="17" s="1"/>
  <c r="E178" i="17" s="1"/>
  <c r="C147" i="17"/>
  <c r="D138" i="17"/>
  <c r="E129" i="18"/>
  <c r="D130" i="18"/>
  <c r="C178" i="18" s="1"/>
  <c r="E178" i="18" s="1"/>
  <c r="C147" i="18"/>
  <c r="D138" i="18"/>
  <c r="C147" i="19"/>
  <c r="D138" i="19"/>
  <c r="E129" i="20"/>
  <c r="D130" i="20"/>
  <c r="C178" i="20" s="1"/>
  <c r="E178" i="20" s="1"/>
  <c r="C147" i="20"/>
  <c r="D138" i="20"/>
  <c r="E129" i="21"/>
  <c r="D130" i="21"/>
  <c r="C178" i="21" s="1"/>
  <c r="E178" i="21" s="1"/>
  <c r="C147" i="21"/>
  <c r="D138" i="21"/>
  <c r="E129" i="22"/>
  <c r="D130" i="22"/>
  <c r="C178" i="22" s="1"/>
  <c r="E178" i="22" s="1"/>
  <c r="C147" i="22"/>
  <c r="D138" i="22"/>
  <c r="C147" i="23"/>
  <c r="D138" i="23"/>
  <c r="C147" i="24"/>
  <c r="D138" i="24"/>
  <c r="C191" i="8"/>
  <c r="E191" i="8" s="1"/>
  <c r="C177" i="8"/>
  <c r="E177" i="8" s="1"/>
  <c r="D148" i="14"/>
  <c r="C180" i="14" s="1"/>
  <c r="E180" i="14" s="1"/>
  <c r="E146" i="14"/>
  <c r="D148" i="15"/>
  <c r="C180" i="15" s="1"/>
  <c r="E180" i="15" s="1"/>
  <c r="E146" i="15"/>
  <c r="E146" i="16"/>
  <c r="C155" i="16"/>
  <c r="D152" i="16"/>
  <c r="E146" i="17"/>
  <c r="C158" i="17"/>
  <c r="D158" i="17" s="1"/>
  <c r="C155" i="17"/>
  <c r="D155" i="17" s="1"/>
  <c r="D152" i="17"/>
  <c r="C210" i="26"/>
  <c r="E210" i="26" s="1"/>
  <c r="C195" i="26"/>
  <c r="E195" i="26" s="1"/>
  <c r="C180" i="26"/>
  <c r="E180" i="26" s="1"/>
  <c r="C211" i="26"/>
  <c r="E211" i="26" s="1"/>
  <c r="C196" i="26"/>
  <c r="E196" i="26" s="1"/>
  <c r="C181" i="26"/>
  <c r="E181" i="26" s="1"/>
  <c r="D148" i="26"/>
  <c r="E146" i="26"/>
  <c r="D157" i="26"/>
  <c r="E155" i="26"/>
  <c r="C212" i="26"/>
  <c r="E212" i="26" s="1"/>
  <c r="C197" i="26"/>
  <c r="E197" i="26" s="1"/>
  <c r="C182" i="26"/>
  <c r="E182" i="26" s="1"/>
  <c r="D148" i="28"/>
  <c r="C183" i="28" s="1"/>
  <c r="E183" i="28" s="1"/>
  <c r="E146" i="28"/>
  <c r="D154" i="29"/>
  <c r="C184" i="29" s="1"/>
  <c r="E184" i="29" s="1"/>
  <c r="E152" i="29"/>
  <c r="D157" i="29"/>
  <c r="C185" i="29" s="1"/>
  <c r="E185" i="29" s="1"/>
  <c r="E155" i="29"/>
  <c r="C161" i="29"/>
  <c r="D161" i="29" s="1"/>
  <c r="D158" i="29"/>
  <c r="D154" i="30"/>
  <c r="C184" i="30" s="1"/>
  <c r="E184" i="30" s="1"/>
  <c r="E152" i="30"/>
  <c r="D157" i="30"/>
  <c r="C185" i="30" s="1"/>
  <c r="E185" i="30" s="1"/>
  <c r="E155" i="30"/>
  <c r="C161" i="30"/>
  <c r="D161" i="30" s="1"/>
  <c r="D158" i="30"/>
  <c r="D154" i="31"/>
  <c r="C184" i="31" s="1"/>
  <c r="E184" i="31" s="1"/>
  <c r="E152" i="31"/>
  <c r="D157" i="31"/>
  <c r="C185" i="31" s="1"/>
  <c r="E185" i="31" s="1"/>
  <c r="E155" i="31"/>
  <c r="C161" i="31"/>
  <c r="D161" i="31" s="1"/>
  <c r="D158" i="31"/>
  <c r="D160" i="31" l="1"/>
  <c r="C186" i="31" s="1"/>
  <c r="E186" i="31" s="1"/>
  <c r="B32" i="5" s="1"/>
  <c r="E158" i="31"/>
  <c r="D163" i="31"/>
  <c r="C187" i="31" s="1"/>
  <c r="E187" i="31" s="1"/>
  <c r="E161" i="31"/>
  <c r="D160" i="30"/>
  <c r="C186" i="30" s="1"/>
  <c r="E186" i="30" s="1"/>
  <c r="B31" i="5" s="1"/>
  <c r="E158" i="30"/>
  <c r="D163" i="30"/>
  <c r="C187" i="30" s="1"/>
  <c r="E187" i="30" s="1"/>
  <c r="E161" i="30"/>
  <c r="D160" i="29"/>
  <c r="C186" i="29" s="1"/>
  <c r="E186" i="29" s="1"/>
  <c r="B30" i="5" s="1"/>
  <c r="E158" i="29"/>
  <c r="D163" i="29"/>
  <c r="C187" i="29" s="1"/>
  <c r="E187" i="29" s="1"/>
  <c r="E161" i="29"/>
  <c r="E191" i="28"/>
  <c r="D29" i="5" s="1"/>
  <c r="H29" i="5" s="1"/>
  <c r="C215" i="26"/>
  <c r="E215" i="26" s="1"/>
  <c r="C200" i="26"/>
  <c r="E200" i="26" s="1"/>
  <c r="C185" i="26"/>
  <c r="E185" i="26" s="1"/>
  <c r="C213" i="26"/>
  <c r="E213" i="26" s="1"/>
  <c r="C198" i="26"/>
  <c r="E198" i="26" s="1"/>
  <c r="C183" i="26"/>
  <c r="E183" i="26" s="1"/>
  <c r="E152" i="17"/>
  <c r="D157" i="17"/>
  <c r="C182" i="17" s="1"/>
  <c r="E182" i="17" s="1"/>
  <c r="E155" i="17"/>
  <c r="D160" i="17"/>
  <c r="C183" i="17" s="1"/>
  <c r="E183" i="17" s="1"/>
  <c r="E158" i="17"/>
  <c r="E152" i="16"/>
  <c r="C158" i="16"/>
  <c r="D158" i="16" s="1"/>
  <c r="D155" i="16"/>
  <c r="E138" i="24"/>
  <c r="D139" i="24"/>
  <c r="C179" i="24" s="1"/>
  <c r="E179" i="24" s="1"/>
  <c r="C153" i="24"/>
  <c r="D153" i="24" s="1"/>
  <c r="E153" i="24" s="1"/>
  <c r="D147" i="24"/>
  <c r="E138" i="23"/>
  <c r="D139" i="23"/>
  <c r="C179" i="23" s="1"/>
  <c r="E179" i="23" s="1"/>
  <c r="C153" i="23"/>
  <c r="D153" i="23" s="1"/>
  <c r="E153" i="23" s="1"/>
  <c r="D147" i="23"/>
  <c r="E138" i="22"/>
  <c r="D139" i="22"/>
  <c r="C179" i="22" s="1"/>
  <c r="E179" i="22" s="1"/>
  <c r="C153" i="22"/>
  <c r="D153" i="22" s="1"/>
  <c r="D147" i="22"/>
  <c r="E138" i="21"/>
  <c r="D139" i="21"/>
  <c r="C179" i="21" s="1"/>
  <c r="E179" i="21" s="1"/>
  <c r="C153" i="21"/>
  <c r="D153" i="21" s="1"/>
  <c r="D147" i="21"/>
  <c r="E138" i="20"/>
  <c r="D139" i="20"/>
  <c r="C179" i="20" s="1"/>
  <c r="E179" i="20" s="1"/>
  <c r="C153" i="20"/>
  <c r="D153" i="20" s="1"/>
  <c r="D147" i="20"/>
  <c r="E138" i="19"/>
  <c r="D139" i="19"/>
  <c r="C179" i="19" s="1"/>
  <c r="E179" i="19" s="1"/>
  <c r="C153" i="19"/>
  <c r="D153" i="19" s="1"/>
  <c r="E153" i="19" s="1"/>
  <c r="D147" i="19"/>
  <c r="E138" i="18"/>
  <c r="D139" i="18"/>
  <c r="C179" i="18" s="1"/>
  <c r="E179" i="18" s="1"/>
  <c r="C153" i="18"/>
  <c r="D153" i="18" s="1"/>
  <c r="D147" i="18"/>
  <c r="E138" i="17"/>
  <c r="D139" i="17"/>
  <c r="C179" i="17" s="1"/>
  <c r="E179" i="17" s="1"/>
  <c r="C153" i="17"/>
  <c r="D153" i="17" s="1"/>
  <c r="D147" i="17"/>
  <c r="E138" i="16"/>
  <c r="D139" i="16"/>
  <c r="C179" i="16" s="1"/>
  <c r="E179" i="16" s="1"/>
  <c r="C153" i="16"/>
  <c r="D153" i="16" s="1"/>
  <c r="D147" i="16"/>
  <c r="E138" i="15"/>
  <c r="D139" i="15"/>
  <c r="C179" i="15" s="1"/>
  <c r="E179" i="15" s="1"/>
  <c r="E153" i="15"/>
  <c r="D154" i="15"/>
  <c r="C181" i="15" s="1"/>
  <c r="E181" i="15" s="1"/>
  <c r="E138" i="14"/>
  <c r="D139" i="14"/>
  <c r="C179" i="14" s="1"/>
  <c r="E179" i="14" s="1"/>
  <c r="E153" i="14"/>
  <c r="D154" i="14"/>
  <c r="C181" i="14" s="1"/>
  <c r="E181" i="14" s="1"/>
  <c r="E138" i="12"/>
  <c r="D139" i="12"/>
  <c r="C179" i="12" s="1"/>
  <c r="E179" i="12" s="1"/>
  <c r="C153" i="12"/>
  <c r="D153" i="12" s="1"/>
  <c r="D147" i="12"/>
  <c r="E138" i="11"/>
  <c r="D139" i="11"/>
  <c r="C179" i="11" s="1"/>
  <c r="E179" i="11" s="1"/>
  <c r="C153" i="11"/>
  <c r="D153" i="11" s="1"/>
  <c r="D147" i="11"/>
  <c r="E138" i="10"/>
  <c r="D139" i="10"/>
  <c r="C179" i="10" s="1"/>
  <c r="E179" i="10" s="1"/>
  <c r="C153" i="10"/>
  <c r="D153" i="10" s="1"/>
  <c r="D147" i="10"/>
  <c r="E138" i="9"/>
  <c r="D139" i="9"/>
  <c r="C179" i="9" s="1"/>
  <c r="E179" i="9" s="1"/>
  <c r="C153" i="9"/>
  <c r="D153" i="9" s="1"/>
  <c r="D147" i="9"/>
  <c r="E138" i="8"/>
  <c r="D139" i="8"/>
  <c r="C153" i="8"/>
  <c r="D153" i="8" s="1"/>
  <c r="D147" i="8"/>
  <c r="C192" i="8"/>
  <c r="E192" i="8" s="1"/>
  <c r="C178" i="8"/>
  <c r="E178" i="8" s="1"/>
  <c r="D160" i="37"/>
  <c r="C186" i="37" s="1"/>
  <c r="E186" i="37" s="1"/>
  <c r="B39" i="5" s="1"/>
  <c r="E158" i="37"/>
  <c r="D163" i="37"/>
  <c r="C187" i="37" s="1"/>
  <c r="E187" i="37" s="1"/>
  <c r="E161" i="37"/>
  <c r="D160" i="36"/>
  <c r="C186" i="36" s="1"/>
  <c r="E186" i="36" s="1"/>
  <c r="B38" i="5" s="1"/>
  <c r="E158" i="36"/>
  <c r="D163" i="36"/>
  <c r="C187" i="36" s="1"/>
  <c r="E187" i="36" s="1"/>
  <c r="E161" i="36"/>
  <c r="D160" i="35"/>
  <c r="C186" i="35" s="1"/>
  <c r="E186" i="35" s="1"/>
  <c r="B37" i="5" s="1"/>
  <c r="E158" i="35"/>
  <c r="D163" i="35"/>
  <c r="C187" i="35" s="1"/>
  <c r="E187" i="35" s="1"/>
  <c r="E161" i="35"/>
  <c r="D160" i="34"/>
  <c r="C186" i="34" s="1"/>
  <c r="E186" i="34" s="1"/>
  <c r="B35" i="5" s="1"/>
  <c r="E158" i="34"/>
  <c r="D163" i="34"/>
  <c r="C187" i="34" s="1"/>
  <c r="E187" i="34" s="1"/>
  <c r="E161" i="34"/>
  <c r="E191" i="33"/>
  <c r="D34" i="5" s="1"/>
  <c r="H34" i="5" s="1"/>
  <c r="D160" i="32"/>
  <c r="C186" i="32" s="1"/>
  <c r="E186" i="32" s="1"/>
  <c r="B33" i="5" s="1"/>
  <c r="E158" i="32"/>
  <c r="D163" i="32"/>
  <c r="C187" i="32" s="1"/>
  <c r="E187" i="32" s="1"/>
  <c r="E161" i="32"/>
  <c r="C213" i="27"/>
  <c r="E213" i="27" s="1"/>
  <c r="E221" i="27" s="1"/>
  <c r="D27" i="5" s="1"/>
  <c r="H27" i="5" s="1"/>
  <c r="C198" i="27"/>
  <c r="E198" i="27" s="1"/>
  <c r="E206" i="27" s="1"/>
  <c r="D25" i="5" s="1"/>
  <c r="H25" i="5" s="1"/>
  <c r="C183" i="27"/>
  <c r="E183" i="27" s="1"/>
  <c r="E191" i="27" s="1"/>
  <c r="D24" i="5" s="1"/>
  <c r="H24" i="5" s="1"/>
  <c r="E152" i="24"/>
  <c r="C158" i="24"/>
  <c r="D158" i="24" s="1"/>
  <c r="D155" i="24"/>
  <c r="E152" i="23"/>
  <c r="C158" i="23"/>
  <c r="D158" i="23" s="1"/>
  <c r="D155" i="23"/>
  <c r="D157" i="22"/>
  <c r="C182" i="22" s="1"/>
  <c r="E182" i="22" s="1"/>
  <c r="E155" i="22"/>
  <c r="D160" i="22"/>
  <c r="C183" i="22" s="1"/>
  <c r="E183" i="22" s="1"/>
  <c r="E158" i="22"/>
  <c r="D157" i="21"/>
  <c r="C182" i="21" s="1"/>
  <c r="E182" i="21" s="1"/>
  <c r="E155" i="21"/>
  <c r="D160" i="21"/>
  <c r="C183" i="21" s="1"/>
  <c r="E183" i="21" s="1"/>
  <c r="E158" i="21"/>
  <c r="D157" i="20"/>
  <c r="C182" i="20" s="1"/>
  <c r="E182" i="20" s="1"/>
  <c r="E155" i="20"/>
  <c r="D160" i="20"/>
  <c r="C183" i="20" s="1"/>
  <c r="E183" i="20" s="1"/>
  <c r="E158" i="20"/>
  <c r="E152" i="19"/>
  <c r="C158" i="19"/>
  <c r="D158" i="19" s="1"/>
  <c r="D155" i="19"/>
  <c r="D157" i="18"/>
  <c r="C182" i="18" s="1"/>
  <c r="E182" i="18" s="1"/>
  <c r="E155" i="18"/>
  <c r="D160" i="18"/>
  <c r="C183" i="18" s="1"/>
  <c r="E183" i="18" s="1"/>
  <c r="E158" i="18"/>
  <c r="D154" i="13"/>
  <c r="C181" i="13" s="1"/>
  <c r="E181" i="13" s="1"/>
  <c r="E152" i="13"/>
  <c r="C158" i="13"/>
  <c r="D158" i="13" s="1"/>
  <c r="D155" i="13"/>
  <c r="E191" i="31" l="1"/>
  <c r="D32" i="5" s="1"/>
  <c r="H32" i="5" s="1"/>
  <c r="I32" i="5" s="1"/>
  <c r="E191" i="34"/>
  <c r="D35" i="5" s="1"/>
  <c r="H35" i="5" s="1"/>
  <c r="I35" i="5" s="1"/>
  <c r="E191" i="35"/>
  <c r="D37" i="5" s="1"/>
  <c r="H37" i="5" s="1"/>
  <c r="I37" i="5" s="1"/>
  <c r="E191" i="36"/>
  <c r="D38" i="5" s="1"/>
  <c r="H38" i="5" s="1"/>
  <c r="I38" i="5" s="1"/>
  <c r="E191" i="37"/>
  <c r="D39" i="5" s="1"/>
  <c r="H39" i="5" s="1"/>
  <c r="I39" i="5" s="1"/>
  <c r="E191" i="26"/>
  <c r="D23" i="5" s="1"/>
  <c r="H23" i="5" s="1"/>
  <c r="I23" i="5" s="1"/>
  <c r="E191" i="32"/>
  <c r="D33" i="5" s="1"/>
  <c r="H33" i="5" s="1"/>
  <c r="E221" i="26"/>
  <c r="D28" i="5" s="1"/>
  <c r="H28" i="5" s="1"/>
  <c r="I28" i="5" s="1"/>
  <c r="E191" i="29"/>
  <c r="D30" i="5" s="1"/>
  <c r="H30" i="5" s="1"/>
  <c r="I30" i="5" s="1"/>
  <c r="E191" i="30"/>
  <c r="D31" i="5" s="1"/>
  <c r="H31" i="5" s="1"/>
  <c r="I31" i="5" s="1"/>
  <c r="E206" i="26"/>
  <c r="D26" i="5" s="1"/>
  <c r="H26" i="5" s="1"/>
  <c r="I26" i="5" s="1"/>
  <c r="D154" i="19"/>
  <c r="C181" i="19" s="1"/>
  <c r="E181" i="19" s="1"/>
  <c r="D154" i="23"/>
  <c r="C181" i="23" s="1"/>
  <c r="E181" i="23" s="1"/>
  <c r="D154" i="24"/>
  <c r="C181" i="24" s="1"/>
  <c r="E181" i="24" s="1"/>
  <c r="B40" i="5"/>
  <c r="D157" i="13"/>
  <c r="C182" i="13" s="1"/>
  <c r="E182" i="13" s="1"/>
  <c r="E155" i="13"/>
  <c r="D160" i="13"/>
  <c r="C183" i="13" s="1"/>
  <c r="E183" i="13" s="1"/>
  <c r="E158" i="13"/>
  <c r="D157" i="19"/>
  <c r="C182" i="19" s="1"/>
  <c r="E182" i="19" s="1"/>
  <c r="E155" i="19"/>
  <c r="D160" i="19"/>
  <c r="C183" i="19" s="1"/>
  <c r="E183" i="19" s="1"/>
  <c r="E158" i="19"/>
  <c r="D157" i="23"/>
  <c r="C182" i="23" s="1"/>
  <c r="E182" i="23" s="1"/>
  <c r="E155" i="23"/>
  <c r="D160" i="23"/>
  <c r="C183" i="23" s="1"/>
  <c r="E183" i="23" s="1"/>
  <c r="E158" i="23"/>
  <c r="D157" i="24"/>
  <c r="C182" i="24" s="1"/>
  <c r="E182" i="24" s="1"/>
  <c r="E155" i="24"/>
  <c r="D160" i="24"/>
  <c r="C183" i="24" s="1"/>
  <c r="E183" i="24" s="1"/>
  <c r="E158" i="24"/>
  <c r="I27" i="5"/>
  <c r="I25" i="5"/>
  <c r="I24" i="5"/>
  <c r="I33" i="5"/>
  <c r="I34" i="5"/>
  <c r="E147" i="8"/>
  <c r="D148" i="8"/>
  <c r="E153" i="8"/>
  <c r="D154" i="8"/>
  <c r="C193" i="8"/>
  <c r="E193" i="8" s="1"/>
  <c r="C179" i="8"/>
  <c r="E179" i="8" s="1"/>
  <c r="E147" i="9"/>
  <c r="D148" i="9"/>
  <c r="C180" i="9" s="1"/>
  <c r="E180" i="9" s="1"/>
  <c r="E153" i="9"/>
  <c r="D154" i="9"/>
  <c r="C181" i="9" s="1"/>
  <c r="E181" i="9" s="1"/>
  <c r="E147" i="10"/>
  <c r="D148" i="10"/>
  <c r="C180" i="10" s="1"/>
  <c r="E180" i="10" s="1"/>
  <c r="E153" i="10"/>
  <c r="D154" i="10"/>
  <c r="C181" i="10" s="1"/>
  <c r="E181" i="10" s="1"/>
  <c r="E147" i="11"/>
  <c r="D148" i="11"/>
  <c r="C180" i="11" s="1"/>
  <c r="E180" i="11" s="1"/>
  <c r="E153" i="11"/>
  <c r="D154" i="11"/>
  <c r="C181" i="11" s="1"/>
  <c r="E181" i="11" s="1"/>
  <c r="E147" i="12"/>
  <c r="D148" i="12"/>
  <c r="C180" i="12" s="1"/>
  <c r="E180" i="12" s="1"/>
  <c r="E153" i="12"/>
  <c r="D154" i="12"/>
  <c r="C181" i="12" s="1"/>
  <c r="E181" i="12" s="1"/>
  <c r="E187" i="14"/>
  <c r="D10" i="5" s="1"/>
  <c r="H10" i="5" s="1"/>
  <c r="I10" i="5" s="1"/>
  <c r="E187" i="15"/>
  <c r="D11" i="5" s="1"/>
  <c r="H11" i="5" s="1"/>
  <c r="I11" i="5" s="1"/>
  <c r="E147" i="16"/>
  <c r="D148" i="16"/>
  <c r="C180" i="16" s="1"/>
  <c r="E180" i="16" s="1"/>
  <c r="E153" i="16"/>
  <c r="D154" i="16"/>
  <c r="C181" i="16" s="1"/>
  <c r="E181" i="16" s="1"/>
  <c r="E147" i="17"/>
  <c r="D148" i="17"/>
  <c r="C180" i="17" s="1"/>
  <c r="E180" i="17" s="1"/>
  <c r="E153" i="17"/>
  <c r="D154" i="17"/>
  <c r="C181" i="17" s="1"/>
  <c r="E181" i="17" s="1"/>
  <c r="E147" i="18"/>
  <c r="D148" i="18"/>
  <c r="C180" i="18" s="1"/>
  <c r="E180" i="18" s="1"/>
  <c r="E153" i="18"/>
  <c r="D154" i="18"/>
  <c r="C181" i="18" s="1"/>
  <c r="E181" i="18" s="1"/>
  <c r="E147" i="19"/>
  <c r="D148" i="19"/>
  <c r="C180" i="19" s="1"/>
  <c r="E180" i="19" s="1"/>
  <c r="E147" i="20"/>
  <c r="D148" i="20"/>
  <c r="C180" i="20" s="1"/>
  <c r="E180" i="20" s="1"/>
  <c r="E153" i="20"/>
  <c r="D154" i="20"/>
  <c r="C181" i="20" s="1"/>
  <c r="E181" i="20" s="1"/>
  <c r="E147" i="21"/>
  <c r="D148" i="21"/>
  <c r="C180" i="21" s="1"/>
  <c r="E180" i="21" s="1"/>
  <c r="E153" i="21"/>
  <c r="D154" i="21"/>
  <c r="C181" i="21" s="1"/>
  <c r="E181" i="21" s="1"/>
  <c r="E147" i="22"/>
  <c r="D148" i="22"/>
  <c r="C180" i="22" s="1"/>
  <c r="E180" i="22" s="1"/>
  <c r="E153" i="22"/>
  <c r="D154" i="22"/>
  <c r="C181" i="22" s="1"/>
  <c r="E181" i="22" s="1"/>
  <c r="E147" i="23"/>
  <c r="D148" i="23"/>
  <c r="C180" i="23" s="1"/>
  <c r="E180" i="23" s="1"/>
  <c r="E147" i="24"/>
  <c r="D148" i="24"/>
  <c r="C180" i="24" s="1"/>
  <c r="E180" i="24" s="1"/>
  <c r="D157" i="16"/>
  <c r="C182" i="16" s="1"/>
  <c r="E182" i="16" s="1"/>
  <c r="E155" i="16"/>
  <c r="D160" i="16"/>
  <c r="C183" i="16" s="1"/>
  <c r="E183" i="16" s="1"/>
  <c r="E158" i="16"/>
  <c r="I29" i="5"/>
  <c r="E187" i="13" l="1"/>
  <c r="D9" i="5" s="1"/>
  <c r="H9" i="5" s="1"/>
  <c r="I9" i="5" s="1"/>
  <c r="E187" i="22"/>
  <c r="D18" i="5" s="1"/>
  <c r="H18" i="5" s="1"/>
  <c r="I18" i="5" s="1"/>
  <c r="E187" i="21"/>
  <c r="D17" i="5" s="1"/>
  <c r="H17" i="5" s="1"/>
  <c r="I17" i="5" s="1"/>
  <c r="E187" i="20"/>
  <c r="D16" i="5" s="1"/>
  <c r="H16" i="5" s="1"/>
  <c r="I16" i="5" s="1"/>
  <c r="E187" i="12"/>
  <c r="D8" i="5" s="1"/>
  <c r="H8" i="5" s="1"/>
  <c r="I8" i="5" s="1"/>
  <c r="E187" i="11"/>
  <c r="D7" i="5" s="1"/>
  <c r="H7" i="5" s="1"/>
  <c r="I7" i="5" s="1"/>
  <c r="E187" i="10"/>
  <c r="D6" i="5" s="1"/>
  <c r="H6" i="5" s="1"/>
  <c r="I6" i="5" s="1"/>
  <c r="E187" i="9"/>
  <c r="D5" i="5" s="1"/>
  <c r="H5" i="5" s="1"/>
  <c r="I5" i="5" s="1"/>
  <c r="E187" i="23"/>
  <c r="D19" i="5" s="1"/>
  <c r="H19" i="5" s="1"/>
  <c r="I19" i="5" s="1"/>
  <c r="E187" i="19"/>
  <c r="D15" i="5" s="1"/>
  <c r="H15" i="5" s="1"/>
  <c r="I15" i="5" s="1"/>
  <c r="E187" i="18"/>
  <c r="D14" i="5" s="1"/>
  <c r="H14" i="5" s="1"/>
  <c r="I14" i="5" s="1"/>
  <c r="E187" i="17"/>
  <c r="D13" i="5" s="1"/>
  <c r="H13" i="5" s="1"/>
  <c r="I13" i="5" s="1"/>
  <c r="E187" i="24"/>
  <c r="D20" i="5" s="1"/>
  <c r="H20" i="5" s="1"/>
  <c r="I20" i="5" s="1"/>
  <c r="D40" i="5"/>
  <c r="I40" i="5"/>
  <c r="H40" i="5"/>
  <c r="E187" i="16"/>
  <c r="D12" i="5" s="1"/>
  <c r="H12" i="5" s="1"/>
  <c r="I12" i="5" s="1"/>
  <c r="C195" i="8"/>
  <c r="E195" i="8" s="1"/>
  <c r="C181" i="8"/>
  <c r="E181" i="8" s="1"/>
  <c r="C194" i="8"/>
  <c r="E194" i="8" s="1"/>
  <c r="C180" i="8"/>
  <c r="E180" i="8" s="1"/>
  <c r="E187" i="8" l="1"/>
  <c r="D3" i="5" s="1"/>
  <c r="E201" i="8"/>
  <c r="D4" i="5" s="1"/>
  <c r="H4" i="5" s="1"/>
  <c r="I4" i="5" s="1"/>
  <c r="H3" i="5" l="1"/>
  <c r="I3" i="5" s="1"/>
  <c r="D21" i="5"/>
  <c r="H21" i="5" l="1"/>
  <c r="I21" i="5"/>
  <c r="I42" i="5" l="1"/>
  <c r="I43" i="5" s="1"/>
</calcChain>
</file>

<file path=xl/sharedStrings.xml><?xml version="1.0" encoding="utf-8"?>
<sst xmlns="http://schemas.openxmlformats.org/spreadsheetml/2006/main" count="8481" uniqueCount="786">
  <si>
    <t>CCT</t>
  </si>
  <si>
    <t>PR000326/2021</t>
  </si>
  <si>
    <t>Unidade Orgânica GEX Ponta Grossa</t>
  </si>
  <si>
    <t>ISS</t>
  </si>
  <si>
    <t>VT</t>
  </si>
  <si>
    <t>módulo 1</t>
  </si>
  <si>
    <t>Carga horária semanal serventes</t>
  </si>
  <si>
    <t xml:space="preserve">carga horária carregador </t>
  </si>
  <si>
    <t>GEX PONTA GROSSA</t>
  </si>
  <si>
    <t>Carga horária</t>
  </si>
  <si>
    <t>44h</t>
  </si>
  <si>
    <t>APS PONTA GROSSA</t>
  </si>
  <si>
    <t>Salário Base</t>
  </si>
  <si>
    <t>CEDOC Prev</t>
  </si>
  <si>
    <t>Encarregado</t>
  </si>
  <si>
    <t>APS GUARAPUAVA</t>
  </si>
  <si>
    <t>módulo 2.3</t>
  </si>
  <si>
    <t>custo empregado</t>
  </si>
  <si>
    <t>custo da empresa</t>
  </si>
  <si>
    <t>APS IRATI/PR</t>
  </si>
  <si>
    <t>Auxílio alimentação</t>
  </si>
  <si>
    <t>Benefício assistencia médica</t>
  </si>
  <si>
    <t>APS JAGUARIAIVA</t>
  </si>
  <si>
    <t>Auxílio transporte</t>
  </si>
  <si>
    <t>Benefício social familiar</t>
  </si>
  <si>
    <t>APS LARANJEIRAS DO SUL</t>
  </si>
  <si>
    <t xml:space="preserve">Ajuda de Custo </t>
  </si>
  <si>
    <t>módulo 6</t>
  </si>
  <si>
    <t>Custos indiretos</t>
  </si>
  <si>
    <t>Lucro</t>
  </si>
  <si>
    <t>APS TELÊMACO BORBA</t>
  </si>
  <si>
    <t>Adicional de risco</t>
  </si>
  <si>
    <t>APS UNIÃO DA VITÓRIA</t>
  </si>
  <si>
    <t>módulo 3</t>
  </si>
  <si>
    <t>Aviso prévio indenizado</t>
  </si>
  <si>
    <t>multa FGTS</t>
  </si>
  <si>
    <t>APS CASTRO</t>
  </si>
  <si>
    <t>3.1 Indenizado</t>
  </si>
  <si>
    <t>BC</t>
  </si>
  <si>
    <t>Provisionamento</t>
  </si>
  <si>
    <t>Valor</t>
  </si>
  <si>
    <t>% multa</t>
  </si>
  <si>
    <t>valor</t>
  </si>
  <si>
    <t>APS IBAITI</t>
  </si>
  <si>
    <t>3.2 Trabalhado</t>
  </si>
  <si>
    <t>Mod 1+Mod 2 (sem GPS)</t>
  </si>
  <si>
    <t>D/E</t>
  </si>
  <si>
    <t>FGTS na planilha</t>
  </si>
  <si>
    <t>G*H</t>
  </si>
  <si>
    <t>APS PITANGA</t>
  </si>
  <si>
    <t>3.3. Justa Causa</t>
  </si>
  <si>
    <t>APS ARAPOTI</t>
  </si>
  <si>
    <t>Custo aviso prévio indenizado</t>
  </si>
  <si>
    <t>APS IMBITUVA</t>
  </si>
  <si>
    <t>Percentual</t>
  </si>
  <si>
    <t>APS PRUDENTÓPOLIS</t>
  </si>
  <si>
    <t>F11+I11</t>
  </si>
  <si>
    <t>D*E</t>
  </si>
  <si>
    <t>APS PINHÃO/PR</t>
  </si>
  <si>
    <t>APS PALMEIRA/PR</t>
  </si>
  <si>
    <t>APS SÃO MATEUS DO SUL</t>
  </si>
  <si>
    <t>3.2</t>
  </si>
  <si>
    <t>Unidade Orgânica GEX Curitiba</t>
  </si>
  <si>
    <t>Aviso prévio trabalhado</t>
  </si>
  <si>
    <t>GERÊNCIA EXECUTIVA CURITIBA e APS digital</t>
  </si>
  <si>
    <t>Mod 1+ Mod 2</t>
  </si>
  <si>
    <t>Imóvel Mal. Deodoro</t>
  </si>
  <si>
    <t>APS CURITIBA - CÂNDIDO LOPES</t>
  </si>
  <si>
    <t>Custo aviso prévio trabalhado</t>
  </si>
  <si>
    <t>APS CURITIBA - HAUER</t>
  </si>
  <si>
    <t>APS CURITIBA - VISCONDE DE GUARAPUAVA</t>
  </si>
  <si>
    <t>F21+I21</t>
  </si>
  <si>
    <t>APS PARANAGUÁ</t>
  </si>
  <si>
    <t>APS ARAUCÁRIA</t>
  </si>
  <si>
    <t>APS SÃO JOSÉ DOS PINHAIS</t>
  </si>
  <si>
    <t>3.3</t>
  </si>
  <si>
    <t>APS COLOMBO</t>
  </si>
  <si>
    <t>Demissões por justa causa</t>
  </si>
  <si>
    <t>APS FAZENDA RIO GRANDE</t>
  </si>
  <si>
    <t>provisão 13º</t>
  </si>
  <si>
    <t>provisão férias</t>
  </si>
  <si>
    <t>provisão 1/3</t>
  </si>
  <si>
    <t>APS CAMPO LARGO</t>
  </si>
  <si>
    <t>(-)</t>
  </si>
  <si>
    <t>D+E+F (-)</t>
  </si>
  <si>
    <t>APS PINHAIS</t>
  </si>
  <si>
    <t>APS CAMPINA GRANDE DO SUL</t>
  </si>
  <si>
    <t>Custo da demissão com justa causa</t>
  </si>
  <si>
    <t>APS LAPA</t>
  </si>
  <si>
    <t>APS MANDIRITUBA</t>
  </si>
  <si>
    <t>G31</t>
  </si>
  <si>
    <t>APS ITAPERUÇU</t>
  </si>
  <si>
    <t>Total módulo 3</t>
  </si>
  <si>
    <t>3.1</t>
  </si>
  <si>
    <t>Total</t>
  </si>
  <si>
    <t>F15</t>
  </si>
  <si>
    <t>F25</t>
  </si>
  <si>
    <t>F35</t>
  </si>
  <si>
    <t>D+E+F</t>
  </si>
  <si>
    <t>módulo 4</t>
  </si>
  <si>
    <t>dias úteis</t>
  </si>
  <si>
    <t>Categoria</t>
  </si>
  <si>
    <t>Incidência anual</t>
  </si>
  <si>
    <t>duração legal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</si>
  <si>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</si>
  <si>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</si>
  <si>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</si>
  <si>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</si>
  <si>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</si>
  <si>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</si>
  <si>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</si>
  <si>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</si>
  <si>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</si>
  <si>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</si>
  <si>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</si>
  <si>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</si>
  <si>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Custo diário</t>
  </si>
  <si>
    <t>divisor</t>
  </si>
  <si>
    <t>mod 1+ mod 2+ mod 3</t>
  </si>
  <si>
    <t>C/D</t>
  </si>
  <si>
    <t>Custo de reposição do profissional ausente</t>
  </si>
  <si>
    <t>necessidade de reposição</t>
  </si>
  <si>
    <t>custo anual</t>
  </si>
  <si>
    <t>custo mensal</t>
  </si>
  <si>
    <t>E60</t>
  </si>
  <si>
    <t>F59</t>
  </si>
  <si>
    <t>C*D</t>
  </si>
  <si>
    <t>E/12</t>
  </si>
  <si>
    <t>MATERIAIS</t>
  </si>
  <si>
    <t>Formalização da pesquisa de preços</t>
  </si>
  <si>
    <t>DISCRIMINAÇÃO</t>
  </si>
  <si>
    <t>UNIDADE</t>
  </si>
  <si>
    <t>QUANTIDADE DEFINIDA - GEX Ponta Grossa</t>
  </si>
  <si>
    <t>QUANTIDADE DEFINIDA - GEX Curitiba</t>
  </si>
  <si>
    <t>CUSTO MÉDIO (R$)</t>
  </si>
  <si>
    <t>CUSTO MENSAL MATERIAIS (R$) -- GEX Ponta Grossa</t>
  </si>
  <si>
    <t>CUSTO MENSAL MATERIAIS (R$) - GEX Curitiba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</si>
  <si>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</si>
  <si>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</si>
  <si>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</si>
  <si>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</si>
  <si>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</si>
  <si>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</si>
  <si>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</si>
  <si>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Galão 5l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</si>
  <si>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</si>
  <si>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</si>
  <si>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</si>
  <si>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</si>
  <si>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</si>
  <si>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</si>
  <si>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</si>
  <si>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</si>
  <si>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</si>
  <si>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750ml</t>
  </si>
  <si>
    <t>I, X</t>
  </si>
  <si>
    <t>Desinfetante de uso geral/banheiro</t>
  </si>
  <si>
    <t>5 litros</t>
  </si>
  <si>
    <t>II, X</t>
  </si>
  <si>
    <t>* consolidado fev/mar/2021 PG</t>
  </si>
  <si>
    <t>Desincrustante limpeza pesada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</si>
  <si>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</si>
  <si>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</si>
  <si>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</si>
  <si>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</si>
  <si>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</si>
  <si>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</si>
  <si>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</si>
  <si>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</si>
  <si>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verde,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</si>
  <si>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</si>
  <si>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</si>
  <si>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</si>
  <si>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</si>
  <si>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</si>
  <si>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</si>
  <si>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</si>
  <si>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</si>
  <si>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</si>
  <si>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</si>
  <si>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</si>
  <si>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</si>
  <si>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</si>
  <si>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</si>
  <si>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</si>
  <si>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</si>
  <si>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</si>
  <si>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</si>
  <si>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</si>
  <si>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</si>
  <si>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</si>
  <si>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</si>
  <si>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Fardo 8un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</si>
  <si>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</si>
  <si>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</si>
  <si>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</si>
  <si>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</si>
  <si>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</si>
  <si>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</si>
  <si>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</si>
  <si>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</si>
  <si>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</si>
  <si>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</si>
  <si>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</si>
  <si>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</si>
  <si>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</si>
  <si>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</si>
  <si>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</si>
  <si>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</si>
  <si>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</si>
  <si>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(anual) - GEX Ponta Grossa</t>
  </si>
  <si>
    <t>QUANTIDADE DEFINIDA (anual) - Gex Curitiba</t>
  </si>
  <si>
    <t>CUSTO MENSAL MATERIAIS (R$) - GEX Ponta Grossa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</si>
  <si>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</si>
  <si>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</si>
  <si>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</si>
  <si>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</si>
  <si>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</si>
  <si>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</si>
  <si>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</si>
  <si>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</si>
  <si>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</si>
  <si>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</si>
  <si>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</si>
  <si>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</si>
  <si>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</si>
  <si>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</si>
  <si>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</si>
  <si>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</si>
  <si>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</si>
  <si>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</si>
  <si>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</si>
  <si>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</si>
  <si>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</si>
  <si>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</si>
  <si>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TOTAL GERAL</t>
  </si>
  <si>
    <t>VALOR POR SERVENTE</t>
  </si>
  <si>
    <t>MATERIAIS/UTENSÍLIOS PARA ÁREA SANITIZAÇÃO</t>
  </si>
  <si>
    <t>QUANTIDADE DEFINIDA (mensal) - GEX Ponta Grossa</t>
  </si>
  <si>
    <t>QUANTIDADE DEFINIDA (mensal) - GEX Curitiba</t>
  </si>
  <si>
    <t>Álcool isopropílico</t>
  </si>
  <si>
    <t>III</t>
  </si>
  <si>
    <t>XI</t>
  </si>
  <si>
    <t>Saco para Lixo Leitoso reforçado 10L</t>
  </si>
  <si>
    <t>V</t>
  </si>
  <si>
    <t>QUANTIDADE DEFINIDA (anual)</t>
  </si>
  <si>
    <t>CUSTO MENSAL MATERIAIS (R$) - GEX uritiba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</si>
  <si>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</si>
  <si>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</si>
  <si>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</si>
  <si>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</si>
  <si>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</si>
  <si>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 xml:space="preserve"> 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</si>
  <si>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</si>
  <si>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</si>
  <si>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</si>
  <si>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</si>
  <si>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</si>
  <si>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</si>
  <si>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</si>
  <si>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</si>
  <si>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(60 meses) - GEX Ponta Grossa</t>
  </si>
  <si>
    <t>QUANTIDADE DEFINIDA (60 meses) - GEX Curitiba</t>
  </si>
  <si>
    <t>CUSTO MENSAL EQUIPAMENTOS (R$) - GEX Ponta Grossa</t>
  </si>
  <si>
    <t>CUSTO MENSAL EQUIPAMENTOS (R$) - GEX Curitiba</t>
  </si>
  <si>
    <t>Aspirador de Pó</t>
  </si>
  <si>
    <t>Cabo Extensor para Limpeza (5 metros)</t>
  </si>
  <si>
    <t>Carro funcional c/ bolsa, metal/plástico, 3 prat.</t>
  </si>
  <si>
    <t>Cortador de grama</t>
  </si>
  <si>
    <t>Dispenser (Saboneteira para líquido)</t>
  </si>
  <si>
    <t>Dispenser papel toalha</t>
  </si>
  <si>
    <t>Enceradeira industrial DC 350 ( 60 meses)</t>
  </si>
  <si>
    <t>Enxada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</si>
  <si>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</si>
  <si>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</si>
  <si>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</si>
  <si>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</si>
  <si>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Molhado)</t>
  </si>
  <si>
    <t>Porta Papel Higiênico 30 mt ( para encaixar na caixa de descarga)</t>
  </si>
  <si>
    <t>Porta Papel Higiênico rolão 300 mt</t>
  </si>
  <si>
    <t>Rastelo de Jardim</t>
  </si>
  <si>
    <t>Tesoura para poda</t>
  </si>
  <si>
    <t>TOTAL GERAL ( 60 MESES)</t>
  </si>
  <si>
    <t xml:space="preserve">TOTAL ANUAL DE EQUIPAMENTOS  - Depreciação Anual conforme tabela da RFB - </t>
  </si>
  <si>
    <t>UNIFORMES</t>
  </si>
  <si>
    <t>QUANTIDADE DEFINIDA (anual) - Curitiba</t>
  </si>
  <si>
    <t>CUSTO MÉDIO</t>
  </si>
  <si>
    <t>CUSTO MENSAL UNIFORMES - GEX Ponta Grossa</t>
  </si>
  <si>
    <t>CUSTO MENSAL UNIFORMES - GEXCuritiba</t>
  </si>
  <si>
    <t>SERVENTES</t>
  </si>
  <si>
    <t>Bata ( avental) pano</t>
  </si>
  <si>
    <t>Bota de borracha</t>
  </si>
  <si>
    <t xml:space="preserve">Calça </t>
  </si>
  <si>
    <t>Camiseta</t>
  </si>
  <si>
    <t>Crachá, protetor, jacaré, cordão e regulador</t>
  </si>
  <si>
    <t>ENCARREGADAS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</si>
  <si>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</si>
  <si>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</si>
  <si>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</si>
  <si>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</si>
  <si>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</si>
  <si>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- GEX Ponta Grossa</t>
  </si>
  <si>
    <t>QUANTIDADE DEFINIDA MENSAL - GEX Curitiba</t>
  </si>
  <si>
    <t>CUSTO MENSAL DOS EPIs - GEX Ponta Grossa</t>
  </si>
  <si>
    <t>CUSTO MENSAL DOS EPIs - GEX Curitiba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</si>
  <si>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</si>
  <si>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</si>
  <si>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</si>
  <si>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</si>
  <si>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</si>
  <si>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</si>
  <si>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- GEX Ponta Grossa</t>
  </si>
  <si>
    <t>QUANTIDADE DEFINIDA anual - GEX Curitiba</t>
  </si>
  <si>
    <t>EPIs USO GERAL</t>
  </si>
  <si>
    <t>Avental impermeável de pvc</t>
  </si>
  <si>
    <t>Luva proteção de raspa de couro, cano curto</t>
  </si>
  <si>
    <t>Óculos de proteção lente transparente</t>
  </si>
  <si>
    <t>TOTAL Serventes COVID</t>
  </si>
  <si>
    <t>TOTAL Serventes Área Uso Geral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</si>
  <si>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</si>
  <si>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</si>
  <si>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</si>
  <si>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 xml:space="preserve"> 2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</si>
  <si>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</si>
  <si>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</si>
  <si>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</si>
  <si>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</si>
  <si>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</si>
  <si>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</si>
  <si>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9 serventes x 22 dias uteis mês</t>
  </si>
  <si>
    <t>DESPESAS ENCARREGADA (O) - GEX PONTA GROSSA</t>
  </si>
  <si>
    <t>QUANTIDADE DEFINIDA - IDA E VOLTA (MENSAL)</t>
  </si>
  <si>
    <t>CUSTO MENSAL DESLOCAMENTO IDA E VOLTA</t>
  </si>
  <si>
    <t>PASSAGENS INTERMUNICIPAIS ÔNIBUS- DESLOCAMENTO ENCARREGADA (O) - IDA E VOLTA</t>
  </si>
  <si>
    <t>Ponta Grossa - Guarapuava</t>
  </si>
  <si>
    <t xml:space="preserve">Bilhete </t>
  </si>
  <si>
    <t>Ponta Grossa - Irati</t>
  </si>
  <si>
    <t>Ponta Grossa - Jaguariaíva</t>
  </si>
  <si>
    <t>Ponta Grossa - Laranjeiras do Sul</t>
  </si>
  <si>
    <t>Ponta Grossa - Telêmaco Borba</t>
  </si>
  <si>
    <t>Ponta Grossa - União da Vitória</t>
  </si>
  <si>
    <t>Bilhete</t>
  </si>
  <si>
    <t>Ponta Grossa - Castro</t>
  </si>
  <si>
    <t>Ponta Grossa - Ibaiti</t>
  </si>
  <si>
    <t>Ponta Grossa - Pitanga</t>
  </si>
  <si>
    <t>Ponta Grossa - Arapoti</t>
  </si>
  <si>
    <t>Ponta Grossa - Imbituva</t>
  </si>
  <si>
    <t>Ponta Grossa - Prudentópolis</t>
  </si>
  <si>
    <t>Ponta Grossa - Pinhão</t>
  </si>
  <si>
    <t>Ponta Grossa - Palmeira</t>
  </si>
  <si>
    <t>Ponta Grossa - São Mateus do Sul</t>
  </si>
  <si>
    <t>PASSAGENS ÔNIBUS (INTERMUNICIPAIS/METROPOLITANO/ALIMENTADOR) - DESLOCAMENTO ENCARREGADA (O) - IDA E VOLTA</t>
  </si>
  <si>
    <t>Curitiba - Paranaguá</t>
  </si>
  <si>
    <t>Curitiba - Araucária</t>
  </si>
  <si>
    <t>Curitiba - São José dos Pinhais</t>
  </si>
  <si>
    <t>Curitiba - Colombo</t>
  </si>
  <si>
    <t>Curitiba - Fazenda Rio Grande</t>
  </si>
  <si>
    <t>Curitiba - Campo Largo</t>
  </si>
  <si>
    <t>Curitiba - Pinhais</t>
  </si>
  <si>
    <t>Curitiba - Lapa</t>
  </si>
  <si>
    <t>Curitiba - Mandirituba</t>
  </si>
  <si>
    <t>Curitiba - Itaperuçu</t>
  </si>
  <si>
    <t xml:space="preserve">PLANO DE TELEFONE  ENCARREGADA (O) </t>
  </si>
  <si>
    <t>Crédito celular encarregada</t>
  </si>
  <si>
    <t>EQUIPAMENTOS CARREGADOR</t>
  </si>
  <si>
    <t>QUANTIDADE DEFINIDA (60 meses) Ponta Grossa</t>
  </si>
  <si>
    <t>QUANTIDADE DEFINIDA (60 meses) Curtiba</t>
  </si>
  <si>
    <t>Carrinhos de transporte de materiais - Tipo Plataforma 400KG</t>
  </si>
  <si>
    <t>Carrinhos de transporte de materiais - Tipo Tipo Armazém 200KG</t>
  </si>
  <si>
    <t>Furadeira/parafusadeira</t>
  </si>
  <si>
    <t>kit’s de ferramentas contendo no mínimo alicate, martelo, serra de ferro, chaves de fenda, chaves Phillips, chaves de  boca, chaves estrelas, e demais equipamentos/materiais necessários</t>
  </si>
  <si>
    <t>VALOR POR CARREGADOR</t>
  </si>
  <si>
    <t>UNIFORMES CARREGADOR</t>
  </si>
  <si>
    <t>QUANTIDADE DEFINIDA por carrgador (anual) - Ponta Grossa e Curitiba</t>
  </si>
  <si>
    <t>CUSTO MENSAL UNIFORMES - GEX Ponta Grossa e Curitiba</t>
  </si>
  <si>
    <t xml:space="preserve">Calças </t>
  </si>
  <si>
    <t xml:space="preserve">Sapato/Botina segurança </t>
  </si>
  <si>
    <t>TOTAL GERAL MENSAL POR CARREGADOR</t>
  </si>
  <si>
    <t>EPIs CARREGADOR</t>
  </si>
  <si>
    <t>QUANTIDADE DEFINIDA (anual) - GEX Ponta Grossa e Curitiba</t>
  </si>
  <si>
    <t>CUSTO MENSAL DOS EPIs - GEX Ponta Grossa e Curitba</t>
  </si>
  <si>
    <t>Capacete</t>
  </si>
  <si>
    <t xml:space="preserve">Cinta </t>
  </si>
  <si>
    <t xml:space="preserve"> Luva de raspa</t>
  </si>
  <si>
    <t>Óculos de segurança em policarbonato</t>
  </si>
  <si>
    <t>unidade</t>
  </si>
  <si>
    <t>DESPESAS VARIAVEIS CARREGADOR  GEX PONTA GROSSA</t>
  </si>
  <si>
    <t>VALOR</t>
  </si>
  <si>
    <t>6 DESLOCAMENTO/MÊS - PASSAGENS ÔNIBUS (INTERMUNICIPAIS/METROPOLITANO/ALIMENTADOR)  IDA E VOLTA</t>
  </si>
  <si>
    <t>6 DIÁRIAS DE ALIMENTAÇÃO/ AJUDA DE CUSTO</t>
  </si>
  <si>
    <t>DESPESAS VARIAVEIS CARREGADOR  GEX Curitiba</t>
  </si>
  <si>
    <t>Limpeza ordinária</t>
  </si>
  <si>
    <t>Postos COVID</t>
  </si>
  <si>
    <t>Carregador</t>
  </si>
  <si>
    <t>Totais</t>
  </si>
  <si>
    <t>Unidade Orgânica GEX Ponta Grossa/PR</t>
  </si>
  <si>
    <t>AE-2.1: Áreas verdes com média frequência - mensal EQUIPE EXTERNA AO CONTRATO</t>
  </si>
  <si>
    <t>EER:
Face Externa COM exposição a risco - Semestral EQUIPE EXTERNA AO CONTRATO</t>
  </si>
  <si>
    <t>Valor mensal: item 1</t>
  </si>
  <si>
    <t>Valor mensal item 2</t>
  </si>
  <si>
    <t>Valor mensal item 3</t>
  </si>
  <si>
    <t>Valor mensal: item 1 + item 2 + item 3</t>
  </si>
  <si>
    <t>Valor anual: item 1 + item 2 + item 3</t>
  </si>
  <si>
    <t>APS Ponta Grossa</t>
  </si>
  <si>
    <t xml:space="preserve">Total </t>
  </si>
  <si>
    <t>Unidade Orgânica - GEX Curitiba</t>
  </si>
  <si>
    <t>Valor mensal: item 4</t>
  </si>
  <si>
    <t>Valor mensal item 5</t>
  </si>
  <si>
    <t>Valor mensal item 6</t>
  </si>
  <si>
    <t>Valor mensal: item 4 + item 5 + item 6</t>
  </si>
  <si>
    <t>Valor anual: item 4+ item 5+ item 6</t>
  </si>
  <si>
    <t>Total Gex Curitiba</t>
  </si>
  <si>
    <t>TOTAL</t>
  </si>
  <si>
    <t>GERÊNCIA PONTA GROSSA/PR</t>
  </si>
  <si>
    <t>Endereço</t>
  </si>
  <si>
    <t>Cidade</t>
  </si>
  <si>
    <t>GEX/APS/ADJ PONTA GROSSA</t>
  </si>
  <si>
    <t>Rua Marques do Paraná, 799</t>
  </si>
  <si>
    <t>PONTA GROSSA/PR</t>
  </si>
  <si>
    <t>CEDOCPREV PONTA GROSSA</t>
  </si>
  <si>
    <t>Rua Dr. Colares, 415</t>
  </si>
  <si>
    <t>Rua Ondina Bueno Siqueira, 220</t>
  </si>
  <si>
    <t>ARAPOTI/PR</t>
  </si>
  <si>
    <t>Rua Marechal Deodoro, 492</t>
  </si>
  <si>
    <t>CASTRO/PR</t>
  </si>
  <si>
    <t>Rua Quinze de Novembro, 3337</t>
  </si>
  <si>
    <t>GUARAPUAVA/PR</t>
  </si>
  <si>
    <t>Rua Rui Barbosa, 379</t>
  </si>
  <si>
    <t>IBAITI/PR</t>
  </si>
  <si>
    <t>Rua Santo Antônio, 839</t>
  </si>
  <si>
    <t>IMBITUVA/PR</t>
  </si>
  <si>
    <t>APS IRATI</t>
  </si>
  <si>
    <t>Rua Coronel Emílio Gomes, 63</t>
  </si>
  <si>
    <t>IRATI/PR</t>
  </si>
  <si>
    <t>Av. Antônio Cunha, 507</t>
  </si>
  <si>
    <t>JAGUARIAIVA/PR</t>
  </si>
  <si>
    <t>Av. Santos Dumont, 2255</t>
  </si>
  <si>
    <t>LARANJEIRAS DO SUL/PR</t>
  </si>
  <si>
    <t>APS PALMEIRA</t>
  </si>
  <si>
    <t>Rua Fritz Kliewer, 315</t>
  </si>
  <si>
    <t>PALMEIRA/PR</t>
  </si>
  <si>
    <t>APS PINHÃO</t>
  </si>
  <si>
    <t>Rua Lauro Ferreira Caldas, 145</t>
  </si>
  <si>
    <t>PINHÃO/PR</t>
  </si>
  <si>
    <t>Rua João Gonçalves Padilha, 391</t>
  </si>
  <si>
    <t>PITANGA/PR</t>
  </si>
  <si>
    <t>Rua Lécia Ucrainka, 367</t>
  </si>
  <si>
    <t>PRUDENTÓPOLIS/PR</t>
  </si>
  <si>
    <t>RUA Tenente Max Wolff Filho, 474</t>
  </si>
  <si>
    <t>SÃO MATEUS DO SUL/PR</t>
  </si>
  <si>
    <t>Rua Leopoldo Voigt, 106</t>
  </si>
  <si>
    <t>TELÊMACO BORBA/PR</t>
  </si>
  <si>
    <t>Rua Ipiranga, 251</t>
  </si>
  <si>
    <t>UNIÃO DA VITÓRIA/PR</t>
  </si>
  <si>
    <t>GERÊNCIA CURITIBA/PR</t>
  </si>
  <si>
    <t>GEX / APS DIGITAL / ADJ CURITIBA</t>
  </si>
  <si>
    <t>Rua João Negrão, 11/21, Centro</t>
  </si>
  <si>
    <t>CURITIBA/PR</t>
  </si>
  <si>
    <t>IMÓVEL MARECHAL DEODORO</t>
  </si>
  <si>
    <t>Rua Marechal Deodoro, 1250, Centro</t>
  </si>
  <si>
    <t>CEDOCPREV CURITIBA</t>
  </si>
  <si>
    <t>Av. Prefeito Lothário Meissner, 632</t>
  </si>
  <si>
    <t>Rua Manoel Ribas, 185</t>
  </si>
  <si>
    <t>ARAUCÁRIA/PR</t>
  </si>
  <si>
    <t>Rua Joaquim Ribas de Andrade, 1350, Centro</t>
  </si>
  <si>
    <t>CAMPO LARGO/PR</t>
  </si>
  <si>
    <t>Rua Zacarias de Paula Xavier, 124, Centro</t>
  </si>
  <si>
    <t>COLOMBO/PR</t>
  </si>
  <si>
    <t>APS CURITIBA-CÂNDIDO LOPES</t>
  </si>
  <si>
    <t>Rua Cândido Lopes, 270, Centro</t>
  </si>
  <si>
    <t>APS CURITIBA-HAUER</t>
  </si>
  <si>
    <t>Rua Waldemar Kost, 706, Vila Hauer</t>
  </si>
  <si>
    <t>APS CURITIBA-VISCONDE DE GUARAPUAVA</t>
  </si>
  <si>
    <t>Travessa da Lapa, 200, Centro</t>
  </si>
  <si>
    <t>Rua Egito, 426, Nações</t>
  </si>
  <si>
    <t>FAZENDA RIO GRANDE/PR</t>
  </si>
  <si>
    <t>Rua Crispin Furquim de Siqueira, 1780, Centro</t>
  </si>
  <si>
    <t>ITAPERUÇU/PR</t>
  </si>
  <si>
    <t>Av. Juscelino Kubitschek de Oliveira, 479. D. Pedro II</t>
  </si>
  <si>
    <t>LAPA/PR</t>
  </si>
  <si>
    <t>Rua Francisco Manoel de Oliveira Mendes, 246, Centro</t>
  </si>
  <si>
    <t>MANDIRITUBA/PR</t>
  </si>
  <si>
    <t>Praça João Gualberto, 267, Centro</t>
  </si>
  <si>
    <t>PARANAGUÁ/PR</t>
  </si>
  <si>
    <t>Rua África, 50, Centro</t>
  </si>
  <si>
    <t>PINHAIS/PR</t>
  </si>
  <si>
    <t>Rua Joinville, 2643, São Pedro</t>
  </si>
  <si>
    <t>SÃO JOSÉ DOS PINHAIS/PR</t>
  </si>
  <si>
    <t>ANEXO III</t>
  </si>
  <si>
    <t>MODELO DE PROPOSTA E PLANILHA DE CUSTOS E FORMAÇÃO DE PREÇOS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</si>
  <si>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</si>
  <si>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</si>
  <si>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</si>
  <si>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</si>
  <si>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</si>
  <si>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 - Ponta Grosssa</t>
  </si>
  <si>
    <t>Percentuais e Valores de Referência Curitiba</t>
  </si>
  <si>
    <t>Carregador 44h Ponta Grossa</t>
  </si>
  <si>
    <t>Carregador 44h Curitiba</t>
  </si>
  <si>
    <t>MÓDULO 1: COMPOSIÇÃO DA REMUNERAÇÃO</t>
  </si>
  <si>
    <t>1 - Composição da Remuneração</t>
  </si>
  <si>
    <t xml:space="preserve"> Percentuais</t>
  </si>
  <si>
    <t xml:space="preserve"> Valor (R$)</t>
  </si>
  <si>
    <t xml:space="preserve">    A – Salário Base 40 horas</t>
  </si>
  <si>
    <t xml:space="preserve">    B - Adicional de Insalubridade (20)</t>
  </si>
  <si>
    <t xml:space="preserve">    C - Adicional de Insalubridade (40)</t>
  </si>
  <si>
    <t xml:space="preserve">    D - Adicional Noturno</t>
  </si>
  <si>
    <t xml:space="preserve">    E - Adicional de Hora Noturna Reduzida</t>
  </si>
  <si>
    <t xml:space="preserve">    F - Adicional de Hora Extra no Feriado Trabalhado</t>
  </si>
  <si>
    <t xml:space="preserve">    E - Outros (especificar) - Adicional de risco ( 11ª da CCT)</t>
  </si>
  <si>
    <t>MÓDULO 2: ENCARGOS E BENEFÍCIOS ANUAIS, MENSAIS E DIÁRIOS</t>
  </si>
  <si>
    <t>2.1 - 13º Salário, Férias e Adicional de Férias</t>
  </si>
  <si>
    <t xml:space="preserve"> Percentuais    </t>
  </si>
  <si>
    <t xml:space="preserve"> Valor (R$)     </t>
  </si>
  <si>
    <t>A - 13º salário</t>
  </si>
  <si>
    <t>B - Férias</t>
  </si>
  <si>
    <t>C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</si>
  <si>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</si>
  <si>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</si>
  <si>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</si>
  <si>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</si>
  <si>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</si>
  <si>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</si>
  <si>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</si>
  <si>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</si>
  <si>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</si>
  <si>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2.2.2 - FGTS</t>
  </si>
  <si>
    <t>F - FGTS</t>
  </si>
  <si>
    <t>2.3 - Benefícios Mensais e Diários</t>
  </si>
  <si>
    <t xml:space="preserve"> Valores    </t>
  </si>
  <si>
    <t>A - Transporte</t>
  </si>
  <si>
    <t>B - Auxílio-Refeição/Alimentação ( COM DESCONTO DE 20% )</t>
  </si>
  <si>
    <t>C - Ajuda de custo ( equipes de limpeza de vidros)</t>
  </si>
  <si>
    <t>D - Assistencia Médica ( Cláusula 15ª)</t>
  </si>
  <si>
    <t>E- Benefício Social Familiar ( Cláusula 16ª)</t>
  </si>
  <si>
    <t>F - Outros (especificar)</t>
  </si>
  <si>
    <t>2 - ENCARGOS E BENEFÍCIOS ANUAIS, MENSAIS E DIÁRIOS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</si>
  <si>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</si>
  <si>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</si>
  <si>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</si>
  <si>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>R$</t>
  </si>
  <si>
    <t>MÓDULO 3: PROVISÃO PARA RESCISÃO</t>
  </si>
  <si>
    <t>3 - Provisão para Rescisão</t>
  </si>
  <si>
    <t>3.1 - Aviso Prévio Indenizado</t>
  </si>
  <si>
    <t xml:space="preserve">A - Aviso Prévio Indenizado </t>
  </si>
  <si>
    <t>B - Multa do FGTS sobre Aviso Prévio Indenizado</t>
  </si>
  <si>
    <t>3.2 - Aviso Prévio Trabalhado</t>
  </si>
  <si>
    <t>Percentuais</t>
  </si>
  <si>
    <t>Valor (R$)</t>
  </si>
  <si>
    <t>B - Multa do FGTS sobre Aviso Prévio Trabalhado</t>
  </si>
  <si>
    <t>3.3 - Demissão por Justa Causa</t>
  </si>
  <si>
    <t>A - Valor Provisionado do 13º Salário</t>
  </si>
  <si>
    <t>B - Valor Provisionado de Férias</t>
  </si>
  <si>
    <t>C - Valor Provisionado do Adicional de Férias</t>
  </si>
  <si>
    <t>A - Aviso Prévio Indenizado</t>
  </si>
  <si>
    <t>B - Aviso Prévio Trabalhado</t>
  </si>
  <si>
    <t>C - Demissão por Justa Causa</t>
  </si>
  <si>
    <t>MÓDULO 4: CUSTO DE REPOSIÇÃO DO PROFISSIONAL AUSENTE</t>
  </si>
  <si>
    <t>4.1 - Ausências Legais</t>
  </si>
  <si>
    <t>A - Férias</t>
  </si>
  <si>
    <t>B – Ausências Legais</t>
  </si>
  <si>
    <t>C - Licença-Maternidade</t>
  </si>
  <si>
    <t>D - Ausências por acidente de trabalho</t>
  </si>
  <si>
    <t>E - Outros</t>
  </si>
  <si>
    <t>Subtotal</t>
  </si>
  <si>
    <t>MÓDULO 5: INSUMOS DE MÃO DE OBRA</t>
  </si>
  <si>
    <t>5 - Insumos Diversos</t>
  </si>
  <si>
    <t>Valores</t>
  </si>
  <si>
    <t>A - Uniformes</t>
  </si>
  <si>
    <t>B - Materiais e utensílios</t>
  </si>
  <si>
    <t>-</t>
  </si>
  <si>
    <t>C - Equipamentos</t>
  </si>
  <si>
    <t>D - EPIs</t>
  </si>
  <si>
    <t>MÓDULO 6: CUSTOS INDIRETOS, TRIBUTOS E LUCRO</t>
  </si>
  <si>
    <t>6 - Custos Indiretos, Tributos e Lucro</t>
  </si>
  <si>
    <t xml:space="preserve">    A - Custos Indiretos</t>
  </si>
  <si>
    <t xml:space="preserve">    B - Lucro</t>
  </si>
  <si>
    <r>
      <rPr>
        <sz val="10"/>
        <color rgb="FF000000"/>
        <rFont val="Cambria"/>
        <family val="1"/>
        <charset val="1"/>
      </rPr>
      <t xml:space="preserve">C - Tributos </t>
    </r>
    <r>
      <rPr>
        <sz val="9"/>
        <color rgb="FFFF0000"/>
        <rFont val="Cambria"/>
        <family val="1"/>
        <charset val="1"/>
      </rPr>
      <t>(Utilizar os percentuais de acordo com o regime tributário a que estiver sujeito)</t>
    </r>
  </si>
  <si>
    <t xml:space="preserve">        C.1 - Tributos Federais (PIS e COFINS)</t>
  </si>
  <si>
    <t xml:space="preserve">        C.2 - Tributos Estaduais (especificar)</t>
  </si>
  <si>
    <t xml:space="preserve">        C.3 - Tributos Municipais (especificar)</t>
  </si>
  <si>
    <t xml:space="preserve">        C.4 - Outros Tributos (especificar)</t>
  </si>
  <si>
    <t>QUADRO RESUMO DO CUSTO POR EMPREGADO</t>
  </si>
  <si>
    <t>Mão de obra vinculada à execução contratual (valor por empregado)</t>
  </si>
  <si>
    <t xml:space="preserve">    A - Módulo 1 - Composição da Remuneração</t>
  </si>
  <si>
    <t xml:space="preserve">    B - Módulo 2 - Encargos e Benefícios Anuais, Mensais e Diários</t>
  </si>
  <si>
    <t xml:space="preserve">    C - Módulo 3 - Provisão para Rescisão</t>
  </si>
  <si>
    <t xml:space="preserve">    D - Módulo 4 - Custos de Reposição do Profissional Ausente</t>
  </si>
  <si>
    <t xml:space="preserve">    E - Módulo 5 - Insumos Diversos</t>
  </si>
  <si>
    <t>Subtotal (A + B + C + D + E)</t>
  </si>
  <si>
    <t xml:space="preserve">    F - Módulo 6 - Custos Indiretos, Tributos e Lucro</t>
  </si>
  <si>
    <t>VALOR TOTAL POR EMPREGADO (FIXO)</t>
  </si>
  <si>
    <t>ITENS DE DESPESAS VARIÁVEIS (NO CASO DE HAVER SOLICITAÇÃO DE VIAGEM PARA OUTRA APS)</t>
  </si>
  <si>
    <t>Valor mensal máximo para alimentação ( 6 DIÁRIAS)</t>
  </si>
  <si>
    <t>Valor mensal máximo para deslocamento (6 DIÁRIAS)</t>
  </si>
  <si>
    <t>VALOR TOTAL DESPESA POR EMPREGADO (VARIÁVEIS)</t>
  </si>
  <si>
    <t>VALOR TOTAL MENSAL POR EMPREGADO (FIXO + VARIÁVEIS)</t>
  </si>
  <si>
    <t>5143-20</t>
  </si>
  <si>
    <t>Percentuais e Valores de Referência - ponta Grossa</t>
  </si>
  <si>
    <t>Percentuais e Valores de Referência - Curitiba</t>
  </si>
  <si>
    <t xml:space="preserve">    E - Outros (especificar)</t>
  </si>
  <si>
    <t>B - Auxílio-Refeição/Alimentação ( COM DESCONTO DE 20%)</t>
  </si>
  <si>
    <t>C - Assistencia Médica ( Cláusula 15ª)</t>
  </si>
  <si>
    <t>D- Benefício Social Familiar ( Cláusula 16ª)</t>
  </si>
  <si>
    <t>E- Outros (especificar)</t>
  </si>
  <si>
    <t>B - Passagens intermunicipais</t>
  </si>
  <si>
    <t xml:space="preserve">C - Plano de telefone </t>
  </si>
  <si>
    <t>D - Outros (especificar)</t>
  </si>
  <si>
    <t>VALOR TOTAL POR EMPREGADO</t>
  </si>
  <si>
    <t>ÁREA INTERNA</t>
  </si>
  <si>
    <t>ÁREA EXTERNA</t>
  </si>
  <si>
    <t>ESQUADRIAS</t>
  </si>
  <si>
    <t>QUANTITATIVO DE SERVENTES POR ÁREA - Limpeza comum</t>
  </si>
  <si>
    <t>EQUIPE EXTERNA</t>
  </si>
  <si>
    <t>POSTOS COVID</t>
  </si>
  <si>
    <t>ENCARREGADA</t>
  </si>
  <si>
    <t>Carregador/ estiva</t>
  </si>
  <si>
    <t>Unidade Orgânica</t>
  </si>
  <si>
    <t>Atend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</si>
  <si>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</si>
  <si>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</si>
  <si>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</si>
  <si>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</si>
  <si>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</si>
  <si>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</si>
  <si>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</si>
  <si>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t>EER: 
Face Externa COM exposição a risco Semestral EQUIPE EXTERNA AO CONTRATO</t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</si>
  <si>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</si>
  <si>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</si>
  <si>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Serventes por Unidade (Calculada)</t>
  </si>
  <si>
    <t>Serventes 
(qtde ajustada)</t>
  </si>
  <si>
    <t>carga horária servente</t>
  </si>
  <si>
    <t>Valor total Salário (R$)</t>
  </si>
  <si>
    <t>Serventes piso frio</t>
  </si>
  <si>
    <t>Serventes banheiro + piso frio</t>
  </si>
  <si>
    <t xml:space="preserve">Profissionais limpadores de vidro (áreas com risco) - Semestral </t>
  </si>
  <si>
    <t>Qtde postos COVID</t>
  </si>
  <si>
    <t>Carga horária servente</t>
  </si>
  <si>
    <t>Qtde postos</t>
  </si>
  <si>
    <t>Carga horária encarregada</t>
  </si>
  <si>
    <t xml:space="preserve">Qtde postos </t>
  </si>
  <si>
    <t>Carga horária carregador</t>
  </si>
  <si>
    <t>Total Área Interna (atual convertida)</t>
  </si>
  <si>
    <t>Total Área Externa (atual convertida)</t>
  </si>
  <si>
    <t>Total Área Esquadria (atual convertida)</t>
  </si>
  <si>
    <t>Qtde Serventes Atuais</t>
  </si>
  <si>
    <t>Diferença de área interna</t>
  </si>
  <si>
    <t>Diferença de área externa</t>
  </si>
  <si>
    <t>Diferença de área de esquadria</t>
  </si>
  <si>
    <t>40h</t>
  </si>
  <si>
    <t>2 postos 40h e 1 posto 30h</t>
  </si>
  <si>
    <t>30h</t>
  </si>
  <si>
    <t> </t>
  </si>
  <si>
    <t>Total Geral</t>
  </si>
  <si>
    <t>Produtividade adotada</t>
  </si>
  <si>
    <t>Número de Serventes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</si>
  <si>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</si>
  <si>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</si>
  <si>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</si>
  <si>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</si>
  <si>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</si>
  <si>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</si>
  <si>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</si>
  <si>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</si>
  <si>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</si>
  <si>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</si>
  <si>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</si>
  <si>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</si>
  <si>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</si>
  <si>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Percentuais e Valores de Referência</t>
  </si>
  <si>
    <t>Servente 40h</t>
  </si>
  <si>
    <t>Servente 40h - limpeza de esquadrias com Risco</t>
  </si>
  <si>
    <t>Servente 40h
COVID</t>
  </si>
  <si>
    <t>E - Esquadrias de risco - Materiais/ Equipamentos/EPIs ( conforme MPOG)</t>
  </si>
  <si>
    <t>AI-1 Área Interna pisos frios</t>
  </si>
  <si>
    <t>MÃO DE OBRA</t>
  </si>
  <si>
    <t>(1) PRODUTIVIDADE (1/M²)</t>
  </si>
  <si>
    <t>(2) PREÇO HOMEM MÊS (R$)</t>
  </si>
  <si>
    <t>(1x2) SUBTOTAL (R$/M²)</t>
  </si>
  <si>
    <t>SERVENTE 20</t>
  </si>
  <si>
    <t>ENCARREGADO</t>
  </si>
  <si>
    <t>Subtotal 20%</t>
  </si>
  <si>
    <t>SERVENTE 40</t>
  </si>
  <si>
    <t>Subtotal 40%</t>
  </si>
  <si>
    <t>AI-2 Área interna (Almoxarifado, Galpões, arquivos 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</si>
  <si>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</si>
  <si>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</si>
  <si>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</si>
  <si>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</si>
  <si>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</si>
  <si>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</si>
  <si>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 Área Externa áreas verdes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</si>
  <si>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</si>
  <si>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</si>
  <si>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</si>
  <si>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</si>
  <si>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</si>
  <si>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</si>
  <si>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</si>
  <si>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</si>
  <si>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</si>
  <si>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</si>
  <si>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TOTALIZAÇÃO GEX</t>
  </si>
  <si>
    <t>TIPO DE ÁREA</t>
  </si>
  <si>
    <t>Preço unitário (R$/m2)</t>
  </si>
  <si>
    <t>Área (m2)</t>
  </si>
  <si>
    <t>Subtotal (R$)</t>
  </si>
  <si>
    <t>TOTALIZAÇÃO APS</t>
  </si>
  <si>
    <t>Servente 30h</t>
  </si>
  <si>
    <t>Servente 30h
COVID</t>
  </si>
  <si>
    <t xml:space="preserve">    A – Salário Base 30 horas</t>
  </si>
  <si>
    <t>TOTALIZAÇÃO CEDOC</t>
  </si>
  <si>
    <t>TOTALIZAÇÃO</t>
  </si>
  <si>
    <t>F- Outros (especificar)</t>
  </si>
  <si>
    <t>AE-2: 
Áreas verdes : coleta de detritos em pátios e áreas verdes com frequência diária</t>
  </si>
  <si>
    <t>EER: 
Face Externa COM exposição a risco - Semestral EQUIPE EXTERNA AO CONTRATO</t>
  </si>
  <si>
    <t>EE:
Face Externa SEM exposição a risco - Quinzenal</t>
  </si>
  <si>
    <t xml:space="preserve">EI: 
Face Interna - Quinsenal </t>
  </si>
  <si>
    <t>Serventes por Unidade (Calculada) - não inclui áreas verdes com média frequência ( AE-2.1) e esquadrias com exposição de risco (EER)</t>
  </si>
  <si>
    <t xml:space="preserve">Valor total Salário </t>
  </si>
  <si>
    <t xml:space="preserve">Profissionais para corte de grama e jardinagem - Mensal </t>
  </si>
  <si>
    <t>semestral</t>
  </si>
  <si>
    <t xml:space="preserve">SERVENTE </t>
  </si>
  <si>
    <t xml:space="preserve">Subtotal </t>
  </si>
  <si>
    <t>AE-2 Área Externa áreas verdes - coleta de detritos em pátios e áreas verdes com frequência diária</t>
  </si>
  <si>
    <t>AE-2.1 Área Externa áreas verdes com média frequência - mensal</t>
  </si>
  <si>
    <t>Subtotal AE-2.1</t>
  </si>
  <si>
    <t>TOTALIZAÇÃO APS Cândido Lopes</t>
  </si>
  <si>
    <t>TOTALIZAÇÃO APS Visconde de Guarapuava</t>
  </si>
  <si>
    <t>E - Outros (especificar) - Adicional de risco ( 11ª da CCT)</t>
  </si>
  <si>
    <t>SERVENTE</t>
  </si>
  <si>
    <t>TOTALIZAÇÃO Imóvel Deodoro</t>
  </si>
  <si>
    <t>TOTALIZAÇÃO APS Hauer</t>
  </si>
  <si>
    <t xml:space="preserve"> </t>
  </si>
  <si>
    <t>ANEXO XI</t>
  </si>
  <si>
    <t>MODELO DE PROPOSTA DE PREÇOS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</si>
  <si>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</si>
  <si>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</si>
  <si>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</si>
  <si>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</si>
  <si>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</si>
  <si>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</si>
  <si>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</si>
  <si>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</si>
  <si>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t>M2</t>
  </si>
  <si>
    <t>12 (meses)</t>
  </si>
  <si>
    <t>Valor anual da Proposta</t>
  </si>
  <si>
    <t>– Validade da Proposta de Preços: 60 (sessenta)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</si>
  <si>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</si>
  <si>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</si>
  <si>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</si>
  <si>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</si>
  <si>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</si>
  <si>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</si>
  <si>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</si>
  <si>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</si>
  <si>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</si>
  <si>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</si>
  <si>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</si>
  <si>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PREGÃO Nº 20/2021</t>
  </si>
  <si>
    <t>Serviços de limpeza, conservação e higienização, com fornecimento de materiais, insumos, equipamentos, EPIs e uniformes, a serem executados nas dependências da Gerência Executiva de Ponta Grossa/PR - Vinculada à Superintendência Regional Sul</t>
  </si>
  <si>
    <t>Serviço de desinfecção, com fornecimento de materiais, insumos, EPIs e uniformes, a serem executados nas dependências da Gerência Executiva de Ponta Grossa/PR - Vinculada à Superintendência Regional Sul</t>
  </si>
  <si>
    <t>Serviços de limpeza, conservação e higienização, com fornecimento de materiais, insumos, equipamentos, EPIs e uniformes, a serem executados nas dependências da Gerência Executiva de Curitiba/PR - Vinculada à Superintendência Regional Sul</t>
  </si>
  <si>
    <t>M²</t>
  </si>
  <si>
    <t>Serviço de desinfecção, com fornecimento de materiais, insumos, EPIs e uniformes, a serem executados nas dependências da Gerência Executiva de Curitiba/PR - Vinculada à Superintendência Regional Sul</t>
  </si>
  <si>
    <t>Valor mensal da Proposta</t>
  </si>
  <si>
    <t>PROCESSO ADMINISTRATIVO N.° 35014.203509/2021-71</t>
  </si>
  <si>
    <t xml:space="preserve">GRUPO </t>
  </si>
  <si>
    <t>Encarregado 40h  Ponta Grossa</t>
  </si>
  <si>
    <t>Encarregado 40h Curitiba</t>
  </si>
  <si>
    <t>MÉDIA/dia</t>
  </si>
  <si>
    <t xml:space="preserve">MÉDIA/dia </t>
  </si>
  <si>
    <t>H - FGTS</t>
  </si>
  <si>
    <t>Camisas/camisetas (manga curta/manga longa)</t>
  </si>
  <si>
    <t xml:space="preserve">Sapato segurança </t>
  </si>
  <si>
    <t xml:space="preserve">Calça Social </t>
  </si>
  <si>
    <t>Camisa social  manga curta/longa</t>
  </si>
  <si>
    <r>
      <t>A - Aviso Prévio Trabalhado</t>
    </r>
    <r>
      <rPr>
        <sz val="8"/>
        <color rgb="FFFF0000"/>
        <rFont val="Calibri"/>
        <family val="2"/>
      </rPr>
      <t xml:space="preserve"> (percentual máximo de 1,94% no primeiro ano, e, em
caso de prorrogação do contrato, o percentual máximo dessa parcela será de 0,194% a
cada ano de prorrogação, a ser incluído por ocasião da formulação do aditivo da
prorrogação do contrato, conforme a Lei 12.506/2011 e TCU no Acórdão nº 1.186/2017 - Plenário.</t>
    </r>
  </si>
  <si>
    <r>
      <t>A - Aviso Prévio Trabalhado</t>
    </r>
    <r>
      <rPr>
        <sz val="8"/>
        <color rgb="FFFF0000"/>
        <rFont val="Calibri"/>
        <family val="2"/>
      </rPr>
      <t xml:space="preserve"> (percentual máximo de 1,94% no primeiro ano, e, em
caso de prorrogação do contrato, o percentual máximo dessa parcela será de 0,194% a
cada ano de prorrogação, a ser incluído por ocasião da formulação do aditivo da
prorrogação do contrato, conforme a Lei 12.506/2011 e TCU no Acórdão nº 1.186/2017 - Plenário</t>
    </r>
    <r>
      <rPr>
        <sz val="10"/>
        <color rgb="FF000000"/>
        <rFont val="Calibri"/>
        <family val="2"/>
        <charset val="1"/>
      </rPr>
      <t>.</t>
    </r>
  </si>
  <si>
    <r>
      <t xml:space="preserve">A - Aviso Prévio Trabalhado </t>
    </r>
    <r>
      <rPr>
        <sz val="8"/>
        <color rgb="FFFF0000"/>
        <rFont val="Calibri"/>
        <family val="2"/>
      </rPr>
      <t>(percentual máximo de 1,94% no primeiro ano, e, em
caso de prorrogação do contrato, o percentual máximo dessa parcela será de 0,194% a
cada ano de prorrogação, a ser incluído por ocasião da formulação do aditivo da
prorrogação do contrato, conforme a Lei 12.506/2011 e TCU no Acórdão nº 1.186/2017 - Plenário.</t>
    </r>
  </si>
  <si>
    <r>
      <t>A - Aviso Prévio Trabalhado</t>
    </r>
    <r>
      <rPr>
        <sz val="8"/>
        <color rgb="FF000000"/>
        <rFont val="Calibri"/>
        <family val="2"/>
      </rPr>
      <t xml:space="preserve"> </t>
    </r>
    <r>
      <rPr>
        <sz val="8"/>
        <color rgb="FFFF0000"/>
        <rFont val="Calibri"/>
        <family val="2"/>
      </rPr>
      <t>(percentual máximo de 1,94% no primeiro ano, e, em caso de prorrogação do contrato, o percentual máximo dessa parcela será de 0,194% a cada ano de prorrogação, a ser incluído por ocasião da formulação do aditivo da prorrogação do contrato, conforme a Lei 12.506/2011 e TCU no Acórdão nº 1.186/2017 - Plenário.</t>
    </r>
  </si>
  <si>
    <r>
      <t>A - Aviso Prévio Trabalhado</t>
    </r>
    <r>
      <rPr>
        <sz val="8"/>
        <color rgb="FFFF0000"/>
        <rFont val="Calibri"/>
        <family val="2"/>
      </rPr>
      <t xml:space="preserve"> (percentual máximo de 1,94% no primeiro ano, e, em
caso de prorrogação do contrato, o percentual máximo dessa parcela será de 0,194% a
cada ano de prorrogação, a ser incluído por ocasião da formulação do aditivo da</t>
    </r>
    <r>
      <rPr>
        <sz val="10"/>
        <color rgb="FF000000"/>
        <rFont val="Calibri"/>
        <family val="2"/>
        <charset val="1"/>
      </rPr>
      <t xml:space="preserve">
</t>
    </r>
    <r>
      <rPr>
        <sz val="8"/>
        <color rgb="FFFF0000"/>
        <rFont val="Calibri"/>
        <family val="2"/>
      </rPr>
      <t>prorrogação do contrato, conforme a Lei 12.506/2011 e TCU no Acórdão nº 1.186/2017 - Plenário</t>
    </r>
    <r>
      <rPr>
        <sz val="10"/>
        <color rgb="FF000000"/>
        <rFont val="Calibri"/>
        <family val="2"/>
        <charset val="1"/>
      </rPr>
      <t>.</t>
    </r>
  </si>
  <si>
    <t xml:space="preserve">– Indicação dos acordos, convenções ou dissídios coletivos de trabalaho: </t>
  </si>
  <si>
    <t>– Indicação do regime tributário da licitante:</t>
  </si>
  <si>
    <t>Carregador -  Ponta Grossa</t>
  </si>
  <si>
    <t>Carregador  - Curitiba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</si>
</sst>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#,##0.00\ ;\(#,##0.00\);\-#\ ;@\ "/>
    <numFmt numFmtId="165" formatCode="d/m/yyyy"/>
    <numFmt numFmtId="166" formatCode="* #,##0.00\ ;\-* #,##0.00\ ;* \-#\ ;@\ "/>
    <numFmt numFmtId="167" formatCode="_-* #,##0.00_-;\-* #,##0.00_-;_-* \-??_-;_-@_-"/>
    <numFmt numFmtId="168" formatCode="0.0000"/>
    <numFmt numFmtId="169" formatCode="&quot;R$ &quot;#,##0.00"/>
    <numFmt numFmtId="170" formatCode="_-&quot;R$ &quot;* #,##0.00_-;&quot;-R$ &quot;* #,##0.00_-;_-&quot;R$ &quot;* \-??_-;_-@_-"/>
    <numFmt numFmtId="171" formatCode="&quot;R$ &quot;#,##0.00;[Red]&quot;-R$ &quot;#,##0.00"/>
    <numFmt numFmtId="172" formatCode="_-[$R$-416]\ * #,##0.00_-;\-[$R$-416]\ * #,##0.00_-;_-[$R$-416]\ * \-??_-;_-@_-"/>
    <numFmt numFmtId="173" formatCode="0.0000000"/>
    <numFmt numFmtId="174" formatCode="0.00000000"/>
    <numFmt numFmtId="175" formatCode="#,##0.00\ ;\(#,##0.00\)"/>
    <numFmt numFmtId="176" formatCode="&quot;R$ &quot;#,##0.00\ ;[Red]&quot;(R$ &quot;#,##0.00\)"/>
    <numFmt numFmtId="177" formatCode="[$R$-416]\ #,##0.00;[Red]\-[$R$-416]\ #,##0.00"/>
    <numFmt numFmtId="178" formatCode="#,##0.00\ ;#,##0.00\ ;\-#\ ;@\ "/>
    <numFmt numFmtId="179" formatCode="0.000000000"/>
    <numFmt numFmtId="180" formatCode="0.000000000;[Red]\(0.000000000\)"/>
    <numFmt numFmtId="181" formatCode="0.0000000000"/>
    <numFmt numFmtId="182" formatCode="#,##0.0"/>
    <numFmt numFmtId="183" formatCode="* #,##0.00\ ;\-* #,##0.00\ ;* \-#\ ;@"/>
    <numFmt numFmtId="184" formatCode="_-[$R$-416]\ * #,##0.00_-;\-[$R$-416]\ * #,##0.00_-;_-[$R$-416]\ * &quot;-&quot;??_-;_-@_-"/>
  </numFmts>
  <fonts count="70" x14ac:knownFonts="1">
    <font>
      <sz val="11"/>
      <color rgb="FF333333"/>
      <name val="Arial"/>
      <family val="2"/>
      <charset val="1"/>
    </font>
    <font>
      <b/>
      <sz val="10"/>
      <color rgb="FF333333"/>
      <name val="Calibri"/>
      <family val="2"/>
      <charset val="1"/>
    </font>
    <font>
      <sz val="10"/>
      <color rgb="FF333333"/>
      <name val="Calibri"/>
      <family val="2"/>
      <charset val="1"/>
    </font>
    <font>
      <sz val="9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trike/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sz val="8"/>
      <color rgb="FF333333"/>
      <name val="Arial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333333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Calibri"/>
      <family val="2"/>
      <charset val="1"/>
    </font>
    <font>
      <sz val="11"/>
      <color rgb="FF444444"/>
      <name val="Calibri"/>
      <family val="2"/>
      <charset val="1"/>
    </font>
    <font>
      <sz val="9"/>
      <color rgb="FF444444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Calibri"/>
      <family val="2"/>
      <charset val="1"/>
    </font>
    <font>
      <b/>
      <sz val="9"/>
      <color rgb="FF444444"/>
      <name val="Calibri"/>
      <family val="2"/>
      <charset val="1"/>
    </font>
    <font>
      <b/>
      <sz val="10"/>
      <name val="Calibri"/>
      <family val="2"/>
      <charset val="1"/>
    </font>
    <font>
      <b/>
      <sz val="12"/>
      <color rgb="FF333333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0"/>
      <color rgb="FF000080"/>
      <name val="Calibri"/>
      <family val="2"/>
    </font>
    <font>
      <sz val="10"/>
      <color rgb="FF339966"/>
      <name val="Calibri"/>
      <family val="2"/>
    </font>
    <font>
      <sz val="10"/>
      <color rgb="FF000000"/>
      <name val="Calibri"/>
      <family val="2"/>
    </font>
    <font>
      <sz val="10"/>
      <color rgb="FF000000"/>
      <name val="Cambria"/>
      <family val="1"/>
      <charset val="1"/>
    </font>
    <font>
      <sz val="9"/>
      <color rgb="FFFF0000"/>
      <name val="Cambria"/>
      <family val="1"/>
      <charset val="1"/>
    </font>
    <font>
      <sz val="10"/>
      <color rgb="FF808080"/>
      <name val="Calibri"/>
      <family val="2"/>
    </font>
    <font>
      <b/>
      <sz val="10"/>
      <color rgb="FF808080"/>
      <name val="Calibri"/>
      <family val="2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sz val="10"/>
      <color rgb="FF808080"/>
      <name val="Calibri"/>
      <family val="2"/>
      <charset val="1"/>
    </font>
    <font>
      <b/>
      <sz val="10"/>
      <color rgb="FF808080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444444"/>
      <name val="Calibri"/>
      <family val="2"/>
      <charset val="1"/>
    </font>
    <font>
      <sz val="11"/>
      <color rgb="FF333333"/>
      <name val="Arial"/>
      <family val="2"/>
      <charset val="1"/>
    </font>
    <font>
      <sz val="9"/>
      <color rgb="FF000000"/>
      <name val="Verdana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color rgb="FF333333"/>
      <name val="Arial"/>
      <family val="2"/>
      <charset val="1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333333"/>
      <name val="Calibri"/>
      <family val="2"/>
    </font>
    <font>
      <sz val="10"/>
      <color rgb="FF000000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rgb="FFD9E1F2"/>
        <bgColor rgb="FFD6DCE4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A960E0"/>
      </patternFill>
    </fill>
    <fill>
      <patternFill patternType="solid">
        <fgColor rgb="FFBDD7EE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5E0B4"/>
        <bgColor rgb="FFC6E0B4"/>
      </patternFill>
    </fill>
    <fill>
      <patternFill patternType="solid">
        <fgColor rgb="FF8EA9DB"/>
        <bgColor rgb="FF8497B0"/>
      </patternFill>
    </fill>
    <fill>
      <patternFill patternType="solid">
        <fgColor rgb="FFD0CECE"/>
        <bgColor rgb="FFCCCCCC"/>
      </patternFill>
    </fill>
    <fill>
      <patternFill patternType="solid">
        <fgColor rgb="FFFFFF00"/>
        <bgColor rgb="FFFFCC00"/>
      </patternFill>
    </fill>
    <fill>
      <patternFill patternType="solid">
        <fgColor rgb="FFF4B084"/>
        <bgColor rgb="FFF4B183"/>
      </patternFill>
    </fill>
    <fill>
      <patternFill patternType="solid">
        <fgColor rgb="FFFCE4D6"/>
        <bgColor rgb="FFFFF2CC"/>
      </patternFill>
    </fill>
    <fill>
      <patternFill patternType="solid">
        <fgColor rgb="FF548235"/>
        <bgColor rgb="FF339966"/>
      </patternFill>
    </fill>
    <fill>
      <patternFill patternType="solid">
        <fgColor rgb="FFC6E0B4"/>
        <bgColor rgb="FFC5E0B4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8EA9DB"/>
      </patternFill>
    </fill>
    <fill>
      <patternFill patternType="solid">
        <fgColor rgb="FFD6DCE4"/>
        <bgColor rgb="FFDDDDDD"/>
      </patternFill>
    </fill>
    <fill>
      <patternFill patternType="solid">
        <fgColor rgb="FFF8CBAD"/>
        <bgColor rgb="FFFFE699"/>
      </patternFill>
    </fill>
    <fill>
      <patternFill patternType="solid">
        <fgColor rgb="FFB4C7DC"/>
        <bgColor rgb="FFB4C6E7"/>
      </patternFill>
    </fill>
    <fill>
      <patternFill patternType="solid">
        <fgColor rgb="FFBBE33D"/>
        <bgColor rgb="FF92D050"/>
      </patternFill>
    </fill>
    <fill>
      <patternFill patternType="solid">
        <fgColor rgb="FF9BC2E6"/>
        <bgColor rgb="FFB4C6E7"/>
      </patternFill>
    </fill>
    <fill>
      <patternFill patternType="solid">
        <fgColor rgb="FF5983B0"/>
        <bgColor rgb="FF5B9BD5"/>
      </patternFill>
    </fill>
    <fill>
      <patternFill patternType="solid">
        <fgColor rgb="FF1F4E78"/>
        <bgColor rgb="FF444444"/>
      </patternFill>
    </fill>
    <fill>
      <patternFill patternType="solid">
        <fgColor rgb="FFA1467E"/>
        <bgColor rgb="FFA960E0"/>
      </patternFill>
    </fill>
    <fill>
      <patternFill patternType="solid">
        <fgColor rgb="FF5EB91E"/>
        <bgColor rgb="FF92D050"/>
      </patternFill>
    </fill>
    <fill>
      <patternFill patternType="solid">
        <fgColor rgb="FFFFC000"/>
        <bgColor rgb="FFFFCC00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6DCE4"/>
      </patternFill>
    </fill>
    <fill>
      <patternFill patternType="solid">
        <fgColor rgb="FFE7E6E6"/>
        <bgColor rgb="FFDDDDDD"/>
      </patternFill>
    </fill>
    <fill>
      <patternFill patternType="solid">
        <fgColor rgb="FFA9D08E"/>
        <bgColor rgb="FFA9D18E"/>
      </patternFill>
    </fill>
    <fill>
      <patternFill patternType="solid">
        <fgColor rgb="FF000000"/>
        <bgColor rgb="FF333333"/>
      </patternFill>
    </fill>
    <fill>
      <patternFill patternType="solid">
        <fgColor rgb="FF5B9BD5"/>
        <bgColor rgb="FF5983B0"/>
      </patternFill>
    </fill>
    <fill>
      <patternFill patternType="solid">
        <fgColor rgb="FFCCCCCC"/>
        <bgColor rgb="FFD0CECE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C0C0C0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DD7EE"/>
      </patternFill>
    </fill>
    <fill>
      <patternFill patternType="solid">
        <fgColor rgb="FF92D050"/>
        <bgColor rgb="FFA9D08E"/>
      </patternFill>
    </fill>
    <fill>
      <patternFill patternType="solid">
        <fgColor rgb="FFC0C0C0"/>
        <bgColor rgb="FFC1C1C1"/>
      </patternFill>
    </fill>
    <fill>
      <patternFill patternType="solid">
        <fgColor rgb="FFFF6600"/>
        <bgColor rgb="FFC55A11"/>
      </patternFill>
    </fill>
    <fill>
      <patternFill patternType="solid">
        <fgColor rgb="FFFFCC00"/>
        <bgColor rgb="FFFFC000"/>
      </patternFill>
    </fill>
    <fill>
      <patternFill patternType="solid">
        <fgColor rgb="FFA960E0"/>
        <bgColor rgb="FFBF819E"/>
      </patternFill>
    </fill>
    <fill>
      <patternFill patternType="solid">
        <fgColor rgb="FFFFFF99"/>
        <bgColor rgb="FFFFFFCC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2CC"/>
        <bgColor indexed="64"/>
      </patternFill>
    </fill>
  </fills>
  <borders count="1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</borders>
  <cellStyleXfs count="4">
    <xf numFmtId="0" fontId="0" fillId="0" borderId="0"/>
    <xf numFmtId="166" fontId="7" fillId="0" borderId="0"/>
    <xf numFmtId="170" fontId="54" fillId="0" borderId="0" applyBorder="0" applyProtection="0"/>
    <xf numFmtId="9" fontId="10" fillId="0" borderId="0" applyBorder="0" applyProtection="0"/>
  </cellStyleXfs>
  <cellXfs count="953">
    <xf numFmtId="0" fontId="0" fillId="0" borderId="0" xfId="0"/>
    <xf numFmtId="164" fontId="2" fillId="0" borderId="1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5" fontId="3" fillId="0" borderId="0" xfId="0" applyNumberFormat="1" applyFont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0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167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/>
    <xf numFmtId="10" fontId="3" fillId="0" borderId="10" xfId="0" applyNumberFormat="1" applyFont="1" applyBorder="1"/>
    <xf numFmtId="167" fontId="3" fillId="0" borderId="5" xfId="0" applyNumberFormat="1" applyFont="1" applyBorder="1" applyAlignment="1">
      <alignment vertical="center"/>
    </xf>
    <xf numFmtId="0" fontId="3" fillId="0" borderId="10" xfId="0" applyFont="1" applyBorder="1"/>
    <xf numFmtId="10" fontId="3" fillId="0" borderId="0" xfId="0" applyNumberFormat="1" applyFont="1"/>
    <xf numFmtId="0" fontId="8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/>
    <xf numFmtId="2" fontId="3" fillId="0" borderId="1" xfId="0" applyNumberFormat="1" applyFont="1" applyBorder="1"/>
    <xf numFmtId="0" fontId="6" fillId="0" borderId="0" xfId="0" applyFont="1" applyAlignment="1">
      <alignment vertical="center"/>
    </xf>
    <xf numFmtId="0" fontId="3" fillId="0" borderId="0" xfId="0" applyFont="1"/>
    <xf numFmtId="10" fontId="3" fillId="0" borderId="1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  <protection locked="0"/>
    </xf>
    <xf numFmtId="9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168" fontId="3" fillId="0" borderId="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9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169" fontId="10" fillId="0" borderId="3" xfId="0" applyNumberFormat="1" applyFont="1" applyBorder="1" applyAlignment="1">
      <alignment vertical="center"/>
    </xf>
    <xf numFmtId="169" fontId="10" fillId="0" borderId="19" xfId="0" applyNumberFormat="1" applyFont="1" applyBorder="1" applyAlignment="1">
      <alignment vertical="center"/>
    </xf>
    <xf numFmtId="169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4" fillId="9" borderId="23" xfId="0" applyFont="1" applyFill="1" applyBorder="1" applyAlignment="1">
      <alignment vertical="center"/>
    </xf>
    <xf numFmtId="0" fontId="15" fillId="0" borderId="1" xfId="0" applyFont="1" applyBorder="1"/>
    <xf numFmtId="0" fontId="10" fillId="6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69" fontId="10" fillId="0" borderId="25" xfId="0" applyNumberFormat="1" applyFont="1" applyBorder="1" applyAlignment="1">
      <alignment vertical="center"/>
    </xf>
    <xf numFmtId="169" fontId="10" fillId="0" borderId="17" xfId="0" applyNumberFormat="1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170" fontId="10" fillId="0" borderId="28" xfId="0" applyNumberFormat="1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170" fontId="10" fillId="0" borderId="31" xfId="0" applyNumberFormat="1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171" fontId="11" fillId="2" borderId="12" xfId="0" applyNumberFormat="1" applyFont="1" applyFill="1" applyBorder="1" applyAlignment="1">
      <alignment horizontal="center" vertical="center"/>
    </xf>
    <xf numFmtId="171" fontId="10" fillId="6" borderId="27" xfId="0" applyNumberFormat="1" applyFont="1" applyFill="1" applyBorder="1" applyAlignment="1">
      <alignment vertical="center"/>
    </xf>
    <xf numFmtId="171" fontId="11" fillId="2" borderId="11" xfId="0" applyNumberFormat="1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vertical="center"/>
    </xf>
    <xf numFmtId="0" fontId="10" fillId="6" borderId="3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171" fontId="10" fillId="6" borderId="0" xfId="0" applyNumberFormat="1" applyFont="1" applyFill="1" applyAlignment="1">
      <alignment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169" fontId="10" fillId="6" borderId="0" xfId="0" applyNumberFormat="1" applyFont="1" applyFill="1" applyAlignment="1">
      <alignment vertical="center"/>
    </xf>
    <xf numFmtId="170" fontId="10" fillId="6" borderId="0" xfId="0" applyNumberFormat="1" applyFont="1" applyFill="1" applyAlignment="1">
      <alignment vertical="center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171" fontId="11" fillId="12" borderId="33" xfId="0" applyNumberFormat="1" applyFont="1" applyFill="1" applyBorder="1" applyAlignment="1">
      <alignment vertical="center"/>
    </xf>
    <xf numFmtId="171" fontId="11" fillId="12" borderId="11" xfId="0" applyNumberFormat="1" applyFont="1" applyFill="1" applyBorder="1" applyAlignment="1">
      <alignment vertical="center"/>
    </xf>
    <xf numFmtId="171" fontId="11" fillId="12" borderId="12" xfId="0" applyNumberFormat="1" applyFont="1" applyFill="1" applyBorder="1" applyAlignment="1">
      <alignment vertical="center"/>
    </xf>
    <xf numFmtId="0" fontId="12" fillId="14" borderId="40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4" borderId="25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 wrapText="1"/>
    </xf>
    <xf numFmtId="169" fontId="11" fillId="15" borderId="11" xfId="0" applyNumberFormat="1" applyFont="1" applyFill="1" applyBorder="1" applyAlignment="1">
      <alignment vertical="center"/>
    </xf>
    <xf numFmtId="169" fontId="10" fillId="6" borderId="27" xfId="0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169" fontId="10" fillId="0" borderId="43" xfId="0" applyNumberFormat="1" applyFont="1" applyBorder="1" applyAlignment="1">
      <alignment vertical="center"/>
    </xf>
    <xf numFmtId="169" fontId="11" fillId="14" borderId="34" xfId="0" applyNumberFormat="1" applyFont="1" applyFill="1" applyBorder="1" applyAlignment="1">
      <alignment vertical="center"/>
    </xf>
    <xf numFmtId="169" fontId="11" fillId="14" borderId="11" xfId="0" applyNumberFormat="1" applyFont="1" applyFill="1" applyBorder="1" applyAlignment="1">
      <alignment vertical="center"/>
    </xf>
    <xf numFmtId="0" fontId="12" fillId="17" borderId="40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2" fillId="17" borderId="17" xfId="0" applyFont="1" applyFill="1" applyBorder="1" applyAlignment="1">
      <alignment horizontal="center" vertical="center" wrapText="1"/>
    </xf>
    <xf numFmtId="171" fontId="11" fillId="16" borderId="33" xfId="0" applyNumberFormat="1" applyFont="1" applyFill="1" applyBorder="1" applyAlignment="1">
      <alignment vertical="center"/>
    </xf>
    <xf numFmtId="171" fontId="11" fillId="16" borderId="11" xfId="0" applyNumberFormat="1" applyFont="1" applyFill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169" fontId="10" fillId="0" borderId="46" xfId="0" applyNumberFormat="1" applyFont="1" applyBorder="1" applyAlignment="1">
      <alignment vertical="center"/>
    </xf>
    <xf numFmtId="171" fontId="10" fillId="0" borderId="2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169" fontId="10" fillId="0" borderId="1" xfId="0" applyNumberFormat="1" applyFont="1" applyBorder="1" applyAlignment="1">
      <alignment vertical="center"/>
    </xf>
    <xf numFmtId="169" fontId="10" fillId="0" borderId="5" xfId="0" applyNumberFormat="1" applyFont="1" applyBorder="1" applyAlignment="1">
      <alignment vertical="center"/>
    </xf>
    <xf numFmtId="171" fontId="10" fillId="0" borderId="30" xfId="0" applyNumberFormat="1" applyFont="1" applyBorder="1" applyAlignment="1">
      <alignment vertical="center"/>
    </xf>
    <xf numFmtId="171" fontId="11" fillId="17" borderId="27" xfId="0" applyNumberFormat="1" applyFont="1" applyFill="1" applyBorder="1" applyAlignment="1">
      <alignment vertical="center"/>
    </xf>
    <xf numFmtId="169" fontId="10" fillId="0" borderId="47" xfId="0" applyNumberFormat="1" applyFont="1" applyBorder="1" applyAlignment="1">
      <alignment vertical="center"/>
    </xf>
    <xf numFmtId="171" fontId="10" fillId="0" borderId="48" xfId="0" applyNumberFormat="1" applyFont="1" applyBorder="1" applyAlignment="1">
      <alignment vertical="center"/>
    </xf>
    <xf numFmtId="0" fontId="12" fillId="17" borderId="49" xfId="0" applyFont="1" applyFill="1" applyBorder="1" applyAlignment="1">
      <alignment horizontal="center" vertical="center" wrapText="1"/>
    </xf>
    <xf numFmtId="0" fontId="12" fillId="17" borderId="50" xfId="0" applyFont="1" applyFill="1" applyBorder="1" applyAlignment="1">
      <alignment horizontal="center" vertical="center" wrapText="1"/>
    </xf>
    <xf numFmtId="0" fontId="12" fillId="17" borderId="51" xfId="0" applyFont="1" applyFill="1" applyBorder="1" applyAlignment="1">
      <alignment horizontal="center" vertical="center" wrapText="1"/>
    </xf>
    <xf numFmtId="0" fontId="12" fillId="17" borderId="12" xfId="0" applyFont="1" applyFill="1" applyBorder="1" applyAlignment="1">
      <alignment horizontal="center" vertical="center" wrapText="1"/>
    </xf>
    <xf numFmtId="171" fontId="11" fillId="16" borderId="34" xfId="0" applyNumberFormat="1" applyFont="1" applyFill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171" fontId="10" fillId="0" borderId="19" xfId="0" applyNumberFormat="1" applyFont="1" applyBorder="1" applyAlignment="1">
      <alignment vertical="center"/>
    </xf>
    <xf numFmtId="171" fontId="10" fillId="0" borderId="17" xfId="0" applyNumberFormat="1" applyFont="1" applyBorder="1" applyAlignment="1">
      <alignment vertical="center"/>
    </xf>
    <xf numFmtId="171" fontId="11" fillId="17" borderId="11" xfId="0" applyNumberFormat="1" applyFont="1" applyFill="1" applyBorder="1" applyAlignment="1">
      <alignment vertical="center"/>
    </xf>
    <xf numFmtId="171" fontId="11" fillId="17" borderId="12" xfId="0" applyNumberFormat="1" applyFont="1" applyFill="1" applyBorder="1" applyAlignment="1">
      <alignment vertical="center"/>
    </xf>
    <xf numFmtId="171" fontId="10" fillId="0" borderId="0" xfId="0" applyNumberFormat="1" applyFont="1" applyAlignment="1">
      <alignment vertical="center"/>
    </xf>
    <xf numFmtId="171" fontId="11" fillId="17" borderId="34" xfId="0" applyNumberFormat="1" applyFont="1" applyFill="1" applyBorder="1" applyAlignment="1">
      <alignment vertical="center"/>
    </xf>
    <xf numFmtId="0" fontId="16" fillId="6" borderId="21" xfId="0" applyFont="1" applyFill="1" applyBorder="1" applyAlignment="1">
      <alignment wrapText="1"/>
    </xf>
    <xf numFmtId="0" fontId="11" fillId="6" borderId="31" xfId="0" applyFont="1" applyFill="1" applyBorder="1" applyAlignment="1">
      <alignment vertical="center"/>
    </xf>
    <xf numFmtId="0" fontId="12" fillId="18" borderId="40" xfId="0" applyFont="1" applyFill="1" applyBorder="1" applyAlignment="1">
      <alignment horizontal="center" vertical="center" wrapText="1"/>
    </xf>
    <xf numFmtId="0" fontId="12" fillId="18" borderId="4" xfId="0" applyFont="1" applyFill="1" applyBorder="1" applyAlignment="1">
      <alignment horizontal="center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8" borderId="31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169" fontId="11" fillId="10" borderId="34" xfId="0" applyNumberFormat="1" applyFont="1" applyFill="1" applyBorder="1" applyAlignment="1">
      <alignment vertical="center"/>
    </xf>
    <xf numFmtId="169" fontId="11" fillId="6" borderId="31" xfId="0" applyNumberFormat="1" applyFont="1" applyFill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169" fontId="10" fillId="0" borderId="28" xfId="0" applyNumberFormat="1" applyFont="1" applyBorder="1" applyAlignment="1">
      <alignment vertical="center"/>
    </xf>
    <xf numFmtId="169" fontId="10" fillId="6" borderId="31" xfId="0" applyNumberFormat="1" applyFont="1" applyFill="1" applyBorder="1" applyAlignment="1">
      <alignment vertical="center"/>
    </xf>
    <xf numFmtId="169" fontId="10" fillId="0" borderId="0" xfId="0" applyNumberFormat="1" applyFont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2" fillId="18" borderId="33" xfId="0" applyFont="1" applyFill="1" applyBorder="1" applyAlignment="1">
      <alignment horizontal="center" vertical="center" wrapText="1"/>
    </xf>
    <xf numFmtId="169" fontId="11" fillId="10" borderId="33" xfId="0" applyNumberFormat="1" applyFont="1" applyFill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169" fontId="10" fillId="0" borderId="38" xfId="0" applyNumberFormat="1" applyFont="1" applyBorder="1" applyAlignment="1">
      <alignment vertical="center"/>
    </xf>
    <xf numFmtId="169" fontId="10" fillId="0" borderId="11" xfId="0" applyNumberFormat="1" applyFont="1" applyBorder="1" applyAlignment="1">
      <alignment vertical="center"/>
    </xf>
    <xf numFmtId="169" fontId="10" fillId="0" borderId="52" xfId="0" applyNumberFormat="1" applyFont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0" fontId="17" fillId="19" borderId="21" xfId="0" applyFont="1" applyFill="1" applyBorder="1"/>
    <xf numFmtId="0" fontId="17" fillId="19" borderId="1" xfId="0" applyFont="1" applyFill="1" applyBorder="1"/>
    <xf numFmtId="0" fontId="17" fillId="19" borderId="53" xfId="0" applyFont="1" applyFill="1" applyBorder="1"/>
    <xf numFmtId="0" fontId="18" fillId="0" borderId="21" xfId="0" applyFont="1" applyBorder="1"/>
    <xf numFmtId="0" fontId="18" fillId="0" borderId="1" xfId="0" applyFont="1" applyBorder="1"/>
    <xf numFmtId="0" fontId="18" fillId="0" borderId="53" xfId="0" applyFont="1" applyBorder="1"/>
    <xf numFmtId="0" fontId="18" fillId="0" borderId="41" xfId="0" applyFont="1" applyBorder="1"/>
    <xf numFmtId="0" fontId="18" fillId="0" borderId="42" xfId="0" applyFont="1" applyBorder="1"/>
    <xf numFmtId="0" fontId="18" fillId="0" borderId="54" xfId="0" applyFont="1" applyBorder="1"/>
    <xf numFmtId="0" fontId="17" fillId="19" borderId="18" xfId="0" applyFont="1" applyFill="1" applyBorder="1"/>
    <xf numFmtId="0" fontId="17" fillId="19" borderId="8" xfId="0" applyFont="1" applyFill="1" applyBorder="1"/>
    <xf numFmtId="0" fontId="17" fillId="19" borderId="55" xfId="0" applyFont="1" applyFill="1" applyBorder="1"/>
    <xf numFmtId="0" fontId="5" fillId="15" borderId="33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66" fontId="8" fillId="2" borderId="3" xfId="0" applyNumberFormat="1" applyFont="1" applyFill="1" applyBorder="1" applyAlignment="1">
      <alignment vertical="center"/>
    </xf>
    <xf numFmtId="166" fontId="8" fillId="9" borderId="8" xfId="0" applyNumberFormat="1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166" fontId="8" fillId="2" borderId="5" xfId="0" applyNumberFormat="1" applyFont="1" applyFill="1" applyBorder="1" applyAlignment="1">
      <alignment vertical="center"/>
    </xf>
    <xf numFmtId="0" fontId="8" fillId="0" borderId="48" xfId="0" applyFont="1" applyBorder="1" applyAlignment="1" applyProtection="1">
      <alignment horizontal="center" vertical="center"/>
      <protection locked="0"/>
    </xf>
    <xf numFmtId="0" fontId="22" fillId="22" borderId="11" xfId="0" applyFont="1" applyFill="1" applyBorder="1" applyAlignment="1">
      <alignment horizontal="center" vertical="center"/>
    </xf>
    <xf numFmtId="170" fontId="5" fillId="22" borderId="11" xfId="2" applyFont="1" applyFill="1" applyBorder="1" applyAlignment="1" applyProtection="1">
      <alignment horizontal="center" vertical="center"/>
    </xf>
    <xf numFmtId="172" fontId="0" fillId="0" borderId="0" xfId="0" applyNumberFormat="1"/>
    <xf numFmtId="0" fontId="5" fillId="7" borderId="11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169" fontId="0" fillId="0" borderId="0" xfId="0" applyNumberFormat="1"/>
    <xf numFmtId="0" fontId="13" fillId="0" borderId="0" xfId="0" applyFont="1"/>
    <xf numFmtId="167" fontId="13" fillId="0" borderId="0" xfId="0" applyNumberFormat="1" applyFont="1"/>
    <xf numFmtId="169" fontId="13" fillId="0" borderId="0" xfId="0" applyNumberFormat="1" applyFont="1"/>
    <xf numFmtId="0" fontId="0" fillId="23" borderId="0" xfId="0" applyFill="1" applyAlignment="1">
      <alignment horizontal="center" vertical="center"/>
    </xf>
    <xf numFmtId="0" fontId="23" fillId="23" borderId="0" xfId="0" applyFont="1" applyFill="1" applyAlignment="1">
      <alignment horizontal="center" vertical="center"/>
    </xf>
    <xf numFmtId="4" fontId="23" fillId="23" borderId="0" xfId="0" applyNumberFormat="1" applyFont="1" applyFill="1" applyAlignment="1">
      <alignment horizontal="center" vertical="center"/>
    </xf>
    <xf numFmtId="4" fontId="25" fillId="23" borderId="63" xfId="0" applyNumberFormat="1" applyFont="1" applyFill="1" applyBorder="1" applyAlignment="1">
      <alignment horizontal="center" vertical="center"/>
    </xf>
    <xf numFmtId="4" fontId="26" fillId="23" borderId="63" xfId="0" applyNumberFormat="1" applyFont="1" applyFill="1" applyBorder="1" applyAlignment="1">
      <alignment horizontal="center" vertical="center"/>
    </xf>
    <xf numFmtId="0" fontId="0" fillId="23" borderId="64" xfId="0" applyFill="1" applyBorder="1" applyAlignment="1">
      <alignment horizontal="center" vertical="center"/>
    </xf>
    <xf numFmtId="0" fontId="23" fillId="23" borderId="64" xfId="0" applyFont="1" applyFill="1" applyBorder="1" applyAlignment="1">
      <alignment horizontal="center" vertical="center"/>
    </xf>
    <xf numFmtId="4" fontId="23" fillId="23" borderId="64" xfId="0" applyNumberFormat="1" applyFont="1" applyFill="1" applyBorder="1" applyAlignment="1">
      <alignment horizontal="center" vertical="center"/>
    </xf>
    <xf numFmtId="4" fontId="27" fillId="23" borderId="63" xfId="0" applyNumberFormat="1" applyFont="1" applyFill="1" applyBorder="1" applyAlignment="1">
      <alignment horizontal="center" vertical="center"/>
    </xf>
    <xf numFmtId="170" fontId="0" fillId="0" borderId="0" xfId="0" applyNumberFormat="1"/>
    <xf numFmtId="0" fontId="28" fillId="0" borderId="0" xfId="0" applyFont="1"/>
    <xf numFmtId="0" fontId="8" fillId="0" borderId="0" xfId="0" applyFont="1" applyAlignment="1">
      <alignment horizontal="center" vertical="center"/>
    </xf>
    <xf numFmtId="0" fontId="5" fillId="26" borderId="56" xfId="0" applyFont="1" applyFill="1" applyBorder="1" applyAlignment="1">
      <alignment horizontal="center" vertical="center"/>
    </xf>
    <xf numFmtId="0" fontId="5" fillId="27" borderId="11" xfId="0" applyFont="1" applyFill="1" applyBorder="1" applyAlignment="1" applyProtection="1">
      <alignment horizontal="center" vertical="center"/>
      <protection locked="0"/>
    </xf>
    <xf numFmtId="0" fontId="5" fillId="27" borderId="65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20" borderId="14" xfId="0" applyFont="1" applyFill="1" applyBorder="1" applyAlignment="1">
      <alignment horizontal="center" vertical="center" wrapText="1"/>
    </xf>
    <xf numFmtId="0" fontId="8" fillId="20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9" fillId="19" borderId="14" xfId="0" applyFont="1" applyFill="1" applyBorder="1" applyAlignment="1">
      <alignment horizontal="center" vertical="center" wrapText="1"/>
    </xf>
    <xf numFmtId="0" fontId="5" fillId="19" borderId="15" xfId="0" applyFont="1" applyFill="1" applyBorder="1" applyAlignment="1">
      <alignment horizontal="center" vertical="center" wrapText="1"/>
    </xf>
    <xf numFmtId="0" fontId="19" fillId="29" borderId="14" xfId="0" applyFont="1" applyFill="1" applyBorder="1" applyAlignment="1">
      <alignment horizontal="center" vertical="center" wrapText="1"/>
    </xf>
    <xf numFmtId="0" fontId="19" fillId="31" borderId="65" xfId="0" applyFont="1" applyFill="1" applyBorder="1" applyAlignment="1">
      <alignment horizontal="center" vertical="center" wrapText="1"/>
    </xf>
    <xf numFmtId="0" fontId="5" fillId="0" borderId="57" xfId="0" applyFont="1" applyBorder="1" applyAlignment="1" applyProtection="1">
      <alignment horizontal="center" vertical="center"/>
      <protection locked="0"/>
    </xf>
    <xf numFmtId="166" fontId="8" fillId="0" borderId="8" xfId="1" applyFont="1" applyBorder="1" applyAlignment="1">
      <alignment horizontal="center" vertical="center"/>
    </xf>
    <xf numFmtId="166" fontId="8" fillId="3" borderId="8" xfId="1" applyFont="1" applyFill="1" applyBorder="1" applyAlignment="1">
      <alignment horizontal="center" vertical="center"/>
    </xf>
    <xf numFmtId="166" fontId="8" fillId="0" borderId="3" xfId="1" applyFont="1" applyBorder="1" applyAlignment="1">
      <alignment horizontal="right" vertical="center"/>
    </xf>
    <xf numFmtId="166" fontId="8" fillId="29" borderId="8" xfId="0" applyNumberFormat="1" applyFont="1" applyFill="1" applyBorder="1" applyAlignment="1">
      <alignment horizontal="center" vertical="center"/>
    </xf>
    <xf numFmtId="172" fontId="5" fillId="29" borderId="8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166" fontId="8" fillId="31" borderId="8" xfId="0" applyNumberFormat="1" applyFont="1" applyFill="1" applyBorder="1" applyAlignment="1">
      <alignment horizontal="center" vertical="center"/>
    </xf>
    <xf numFmtId="166" fontId="8" fillId="0" borderId="1" xfId="1" applyFont="1" applyBorder="1" applyAlignment="1">
      <alignment horizontal="center" vertical="center"/>
    </xf>
    <xf numFmtId="166" fontId="8" fillId="3" borderId="1" xfId="1" applyFont="1" applyFill="1" applyBorder="1" applyAlignment="1">
      <alignment horizontal="center" vertical="center"/>
    </xf>
    <xf numFmtId="166" fontId="8" fillId="0" borderId="5" xfId="1" applyFont="1" applyBorder="1" applyAlignment="1">
      <alignment horizontal="right" vertical="center"/>
    </xf>
    <xf numFmtId="166" fontId="8" fillId="29" borderId="1" xfId="0" applyNumberFormat="1" applyFont="1" applyFill="1" applyBorder="1" applyAlignment="1">
      <alignment horizontal="center" vertical="center"/>
    </xf>
    <xf numFmtId="172" fontId="8" fillId="29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166" fontId="8" fillId="31" borderId="1" xfId="0" applyNumberFormat="1" applyFont="1" applyFill="1" applyBorder="1" applyAlignment="1">
      <alignment horizontal="center" vertical="center"/>
    </xf>
    <xf numFmtId="1" fontId="8" fillId="0" borderId="5" xfId="1" applyNumberFormat="1" applyFont="1" applyBorder="1" applyAlignment="1">
      <alignment horizontal="right" vertical="center"/>
    </xf>
    <xf numFmtId="0" fontId="8" fillId="0" borderId="58" xfId="0" applyFont="1" applyBorder="1" applyAlignment="1" applyProtection="1">
      <alignment horizontal="center" vertical="center"/>
      <protection locked="0"/>
    </xf>
    <xf numFmtId="166" fontId="8" fillId="0" borderId="2" xfId="1" applyFont="1" applyBorder="1" applyAlignment="1">
      <alignment horizontal="center" vertical="center"/>
    </xf>
    <xf numFmtId="166" fontId="8" fillId="3" borderId="2" xfId="1" applyFont="1" applyFill="1" applyBorder="1" applyAlignment="1">
      <alignment horizontal="center" vertical="center"/>
    </xf>
    <xf numFmtId="166" fontId="8" fillId="0" borderId="47" xfId="1" applyFont="1" applyBorder="1" applyAlignment="1">
      <alignment horizontal="right" vertical="center"/>
    </xf>
    <xf numFmtId="166" fontId="8" fillId="29" borderId="2" xfId="0" applyNumberFormat="1" applyFont="1" applyFill="1" applyBorder="1" applyAlignment="1">
      <alignment horizontal="center" vertical="center"/>
    </xf>
    <xf numFmtId="172" fontId="8" fillId="29" borderId="2" xfId="0" applyNumberFormat="1" applyFont="1" applyFill="1" applyBorder="1" applyAlignment="1" applyProtection="1">
      <alignment horizontal="center" vertical="center"/>
      <protection locked="0"/>
    </xf>
    <xf numFmtId="2" fontId="8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166" fontId="8" fillId="31" borderId="2" xfId="0" applyNumberFormat="1" applyFont="1" applyFill="1" applyBorder="1" applyAlignment="1">
      <alignment horizontal="center" vertical="center"/>
    </xf>
    <xf numFmtId="0" fontId="22" fillId="22" borderId="65" xfId="0" applyFont="1" applyFill="1" applyBorder="1" applyAlignment="1">
      <alignment horizontal="center" vertical="center"/>
    </xf>
    <xf numFmtId="166" fontId="5" fillId="22" borderId="36" xfId="1" applyFont="1" applyFill="1" applyBorder="1" applyAlignment="1">
      <alignment horizontal="center" vertical="center"/>
    </xf>
    <xf numFmtId="166" fontId="5" fillId="22" borderId="38" xfId="1" applyFont="1" applyFill="1" applyBorder="1" applyAlignment="1">
      <alignment horizontal="center" vertical="center"/>
    </xf>
    <xf numFmtId="2" fontId="33" fillId="31" borderId="36" xfId="0" applyNumberFormat="1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2" fontId="33" fillId="33" borderId="19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2" fontId="33" fillId="33" borderId="69" xfId="0" applyNumberFormat="1" applyFont="1" applyFill="1" applyBorder="1" applyAlignment="1">
      <alignment horizontal="center"/>
    </xf>
    <xf numFmtId="2" fontId="33" fillId="33" borderId="45" xfId="0" applyNumberFormat="1" applyFont="1" applyFill="1" applyBorder="1" applyAlignment="1">
      <alignment horizontal="center"/>
    </xf>
    <xf numFmtId="2" fontId="33" fillId="33" borderId="46" xfId="0" applyNumberFormat="1" applyFont="1" applyFill="1" applyBorder="1" applyAlignment="1">
      <alignment horizontal="center"/>
    </xf>
    <xf numFmtId="2" fontId="33" fillId="33" borderId="30" xfId="0" applyNumberFormat="1" applyFont="1" applyFill="1" applyBorder="1" applyAlignment="1">
      <alignment horizontal="center"/>
    </xf>
    <xf numFmtId="2" fontId="33" fillId="33" borderId="32" xfId="0" applyNumberFormat="1" applyFont="1" applyFill="1" applyBorder="1" applyAlignment="1">
      <alignment horizontal="center"/>
    </xf>
    <xf numFmtId="2" fontId="33" fillId="33" borderId="70" xfId="0" applyNumberFormat="1" applyFont="1" applyFill="1" applyBorder="1" applyAlignment="1">
      <alignment horizontal="center"/>
    </xf>
    <xf numFmtId="2" fontId="33" fillId="33" borderId="42" xfId="0" applyNumberFormat="1" applyFont="1" applyFill="1" applyBorder="1" applyAlignment="1">
      <alignment horizontal="center"/>
    </xf>
    <xf numFmtId="2" fontId="33" fillId="33" borderId="43" xfId="0" applyNumberFormat="1" applyFont="1" applyFill="1" applyBorder="1" applyAlignment="1">
      <alignment horizontal="center"/>
    </xf>
    <xf numFmtId="2" fontId="33" fillId="14" borderId="19" xfId="0" applyNumberFormat="1" applyFont="1" applyFill="1" applyBorder="1" applyAlignment="1">
      <alignment horizontal="center"/>
    </xf>
    <xf numFmtId="2" fontId="33" fillId="14" borderId="57" xfId="0" applyNumberFormat="1" applyFont="1" applyFill="1" applyBorder="1" applyAlignment="1">
      <alignment horizontal="center"/>
    </xf>
    <xf numFmtId="173" fontId="33" fillId="14" borderId="8" xfId="0" applyNumberFormat="1" applyFont="1" applyFill="1" applyBorder="1" applyAlignment="1">
      <alignment horizontal="center"/>
    </xf>
    <xf numFmtId="174" fontId="33" fillId="14" borderId="8" xfId="0" applyNumberFormat="1" applyFont="1" applyFill="1" applyBorder="1" applyAlignment="1">
      <alignment horizontal="center"/>
    </xf>
    <xf numFmtId="174" fontId="33" fillId="14" borderId="55" xfId="0" applyNumberFormat="1" applyFont="1" applyFill="1" applyBorder="1" applyAlignment="1">
      <alignment horizontal="center"/>
    </xf>
    <xf numFmtId="2" fontId="33" fillId="14" borderId="30" xfId="0" applyNumberFormat="1" applyFont="1" applyFill="1" applyBorder="1" applyAlignment="1">
      <alignment horizontal="center"/>
    </xf>
    <xf numFmtId="2" fontId="33" fillId="14" borderId="9" xfId="0" applyNumberFormat="1" applyFont="1" applyFill="1" applyBorder="1" applyAlignment="1">
      <alignment horizontal="center"/>
    </xf>
    <xf numFmtId="173" fontId="33" fillId="14" borderId="1" xfId="0" applyNumberFormat="1" applyFont="1" applyFill="1" applyBorder="1" applyAlignment="1">
      <alignment horizontal="center"/>
    </xf>
    <xf numFmtId="174" fontId="33" fillId="14" borderId="1" xfId="0" applyNumberFormat="1" applyFont="1" applyFill="1" applyBorder="1" applyAlignment="1">
      <alignment horizontal="center"/>
    </xf>
    <xf numFmtId="174" fontId="33" fillId="14" borderId="53" xfId="0" applyNumberFormat="1" applyFont="1" applyFill="1" applyBorder="1" applyAlignment="1">
      <alignment horizontal="center"/>
    </xf>
    <xf numFmtId="0" fontId="5" fillId="27" borderId="32" xfId="0" applyFont="1" applyFill="1" applyBorder="1" applyAlignment="1" applyProtection="1">
      <alignment horizontal="center" vertical="center"/>
      <protection locked="0"/>
    </xf>
    <xf numFmtId="0" fontId="5" fillId="27" borderId="70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>
      <alignment horizontal="center" vertical="center" wrapText="1"/>
    </xf>
    <xf numFmtId="0" fontId="8" fillId="20" borderId="42" xfId="0" applyFont="1" applyFill="1" applyBorder="1" applyAlignment="1">
      <alignment horizontal="center" vertical="center" wrapText="1"/>
    </xf>
    <xf numFmtId="3" fontId="8" fillId="20" borderId="42" xfId="0" applyNumberFormat="1" applyFont="1" applyFill="1" applyBorder="1" applyAlignment="1">
      <alignment horizontal="center" vertical="center" wrapText="1"/>
    </xf>
    <xf numFmtId="0" fontId="16" fillId="19" borderId="42" xfId="0" applyFont="1" applyFill="1" applyBorder="1" applyAlignment="1">
      <alignment horizontal="center" vertical="center" wrapText="1"/>
    </xf>
    <xf numFmtId="0" fontId="8" fillId="19" borderId="54" xfId="0" applyFont="1" applyFill="1" applyBorder="1" applyAlignment="1">
      <alignment horizontal="center" vertical="center" wrapText="1"/>
    </xf>
    <xf numFmtId="0" fontId="2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34" fillId="6" borderId="0" xfId="0" applyFont="1" applyFill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4" fillId="6" borderId="31" xfId="0" applyFont="1" applyFill="1" applyBorder="1" applyAlignment="1">
      <alignment vertical="center"/>
    </xf>
    <xf numFmtId="0" fontId="34" fillId="6" borderId="0" xfId="0" applyFont="1" applyFill="1" applyAlignment="1">
      <alignment vertical="center"/>
    </xf>
    <xf numFmtId="165" fontId="35" fillId="34" borderId="53" xfId="0" applyNumberFormat="1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vertical="center"/>
    </xf>
    <xf numFmtId="0" fontId="35" fillId="6" borderId="0" xfId="0" applyFont="1" applyFill="1" applyAlignment="1">
      <alignment horizontal="right" vertical="center"/>
    </xf>
    <xf numFmtId="175" fontId="36" fillId="34" borderId="5" xfId="1" applyNumberFormat="1" applyFont="1" applyFill="1" applyBorder="1" applyAlignment="1">
      <alignment horizontal="center" vertical="center"/>
    </xf>
    <xf numFmtId="175" fontId="36" fillId="34" borderId="53" xfId="1" applyNumberFormat="1" applyFont="1" applyFill="1" applyBorder="1" applyAlignment="1">
      <alignment horizontal="center" vertical="center"/>
    </xf>
    <xf numFmtId="165" fontId="36" fillId="34" borderId="5" xfId="0" applyNumberFormat="1" applyFont="1" applyFill="1" applyBorder="1" applyAlignment="1">
      <alignment horizontal="center" vertical="center"/>
    </xf>
    <xf numFmtId="165" fontId="36" fillId="34" borderId="53" xfId="0" applyNumberFormat="1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" fillId="35" borderId="2" xfId="0" applyFont="1" applyFill="1" applyBorder="1" applyAlignment="1">
      <alignment horizontal="center" vertical="center" wrapText="1"/>
    </xf>
    <xf numFmtId="0" fontId="17" fillId="37" borderId="18" xfId="0" applyFont="1" applyFill="1" applyBorder="1" applyAlignment="1">
      <alignment vertical="center" wrapText="1"/>
    </xf>
    <xf numFmtId="164" fontId="17" fillId="37" borderId="8" xfId="1" applyNumberFormat="1" applyFont="1" applyFill="1" applyBorder="1" applyAlignment="1">
      <alignment horizontal="center" vertical="center"/>
    </xf>
    <xf numFmtId="164" fontId="17" fillId="37" borderId="55" xfId="1" applyNumberFormat="1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vertical="center" wrapText="1"/>
    </xf>
    <xf numFmtId="169" fontId="37" fillId="6" borderId="1" xfId="3" applyNumberFormat="1" applyFont="1" applyFill="1" applyBorder="1" applyAlignment="1" applyProtection="1">
      <alignment vertical="center"/>
    </xf>
    <xf numFmtId="164" fontId="17" fillId="6" borderId="5" xfId="1" applyNumberFormat="1" applyFont="1" applyFill="1" applyBorder="1"/>
    <xf numFmtId="164" fontId="17" fillId="6" borderId="53" xfId="1" applyNumberFormat="1" applyFont="1" applyFill="1" applyBorder="1"/>
    <xf numFmtId="10" fontId="37" fillId="6" borderId="1" xfId="3" applyNumberFormat="1" applyFont="1" applyFill="1" applyBorder="1" applyAlignment="1" applyProtection="1">
      <alignment vertical="center"/>
    </xf>
    <xf numFmtId="164" fontId="38" fillId="6" borderId="1" xfId="3" applyNumberFormat="1" applyFont="1" applyFill="1" applyBorder="1" applyAlignment="1" applyProtection="1">
      <alignment vertical="center"/>
    </xf>
    <xf numFmtId="0" fontId="38" fillId="6" borderId="1" xfId="0" applyFont="1" applyFill="1" applyBorder="1" applyAlignment="1">
      <alignment vertical="center"/>
    </xf>
    <xf numFmtId="0" fontId="15" fillId="8" borderId="21" xfId="0" applyFont="1" applyFill="1" applyBorder="1" applyAlignment="1">
      <alignment horizontal="right" vertical="center"/>
    </xf>
    <xf numFmtId="9" fontId="15" fillId="8" borderId="1" xfId="0" applyNumberFormat="1" applyFont="1" applyFill="1" applyBorder="1" applyAlignment="1">
      <alignment horizontal="center" vertical="center"/>
    </xf>
    <xf numFmtId="2" fontId="15" fillId="8" borderId="5" xfId="0" applyNumberFormat="1" applyFont="1" applyFill="1" applyBorder="1" applyAlignment="1">
      <alignment horizontal="right" vertical="center"/>
    </xf>
    <xf numFmtId="2" fontId="15" fillId="8" borderId="53" xfId="0" applyNumberFormat="1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vertical="center"/>
    </xf>
    <xf numFmtId="164" fontId="17" fillId="38" borderId="8" xfId="1" applyNumberFormat="1" applyFont="1" applyFill="1" applyBorder="1" applyAlignment="1">
      <alignment horizontal="center" vertical="center"/>
    </xf>
    <xf numFmtId="164" fontId="17" fillId="38" borderId="55" xfId="1" applyNumberFormat="1" applyFont="1" applyFill="1" applyBorder="1" applyAlignment="1">
      <alignment horizontal="center" vertical="center"/>
    </xf>
    <xf numFmtId="0" fontId="39" fillId="0" borderId="21" xfId="0" applyFont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164" fontId="17" fillId="38" borderId="2" xfId="1" applyNumberFormat="1" applyFont="1" applyFill="1" applyBorder="1" applyAlignment="1">
      <alignment horizontal="center" vertical="center"/>
    </xf>
    <xf numFmtId="164" fontId="17" fillId="38" borderId="47" xfId="1" applyNumberFormat="1" applyFont="1" applyFill="1" applyBorder="1" applyAlignment="1">
      <alignment horizontal="center" vertical="center"/>
    </xf>
    <xf numFmtId="164" fontId="17" fillId="38" borderId="68" xfId="1" applyNumberFormat="1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53" xfId="0" applyFont="1" applyFill="1" applyBorder="1" applyAlignment="1">
      <alignment vertical="center"/>
    </xf>
    <xf numFmtId="10" fontId="37" fillId="6" borderId="8" xfId="3" applyNumberFormat="1" applyFont="1" applyFill="1" applyBorder="1" applyAlignment="1" applyProtection="1">
      <alignment vertical="center"/>
    </xf>
    <xf numFmtId="164" fontId="17" fillId="6" borderId="55" xfId="1" applyNumberFormat="1" applyFont="1" applyFill="1" applyBorder="1" applyAlignment="1">
      <alignment vertical="center"/>
    </xf>
    <xf numFmtId="164" fontId="17" fillId="38" borderId="1" xfId="1" applyNumberFormat="1" applyFont="1" applyFill="1" applyBorder="1" applyAlignment="1">
      <alignment horizontal="center" vertical="center"/>
    </xf>
    <xf numFmtId="164" fontId="17" fillId="38" borderId="53" xfId="1" applyNumberFormat="1" applyFont="1" applyFill="1" applyBorder="1" applyAlignment="1">
      <alignment horizontal="center" vertical="center"/>
    </xf>
    <xf numFmtId="176" fontId="37" fillId="6" borderId="1" xfId="3" applyNumberFormat="1" applyFont="1" applyFill="1" applyBorder="1" applyAlignment="1" applyProtection="1">
      <alignment vertical="center"/>
    </xf>
    <xf numFmtId="164" fontId="17" fillId="6" borderId="53" xfId="1" applyNumberFormat="1" applyFont="1" applyFill="1" applyBorder="1" applyAlignment="1">
      <alignment vertical="center"/>
    </xf>
    <xf numFmtId="164" fontId="17" fillId="6" borderId="5" xfId="1" applyNumberFormat="1" applyFont="1" applyFill="1" applyBorder="1" applyAlignment="1">
      <alignment vertical="center"/>
    </xf>
    <xf numFmtId="10" fontId="39" fillId="0" borderId="1" xfId="0" applyNumberFormat="1" applyFont="1" applyBorder="1" applyAlignment="1">
      <alignment horizontal="center" vertical="center"/>
    </xf>
    <xf numFmtId="4" fontId="39" fillId="0" borderId="53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2" fontId="39" fillId="0" borderId="53" xfId="0" applyNumberFormat="1" applyFont="1" applyBorder="1" applyAlignment="1">
      <alignment horizontal="right" vertical="center"/>
    </xf>
    <xf numFmtId="4" fontId="15" fillId="8" borderId="5" xfId="0" applyNumberFormat="1" applyFont="1" applyFill="1" applyBorder="1" applyAlignment="1">
      <alignment horizontal="right" vertical="center"/>
    </xf>
    <xf numFmtId="4" fontId="15" fillId="8" borderId="53" xfId="0" applyNumberFormat="1" applyFont="1" applyFill="1" applyBorder="1" applyAlignment="1">
      <alignment horizontal="right" vertical="center"/>
    </xf>
    <xf numFmtId="0" fontId="15" fillId="39" borderId="21" xfId="0" applyFont="1" applyFill="1" applyBorder="1" applyAlignment="1">
      <alignment vertical="center"/>
    </xf>
    <xf numFmtId="0" fontId="15" fillId="39" borderId="1" xfId="0" applyFont="1" applyFill="1" applyBorder="1" applyAlignment="1">
      <alignment horizontal="center" vertical="center"/>
    </xf>
    <xf numFmtId="0" fontId="15" fillId="39" borderId="53" xfId="0" applyFont="1" applyFill="1" applyBorder="1" applyAlignment="1">
      <alignment horizontal="center" vertical="center"/>
    </xf>
    <xf numFmtId="10" fontId="15" fillId="8" borderId="1" xfId="0" applyNumberFormat="1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vertical="center"/>
    </xf>
    <xf numFmtId="164" fontId="17" fillId="38" borderId="4" xfId="1" applyNumberFormat="1" applyFont="1" applyFill="1" applyBorder="1" applyAlignment="1">
      <alignment horizontal="center" vertical="center"/>
    </xf>
    <xf numFmtId="164" fontId="17" fillId="38" borderId="25" xfId="1" applyNumberFormat="1" applyFont="1" applyFill="1" applyBorder="1" applyAlignment="1">
      <alignment horizontal="center" vertical="center"/>
    </xf>
    <xf numFmtId="164" fontId="17" fillId="38" borderId="59" xfId="1" applyNumberFormat="1" applyFont="1" applyFill="1" applyBorder="1" applyAlignment="1">
      <alignment horizontal="center" vertical="center"/>
    </xf>
    <xf numFmtId="10" fontId="37" fillId="6" borderId="1" xfId="3" applyNumberFormat="1" applyFont="1" applyFill="1" applyBorder="1" applyAlignment="1" applyProtection="1">
      <alignment vertical="center"/>
      <protection locked="0"/>
    </xf>
    <xf numFmtId="0" fontId="17" fillId="40" borderId="21" xfId="0" applyFont="1" applyFill="1" applyBorder="1" applyAlignment="1">
      <alignment horizontal="right" vertical="center" wrapText="1"/>
    </xf>
    <xf numFmtId="10" fontId="17" fillId="40" borderId="1" xfId="0" applyNumberFormat="1" applyFont="1" applyFill="1" applyBorder="1" applyAlignment="1">
      <alignment horizontal="right" vertical="center" wrapText="1"/>
    </xf>
    <xf numFmtId="164" fontId="17" fillId="40" borderId="5" xfId="0" applyNumberFormat="1" applyFont="1" applyFill="1" applyBorder="1" applyAlignment="1">
      <alignment vertical="center"/>
    </xf>
    <xf numFmtId="164" fontId="17" fillId="40" borderId="53" xfId="0" applyNumberFormat="1" applyFont="1" applyFill="1" applyBorder="1" applyAlignment="1">
      <alignment vertical="center"/>
    </xf>
    <xf numFmtId="167" fontId="37" fillId="6" borderId="1" xfId="3" applyNumberFormat="1" applyFont="1" applyFill="1" applyBorder="1" applyProtection="1"/>
    <xf numFmtId="0" fontId="39" fillId="0" borderId="21" xfId="0" applyFont="1" applyBorder="1" applyAlignment="1">
      <alignment wrapText="1"/>
    </xf>
    <xf numFmtId="167" fontId="37" fillId="6" borderId="1" xfId="3" applyNumberFormat="1" applyFont="1" applyFill="1" applyBorder="1" applyAlignment="1" applyProtection="1">
      <alignment vertical="center"/>
    </xf>
    <xf numFmtId="0" fontId="38" fillId="40" borderId="1" xfId="0" applyFont="1" applyFill="1" applyBorder="1" applyAlignment="1">
      <alignment vertical="center"/>
    </xf>
    <xf numFmtId="0" fontId="40" fillId="6" borderId="21" xfId="0" applyFont="1" applyFill="1" applyBorder="1" applyAlignment="1" applyProtection="1">
      <alignment vertical="center" wrapText="1"/>
      <protection locked="0"/>
    </xf>
    <xf numFmtId="10" fontId="42" fillId="6" borderId="1" xfId="3" applyNumberFormat="1" applyFont="1" applyFill="1" applyBorder="1" applyAlignment="1" applyProtection="1">
      <alignment vertical="center"/>
    </xf>
    <xf numFmtId="164" fontId="18" fillId="6" borderId="53" xfId="1" applyNumberFormat="1" applyFont="1" applyFill="1" applyBorder="1" applyAlignment="1">
      <alignment vertical="center"/>
    </xf>
    <xf numFmtId="0" fontId="17" fillId="41" borderId="5" xfId="0" applyFont="1" applyFill="1" applyBorder="1" applyAlignment="1">
      <alignment horizontal="center" vertical="center" wrapText="1"/>
    </xf>
    <xf numFmtId="0" fontId="17" fillId="41" borderId="53" xfId="0" applyFont="1" applyFill="1" applyBorder="1" applyAlignment="1">
      <alignment horizontal="center" vertical="center" wrapText="1"/>
    </xf>
    <xf numFmtId="164" fontId="17" fillId="42" borderId="5" xfId="1" applyNumberFormat="1" applyFont="1" applyFill="1" applyBorder="1" applyAlignment="1">
      <alignment horizontal="center" vertical="center"/>
    </xf>
    <xf numFmtId="164" fontId="17" fillId="42" borderId="53" xfId="1" applyNumberFormat="1" applyFont="1" applyFill="1" applyBorder="1" applyAlignment="1">
      <alignment horizontal="center" vertical="center"/>
    </xf>
    <xf numFmtId="164" fontId="17" fillId="6" borderId="5" xfId="0" applyNumberFormat="1" applyFont="1" applyFill="1" applyBorder="1" applyAlignment="1">
      <alignment vertical="center"/>
    </xf>
    <xf numFmtId="164" fontId="17" fillId="6" borderId="53" xfId="0" applyNumberFormat="1" applyFont="1" applyFill="1" applyBorder="1" applyAlignment="1">
      <alignment vertical="center"/>
    </xf>
    <xf numFmtId="164" fontId="43" fillId="6" borderId="5" xfId="0" applyNumberFormat="1" applyFont="1" applyFill="1" applyBorder="1" applyAlignment="1">
      <alignment vertical="center"/>
    </xf>
    <xf numFmtId="164" fontId="43" fillId="6" borderId="53" xfId="0" applyNumberFormat="1" applyFont="1" applyFill="1" applyBorder="1" applyAlignment="1">
      <alignment vertical="center"/>
    </xf>
    <xf numFmtId="177" fontId="17" fillId="40" borderId="43" xfId="0" applyNumberFormat="1" applyFont="1" applyFill="1" applyBorder="1" applyAlignment="1">
      <alignment horizontal="right" vertical="center" wrapText="1"/>
    </xf>
    <xf numFmtId="177" fontId="17" fillId="40" borderId="5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4" fillId="6" borderId="31" xfId="0" applyFont="1" applyFill="1" applyBorder="1" applyAlignment="1">
      <alignment vertical="center"/>
    </xf>
    <xf numFmtId="0" fontId="44" fillId="6" borderId="0" xfId="0" applyFont="1" applyFill="1" applyAlignment="1">
      <alignment vertical="center"/>
    </xf>
    <xf numFmtId="165" fontId="6" fillId="34" borderId="44" xfId="0" applyNumberFormat="1" applyFont="1" applyFill="1" applyBorder="1" applyAlignment="1">
      <alignment horizontal="center" vertical="center"/>
    </xf>
    <xf numFmtId="165" fontId="6" fillId="34" borderId="45" xfId="0" applyNumberFormat="1" applyFont="1" applyFill="1" applyBorder="1" applyAlignment="1">
      <alignment horizontal="center" vertical="center"/>
    </xf>
    <xf numFmtId="165" fontId="6" fillId="34" borderId="72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vertical="center"/>
    </xf>
    <xf numFmtId="0" fontId="6" fillId="6" borderId="0" xfId="0" applyFont="1" applyFill="1" applyAlignment="1">
      <alignment horizontal="right" vertical="center"/>
    </xf>
    <xf numFmtId="175" fontId="3" fillId="34" borderId="21" xfId="1" applyNumberFormat="1" applyFont="1" applyFill="1" applyBorder="1" applyAlignment="1">
      <alignment horizontal="center" vertical="center"/>
    </xf>
    <xf numFmtId="175" fontId="3" fillId="34" borderId="1" xfId="1" applyNumberFormat="1" applyFont="1" applyFill="1" applyBorder="1" applyAlignment="1">
      <alignment horizontal="center" vertical="center"/>
    </xf>
    <xf numFmtId="175" fontId="3" fillId="34" borderId="53" xfId="1" applyNumberFormat="1" applyFont="1" applyFill="1" applyBorder="1" applyAlignment="1">
      <alignment horizontal="center" vertical="center"/>
    </xf>
    <xf numFmtId="165" fontId="3" fillId="34" borderId="21" xfId="0" applyNumberFormat="1" applyFont="1" applyFill="1" applyBorder="1" applyAlignment="1">
      <alignment horizontal="center" vertical="center"/>
    </xf>
    <xf numFmtId="165" fontId="3" fillId="34" borderId="1" xfId="0" applyNumberFormat="1" applyFont="1" applyFill="1" applyBorder="1" applyAlignment="1">
      <alignment horizontal="center" vertical="center"/>
    </xf>
    <xf numFmtId="165" fontId="3" fillId="34" borderId="53" xfId="0" applyNumberFormat="1" applyFont="1" applyFill="1" applyBorder="1" applyAlignment="1">
      <alignment horizontal="center" vertical="center"/>
    </xf>
    <xf numFmtId="165" fontId="3" fillId="34" borderId="41" xfId="0" applyNumberFormat="1" applyFont="1" applyFill="1" applyBorder="1" applyAlignment="1">
      <alignment horizontal="center" vertical="center"/>
    </xf>
    <xf numFmtId="165" fontId="3" fillId="34" borderId="42" xfId="0" applyNumberFormat="1" applyFont="1" applyFill="1" applyBorder="1" applyAlignment="1">
      <alignment horizontal="center" vertical="center"/>
    </xf>
    <xf numFmtId="165" fontId="3" fillId="34" borderId="54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35" borderId="1" xfId="0" applyFont="1" applyFill="1" applyBorder="1" applyAlignment="1">
      <alignment horizontal="center" vertical="center" wrapText="1"/>
    </xf>
    <xf numFmtId="0" fontId="1" fillId="35" borderId="53" xfId="0" applyFont="1" applyFill="1" applyBorder="1" applyAlignment="1">
      <alignment horizontal="center" vertical="center" wrapText="1"/>
    </xf>
    <xf numFmtId="0" fontId="1" fillId="37" borderId="21" xfId="0" applyFont="1" applyFill="1" applyBorder="1" applyAlignment="1">
      <alignment vertical="center" wrapText="1"/>
    </xf>
    <xf numFmtId="164" fontId="1" fillId="37" borderId="1" xfId="1" applyNumberFormat="1" applyFont="1" applyFill="1" applyBorder="1" applyAlignment="1">
      <alignment horizontal="center" vertical="center"/>
    </xf>
    <xf numFmtId="164" fontId="1" fillId="37" borderId="53" xfId="1" applyNumberFormat="1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vertical="center" wrapText="1"/>
    </xf>
    <xf numFmtId="169" fontId="45" fillId="6" borderId="1" xfId="3" applyNumberFormat="1" applyFont="1" applyFill="1" applyBorder="1" applyAlignment="1" applyProtection="1">
      <alignment vertical="center"/>
    </xf>
    <xf numFmtId="164" fontId="1" fillId="6" borderId="1" xfId="1" applyNumberFormat="1" applyFont="1" applyFill="1" applyBorder="1"/>
    <xf numFmtId="164" fontId="1" fillId="6" borderId="53" xfId="1" applyNumberFormat="1" applyFont="1" applyFill="1" applyBorder="1"/>
    <xf numFmtId="10" fontId="45" fillId="6" borderId="1" xfId="3" applyNumberFormat="1" applyFont="1" applyFill="1" applyBorder="1" applyAlignment="1" applyProtection="1">
      <alignment vertical="center"/>
    </xf>
    <xf numFmtId="164" fontId="46" fillId="6" borderId="1" xfId="3" applyNumberFormat="1" applyFont="1" applyFill="1" applyBorder="1" applyAlignment="1" applyProtection="1">
      <alignment vertical="center"/>
    </xf>
    <xf numFmtId="0" fontId="46" fillId="6" borderId="1" xfId="0" applyFont="1" applyFill="1" applyBorder="1" applyAlignment="1">
      <alignment vertical="center"/>
    </xf>
    <xf numFmtId="0" fontId="19" fillId="8" borderId="21" xfId="0" applyFont="1" applyFill="1" applyBorder="1" applyAlignment="1">
      <alignment horizontal="right" vertical="center"/>
    </xf>
    <xf numFmtId="9" fontId="19" fillId="8" borderId="1" xfId="0" applyNumberFormat="1" applyFont="1" applyFill="1" applyBorder="1" applyAlignment="1">
      <alignment horizontal="center" vertical="center"/>
    </xf>
    <xf numFmtId="2" fontId="19" fillId="8" borderId="1" xfId="0" applyNumberFormat="1" applyFont="1" applyFill="1" applyBorder="1" applyAlignment="1">
      <alignment horizontal="right" vertical="center"/>
    </xf>
    <xf numFmtId="2" fontId="19" fillId="8" borderId="53" xfId="0" applyNumberFormat="1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vertical="center"/>
    </xf>
    <xf numFmtId="164" fontId="1" fillId="38" borderId="1" xfId="1" applyNumberFormat="1" applyFont="1" applyFill="1" applyBorder="1" applyAlignment="1">
      <alignment horizontal="center" vertical="center"/>
    </xf>
    <xf numFmtId="164" fontId="1" fillId="38" borderId="53" xfId="1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164" fontId="1" fillId="38" borderId="2" xfId="1" applyNumberFormat="1" applyFont="1" applyFill="1" applyBorder="1" applyAlignment="1">
      <alignment horizontal="center" vertical="center"/>
    </xf>
    <xf numFmtId="164" fontId="1" fillId="38" borderId="68" xfId="1" applyNumberFormat="1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53" xfId="0" applyFont="1" applyFill="1" applyBorder="1" applyAlignment="1">
      <alignment vertical="center"/>
    </xf>
    <xf numFmtId="10" fontId="45" fillId="6" borderId="8" xfId="3" applyNumberFormat="1" applyFont="1" applyFill="1" applyBorder="1" applyAlignment="1" applyProtection="1">
      <alignment vertical="center"/>
    </xf>
    <xf numFmtId="164" fontId="1" fillId="6" borderId="8" xfId="1" applyNumberFormat="1" applyFont="1" applyFill="1" applyBorder="1" applyAlignment="1">
      <alignment vertical="center"/>
    </xf>
    <xf numFmtId="164" fontId="1" fillId="6" borderId="55" xfId="1" applyNumberFormat="1" applyFont="1" applyFill="1" applyBorder="1" applyAlignment="1">
      <alignment vertical="center"/>
    </xf>
    <xf numFmtId="176" fontId="45" fillId="6" borderId="1" xfId="3" applyNumberFormat="1" applyFont="1" applyFill="1" applyBorder="1" applyAlignment="1" applyProtection="1">
      <alignment vertical="center"/>
    </xf>
    <xf numFmtId="164" fontId="1" fillId="6" borderId="1" xfId="1" applyNumberFormat="1" applyFont="1" applyFill="1" applyBorder="1" applyAlignment="1">
      <alignment vertical="center"/>
    </xf>
    <xf numFmtId="164" fontId="1" fillId="6" borderId="53" xfId="1" applyNumberFormat="1" applyFont="1" applyFill="1" applyBorder="1" applyAlignment="1">
      <alignment vertical="center"/>
    </xf>
    <xf numFmtId="0" fontId="1" fillId="37" borderId="18" xfId="0" applyFont="1" applyFill="1" applyBorder="1" applyAlignment="1">
      <alignment vertical="center" wrapText="1"/>
    </xf>
    <xf numFmtId="164" fontId="1" fillId="37" borderId="8" xfId="1" applyNumberFormat="1" applyFont="1" applyFill="1" applyBorder="1" applyAlignment="1">
      <alignment horizontal="center" vertical="center"/>
    </xf>
    <xf numFmtId="164" fontId="1" fillId="37" borderId="55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4" fontId="16" fillId="0" borderId="5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2" fontId="16" fillId="0" borderId="53" xfId="0" applyNumberFormat="1" applyFont="1" applyBorder="1" applyAlignment="1">
      <alignment horizontal="right" vertical="center"/>
    </xf>
    <xf numFmtId="4" fontId="39" fillId="0" borderId="1" xfId="0" applyNumberFormat="1" applyFont="1" applyBorder="1" applyAlignment="1">
      <alignment vertical="center"/>
    </xf>
    <xf numFmtId="4" fontId="19" fillId="8" borderId="1" xfId="0" applyNumberFormat="1" applyFont="1" applyFill="1" applyBorder="1" applyAlignment="1">
      <alignment horizontal="right" vertical="center"/>
    </xf>
    <xf numFmtId="4" fontId="19" fillId="8" borderId="53" xfId="0" applyNumberFormat="1" applyFont="1" applyFill="1" applyBorder="1" applyAlignment="1">
      <alignment horizontal="right" vertical="center"/>
    </xf>
    <xf numFmtId="0" fontId="19" fillId="39" borderId="21" xfId="0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3" xfId="0" applyFont="1" applyFill="1" applyBorder="1" applyAlignment="1">
      <alignment horizontal="center" vertical="center"/>
    </xf>
    <xf numFmtId="10" fontId="19" fillId="8" borderId="1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vertical="center"/>
    </xf>
    <xf numFmtId="10" fontId="45" fillId="6" borderId="1" xfId="3" applyNumberFormat="1" applyFont="1" applyFill="1" applyBorder="1" applyAlignment="1" applyProtection="1">
      <alignment vertical="center"/>
      <protection locked="0"/>
    </xf>
    <xf numFmtId="10" fontId="1" fillId="40" borderId="1" xfId="0" applyNumberFormat="1" applyFont="1" applyFill="1" applyBorder="1" applyAlignment="1">
      <alignment horizontal="right" vertical="center" wrapText="1"/>
    </xf>
    <xf numFmtId="177" fontId="1" fillId="40" borderId="1" xfId="0" applyNumberFormat="1" applyFont="1" applyFill="1" applyBorder="1" applyAlignment="1">
      <alignment horizontal="right" vertical="center" wrapText="1"/>
    </xf>
    <xf numFmtId="164" fontId="1" fillId="40" borderId="1" xfId="0" applyNumberFormat="1" applyFont="1" applyFill="1" applyBorder="1" applyAlignment="1">
      <alignment vertical="center"/>
    </xf>
    <xf numFmtId="164" fontId="1" fillId="40" borderId="53" xfId="0" applyNumberFormat="1" applyFont="1" applyFill="1" applyBorder="1" applyAlignment="1">
      <alignment vertical="center"/>
    </xf>
    <xf numFmtId="167" fontId="45" fillId="6" borderId="1" xfId="3" applyNumberFormat="1" applyFont="1" applyFill="1" applyBorder="1" applyProtection="1"/>
    <xf numFmtId="171" fontId="45" fillId="6" borderId="1" xfId="3" applyNumberFormat="1" applyFont="1" applyFill="1" applyBorder="1" applyProtection="1"/>
    <xf numFmtId="9" fontId="45" fillId="43" borderId="9" xfId="0" applyNumberFormat="1" applyFont="1" applyFill="1" applyBorder="1"/>
    <xf numFmtId="0" fontId="46" fillId="40" borderId="1" xfId="0" applyFont="1" applyFill="1" applyBorder="1" applyAlignment="1">
      <alignment vertical="center"/>
    </xf>
    <xf numFmtId="10" fontId="47" fillId="6" borderId="1" xfId="3" applyNumberFormat="1" applyFont="1" applyFill="1" applyBorder="1" applyAlignment="1" applyProtection="1">
      <alignment vertical="center"/>
    </xf>
    <xf numFmtId="164" fontId="2" fillId="6" borderId="1" xfId="1" applyNumberFormat="1" applyFont="1" applyFill="1" applyBorder="1" applyAlignment="1">
      <alignment vertical="center"/>
    </xf>
    <xf numFmtId="164" fontId="2" fillId="6" borderId="53" xfId="1" applyNumberFormat="1" applyFont="1" applyFill="1" applyBorder="1" applyAlignment="1">
      <alignment vertical="center"/>
    </xf>
    <xf numFmtId="0" fontId="1" fillId="41" borderId="1" xfId="0" applyFont="1" applyFill="1" applyBorder="1" applyAlignment="1">
      <alignment horizontal="center" vertical="center" wrapText="1"/>
    </xf>
    <xf numFmtId="0" fontId="1" fillId="41" borderId="53" xfId="0" applyFont="1" applyFill="1" applyBorder="1" applyAlignment="1">
      <alignment horizontal="center" vertical="center" wrapText="1"/>
    </xf>
    <xf numFmtId="164" fontId="1" fillId="42" borderId="1" xfId="1" applyNumberFormat="1" applyFont="1" applyFill="1" applyBorder="1" applyAlignment="1">
      <alignment horizontal="center" vertical="center"/>
    </xf>
    <xf numFmtId="164" fontId="1" fillId="42" borderId="53" xfId="1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vertical="center"/>
    </xf>
    <xf numFmtId="164" fontId="1" fillId="6" borderId="53" xfId="0" applyNumberFormat="1" applyFont="1" applyFill="1" applyBorder="1" applyAlignment="1">
      <alignment vertical="center"/>
    </xf>
    <xf numFmtId="164" fontId="48" fillId="6" borderId="1" xfId="0" applyNumberFormat="1" applyFont="1" applyFill="1" applyBorder="1" applyAlignment="1">
      <alignment vertical="center"/>
    </xf>
    <xf numFmtId="164" fontId="48" fillId="6" borderId="53" xfId="0" applyNumberFormat="1" applyFont="1" applyFill="1" applyBorder="1" applyAlignment="1">
      <alignment vertical="center"/>
    </xf>
    <xf numFmtId="177" fontId="1" fillId="40" borderId="42" xfId="0" applyNumberFormat="1" applyFont="1" applyFill="1" applyBorder="1" applyAlignment="1">
      <alignment horizontal="right" vertical="center" wrapText="1"/>
    </xf>
    <xf numFmtId="177" fontId="1" fillId="40" borderId="54" xfId="0" applyNumberFormat="1" applyFont="1" applyFill="1" applyBorder="1" applyAlignment="1">
      <alignment horizontal="right" vertical="center" wrapText="1"/>
    </xf>
    <xf numFmtId="0" fontId="2" fillId="6" borderId="73" xfId="0" applyFont="1" applyFill="1" applyBorder="1" applyAlignment="1">
      <alignment horizontal="center" vertical="center"/>
    </xf>
    <xf numFmtId="0" fontId="46" fillId="6" borderId="0" xfId="0" applyFont="1" applyFill="1" applyAlignment="1">
      <alignment vertical="center"/>
    </xf>
    <xf numFmtId="164" fontId="2" fillId="6" borderId="0" xfId="1" applyNumberFormat="1" applyFont="1" applyFill="1" applyAlignment="1">
      <alignment vertical="center"/>
    </xf>
    <xf numFmtId="0" fontId="2" fillId="6" borderId="0" xfId="0" applyFont="1" applyFill="1" applyAlignment="1">
      <alignment vertical="center"/>
    </xf>
    <xf numFmtId="178" fontId="2" fillId="6" borderId="0" xfId="0" applyNumberFormat="1" applyFont="1" applyFill="1" applyAlignment="1">
      <alignment vertical="center"/>
    </xf>
    <xf numFmtId="0" fontId="1" fillId="44" borderId="1" xfId="0" applyFont="1" applyFill="1" applyBorder="1" applyAlignment="1">
      <alignment horizontal="center" vertical="center"/>
    </xf>
    <xf numFmtId="0" fontId="1" fillId="44" borderId="1" xfId="0" applyFont="1" applyFill="1" applyBorder="1" applyAlignment="1">
      <alignment horizontal="center" vertical="center" wrapText="1"/>
    </xf>
    <xf numFmtId="0" fontId="2" fillId="44" borderId="1" xfId="0" applyFont="1" applyFill="1" applyBorder="1"/>
    <xf numFmtId="179" fontId="2" fillId="44" borderId="1" xfId="0" applyNumberFormat="1" applyFont="1" applyFill="1" applyBorder="1"/>
    <xf numFmtId="164" fontId="2" fillId="44" borderId="1" xfId="0" applyNumberFormat="1" applyFont="1" applyFill="1" applyBorder="1"/>
    <xf numFmtId="0" fontId="1" fillId="44" borderId="1" xfId="0" applyFont="1" applyFill="1" applyBorder="1"/>
    <xf numFmtId="0" fontId="49" fillId="4" borderId="1" xfId="0" applyFont="1" applyFill="1" applyBorder="1" applyAlignment="1">
      <alignment horizontal="right"/>
    </xf>
    <xf numFmtId="179" fontId="49" fillId="4" borderId="1" xfId="0" applyNumberFormat="1" applyFont="1" applyFill="1" applyBorder="1"/>
    <xf numFmtId="164" fontId="49" fillId="4" borderId="1" xfId="0" applyNumberFormat="1" applyFont="1" applyFill="1" applyBorder="1"/>
    <xf numFmtId="180" fontId="2" fillId="44" borderId="1" xfId="0" applyNumberFormat="1" applyFont="1" applyFill="1" applyBorder="1"/>
    <xf numFmtId="4" fontId="2" fillId="44" borderId="1" xfId="0" applyNumberFormat="1" applyFont="1" applyFill="1" applyBorder="1"/>
    <xf numFmtId="0" fontId="2" fillId="6" borderId="0" xfId="0" applyFont="1" applyFill="1"/>
    <xf numFmtId="0" fontId="0" fillId="6" borderId="0" xfId="0" applyFill="1"/>
    <xf numFmtId="0" fontId="49" fillId="20" borderId="1" xfId="0" applyFont="1" applyFill="1" applyBorder="1" applyAlignment="1">
      <alignment horizontal="right"/>
    </xf>
    <xf numFmtId="179" fontId="2" fillId="20" borderId="1" xfId="0" applyNumberFormat="1" applyFont="1" applyFill="1" applyBorder="1"/>
    <xf numFmtId="4" fontId="2" fillId="20" borderId="1" xfId="0" applyNumberFormat="1" applyFont="1" applyFill="1" applyBorder="1"/>
    <xf numFmtId="164" fontId="49" fillId="20" borderId="1" xfId="0" applyNumberFormat="1" applyFont="1" applyFill="1" applyBorder="1"/>
    <xf numFmtId="164" fontId="2" fillId="20" borderId="1" xfId="0" applyNumberFormat="1" applyFont="1" applyFill="1" applyBorder="1"/>
    <xf numFmtId="180" fontId="2" fillId="20" borderId="1" xfId="0" applyNumberFormat="1" applyFont="1" applyFill="1" applyBorder="1"/>
    <xf numFmtId="0" fontId="16" fillId="44" borderId="1" xfId="0" applyFont="1" applyFill="1" applyBorder="1"/>
    <xf numFmtId="0" fontId="50" fillId="19" borderId="1" xfId="0" applyFont="1" applyFill="1" applyBorder="1" applyAlignment="1">
      <alignment horizontal="right" vertical="center" wrapText="1"/>
    </xf>
    <xf numFmtId="181" fontId="2" fillId="19" borderId="1" xfId="0" applyNumberFormat="1" applyFont="1" applyFill="1" applyBorder="1"/>
    <xf numFmtId="4" fontId="2" fillId="19" borderId="1" xfId="0" applyNumberFormat="1" applyFont="1" applyFill="1" applyBorder="1"/>
    <xf numFmtId="164" fontId="49" fillId="19" borderId="1" xfId="0" applyNumberFormat="1" applyFont="1" applyFill="1" applyBorder="1"/>
    <xf numFmtId="164" fontId="2" fillId="19" borderId="1" xfId="0" applyNumberFormat="1" applyFont="1" applyFill="1" applyBorder="1"/>
    <xf numFmtId="0" fontId="2" fillId="0" borderId="0" xfId="0" applyFont="1" applyAlignment="1">
      <alignment horizontal="center" vertical="center"/>
    </xf>
    <xf numFmtId="182" fontId="2" fillId="0" borderId="1" xfId="0" applyNumberFormat="1" applyFont="1" applyBorder="1"/>
    <xf numFmtId="167" fontId="2" fillId="0" borderId="1" xfId="0" applyNumberFormat="1" applyFont="1" applyBorder="1"/>
    <xf numFmtId="167" fontId="2" fillId="0" borderId="2" xfId="0" applyNumberFormat="1" applyFont="1" applyBorder="1"/>
    <xf numFmtId="167" fontId="1" fillId="0" borderId="1" xfId="0" applyNumberFormat="1" applyFont="1" applyBorder="1"/>
    <xf numFmtId="10" fontId="21" fillId="0" borderId="0" xfId="0" applyNumberFormat="1" applyFont="1"/>
    <xf numFmtId="164" fontId="1" fillId="6" borderId="9" xfId="1" applyNumberFormat="1" applyFont="1" applyFill="1" applyBorder="1" applyAlignment="1">
      <alignment vertical="center"/>
    </xf>
    <xf numFmtId="176" fontId="45" fillId="6" borderId="8" xfId="3" applyNumberFormat="1" applyFont="1" applyFill="1" applyBorder="1" applyAlignment="1" applyProtection="1">
      <alignment vertical="center"/>
    </xf>
    <xf numFmtId="177" fontId="1" fillId="40" borderId="53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0" fontId="19" fillId="31" borderId="5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center" wrapText="1"/>
    </xf>
    <xf numFmtId="0" fontId="19" fillId="29" borderId="36" xfId="0" applyFont="1" applyFill="1" applyBorder="1" applyAlignment="1">
      <alignment horizontal="center" vertical="center" wrapText="1"/>
    </xf>
    <xf numFmtId="0" fontId="19" fillId="29" borderId="38" xfId="0" applyFont="1" applyFill="1" applyBorder="1" applyAlignment="1">
      <alignment horizontal="center" vertical="center" wrapText="1"/>
    </xf>
    <xf numFmtId="0" fontId="19" fillId="29" borderId="65" xfId="0" applyFont="1" applyFill="1" applyBorder="1" applyAlignment="1">
      <alignment horizontal="center" vertical="center" wrapText="1"/>
    </xf>
    <xf numFmtId="183" fontId="8" fillId="0" borderId="8" xfId="0" applyNumberFormat="1" applyFont="1" applyBorder="1" applyAlignment="1">
      <alignment horizontal="center" vertical="center"/>
    </xf>
    <xf numFmtId="166" fontId="8" fillId="0" borderId="3" xfId="1" applyFont="1" applyBorder="1" applyAlignment="1">
      <alignment horizontal="center" vertical="center"/>
    </xf>
    <xf numFmtId="166" fontId="8" fillId="28" borderId="31" xfId="1" applyFont="1" applyFill="1" applyBorder="1" applyAlignment="1">
      <alignment horizontal="center" vertical="center"/>
    </xf>
    <xf numFmtId="166" fontId="8" fillId="31" borderId="7" xfId="0" applyNumberFormat="1" applyFont="1" applyFill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166" fontId="8" fillId="0" borderId="5" xfId="1" applyFont="1" applyBorder="1" applyAlignment="1">
      <alignment horizontal="center" vertical="center"/>
    </xf>
    <xf numFmtId="166" fontId="8" fillId="28" borderId="1" xfId="1" applyFont="1" applyFill="1" applyBorder="1" applyAlignment="1">
      <alignment horizontal="center" vertical="center"/>
    </xf>
    <xf numFmtId="166" fontId="8" fillId="31" borderId="6" xfId="0" applyNumberFormat="1" applyFont="1" applyFill="1" applyBorder="1" applyAlignment="1">
      <alignment horizontal="center" vertical="center"/>
    </xf>
    <xf numFmtId="166" fontId="8" fillId="2" borderId="9" xfId="0" applyNumberFormat="1" applyFont="1" applyFill="1" applyBorder="1" applyAlignment="1">
      <alignment horizontal="center" vertical="center"/>
    </xf>
    <xf numFmtId="183" fontId="8" fillId="3" borderId="1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183" fontId="8" fillId="0" borderId="2" xfId="0" applyNumberFormat="1" applyFont="1" applyBorder="1" applyAlignment="1">
      <alignment horizontal="center" vertical="center"/>
    </xf>
    <xf numFmtId="166" fontId="8" fillId="0" borderId="47" xfId="1" applyFont="1" applyBorder="1" applyAlignment="1">
      <alignment horizontal="center" vertical="center"/>
    </xf>
    <xf numFmtId="166" fontId="8" fillId="29" borderId="4" xfId="0" applyNumberFormat="1" applyFont="1" applyFill="1" applyBorder="1" applyAlignment="1">
      <alignment horizontal="center" vertical="center"/>
    </xf>
    <xf numFmtId="166" fontId="8" fillId="31" borderId="10" xfId="0" applyNumberFormat="1" applyFont="1" applyFill="1" applyBorder="1" applyAlignment="1">
      <alignment horizontal="center" vertical="center"/>
    </xf>
    <xf numFmtId="166" fontId="5" fillId="22" borderId="66" xfId="1" applyFont="1" applyFill="1" applyBorder="1" applyAlignment="1">
      <alignment horizontal="center" vertical="center"/>
    </xf>
    <xf numFmtId="2" fontId="51" fillId="32" borderId="65" xfId="0" applyNumberFormat="1" applyFont="1" applyFill="1" applyBorder="1" applyAlignment="1">
      <alignment vertical="center"/>
    </xf>
    <xf numFmtId="2" fontId="33" fillId="31" borderId="56" xfId="0" applyNumberFormat="1" applyFont="1" applyFill="1" applyBorder="1" applyAlignment="1">
      <alignment horizontal="center"/>
    </xf>
    <xf numFmtId="3" fontId="16" fillId="0" borderId="4" xfId="0" applyNumberFormat="1" applyFont="1" applyBorder="1" applyAlignment="1">
      <alignment horizontal="center" vertical="center"/>
    </xf>
    <xf numFmtId="172" fontId="28" fillId="0" borderId="0" xfId="0" applyNumberFormat="1" applyFont="1"/>
    <xf numFmtId="0" fontId="52" fillId="0" borderId="0" xfId="0" applyFont="1"/>
    <xf numFmtId="167" fontId="28" fillId="0" borderId="0" xfId="0" applyNumberFormat="1" applyFont="1"/>
    <xf numFmtId="179" fontId="28" fillId="0" borderId="0" xfId="0" applyNumberFormat="1" applyFont="1"/>
    <xf numFmtId="0" fontId="16" fillId="0" borderId="21" xfId="0" applyFont="1" applyBorder="1"/>
    <xf numFmtId="0" fontId="16" fillId="0" borderId="18" xfId="0" applyFont="1" applyBorder="1"/>
    <xf numFmtId="9" fontId="45" fillId="6" borderId="1" xfId="3" applyFont="1" applyFill="1" applyBorder="1" applyProtection="1"/>
    <xf numFmtId="9" fontId="45" fillId="43" borderId="1" xfId="3" applyFont="1" applyFill="1" applyBorder="1" applyProtection="1"/>
    <xf numFmtId="177" fontId="2" fillId="0" borderId="0" xfId="0" applyNumberFormat="1" applyFont="1" applyAlignment="1">
      <alignment vertical="center"/>
    </xf>
    <xf numFmtId="167" fontId="2" fillId="0" borderId="0" xfId="0" applyNumberFormat="1" applyFont="1"/>
    <xf numFmtId="0" fontId="53" fillId="0" borderId="0" xfId="0" applyFont="1"/>
    <xf numFmtId="0" fontId="20" fillId="0" borderId="0" xfId="0" applyFont="1"/>
    <xf numFmtId="0" fontId="2" fillId="6" borderId="24" xfId="0" applyFont="1" applyFill="1" applyBorder="1" applyAlignment="1">
      <alignment vertical="center" wrapText="1"/>
    </xf>
    <xf numFmtId="0" fontId="53" fillId="0" borderId="1" xfId="0" applyFont="1" applyBorder="1"/>
    <xf numFmtId="0" fontId="46" fillId="6" borderId="9" xfId="0" applyFont="1" applyFill="1" applyBorder="1" applyAlignment="1">
      <alignment vertical="center"/>
    </xf>
    <xf numFmtId="0" fontId="19" fillId="8" borderId="18" xfId="0" applyFont="1" applyFill="1" applyBorder="1" applyAlignment="1">
      <alignment horizontal="right" vertical="center"/>
    </xf>
    <xf numFmtId="0" fontId="6" fillId="46" borderId="0" xfId="0" applyFont="1" applyFill="1" applyAlignment="1">
      <alignment horizontal="center" vertical="center"/>
    </xf>
    <xf numFmtId="167" fontId="3" fillId="0" borderId="76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67" fontId="3" fillId="0" borderId="25" xfId="0" applyNumberFormat="1" applyFont="1" applyBorder="1" applyAlignment="1">
      <alignment horizontal="center" vertical="center"/>
    </xf>
    <xf numFmtId="0" fontId="11" fillId="47" borderId="0" xfId="0" applyFont="1" applyFill="1" applyAlignment="1">
      <alignment vertical="center"/>
    </xf>
    <xf numFmtId="0" fontId="12" fillId="47" borderId="0" xfId="0" applyFont="1" applyFill="1" applyAlignment="1">
      <alignment horizontal="center" vertical="center" wrapText="1"/>
    </xf>
    <xf numFmtId="169" fontId="10" fillId="47" borderId="0" xfId="0" applyNumberFormat="1" applyFont="1" applyFill="1" applyAlignment="1">
      <alignment vertical="center"/>
    </xf>
    <xf numFmtId="0" fontId="12" fillId="12" borderId="77" xfId="0" applyFont="1" applyFill="1" applyBorder="1" applyAlignment="1">
      <alignment horizontal="center" vertical="center" wrapText="1"/>
    </xf>
    <xf numFmtId="169" fontId="10" fillId="0" borderId="78" xfId="0" applyNumberFormat="1" applyFont="1" applyBorder="1" applyAlignment="1">
      <alignment vertical="center"/>
    </xf>
    <xf numFmtId="171" fontId="11" fillId="12" borderId="79" xfId="0" applyNumberFormat="1" applyFont="1" applyFill="1" applyBorder="1" applyAlignment="1">
      <alignment vertical="center"/>
    </xf>
    <xf numFmtId="171" fontId="11" fillId="12" borderId="80" xfId="0" applyNumberFormat="1" applyFont="1" applyFill="1" applyBorder="1" applyAlignment="1">
      <alignment vertical="center"/>
    </xf>
    <xf numFmtId="169" fontId="11" fillId="47" borderId="0" xfId="0" applyNumberFormat="1" applyFont="1" applyFill="1" applyAlignment="1">
      <alignment vertical="center"/>
    </xf>
    <xf numFmtId="0" fontId="10" fillId="47" borderId="0" xfId="0" applyFont="1" applyFill="1" applyAlignment="1">
      <alignment vertical="center"/>
    </xf>
    <xf numFmtId="0" fontId="11" fillId="47" borderId="0" xfId="0" applyFont="1" applyFill="1" applyAlignment="1">
      <alignment vertical="center" wrapText="1"/>
    </xf>
    <xf numFmtId="171" fontId="10" fillId="47" borderId="0" xfId="0" applyNumberFormat="1" applyFont="1" applyFill="1" applyAlignment="1">
      <alignment vertical="center"/>
    </xf>
    <xf numFmtId="169" fontId="11" fillId="14" borderId="81" xfId="0" applyNumberFormat="1" applyFont="1" applyFill="1" applyBorder="1" applyAlignment="1">
      <alignment vertical="center"/>
    </xf>
    <xf numFmtId="0" fontId="10" fillId="0" borderId="85" xfId="0" applyFont="1" applyBorder="1" applyAlignment="1">
      <alignment vertical="center"/>
    </xf>
    <xf numFmtId="0" fontId="10" fillId="0" borderId="90" xfId="0" applyFont="1" applyBorder="1" applyAlignment="1">
      <alignment vertical="center"/>
    </xf>
    <xf numFmtId="0" fontId="12" fillId="12" borderId="91" xfId="0" applyFont="1" applyFill="1" applyBorder="1" applyAlignment="1">
      <alignment horizontal="center" vertical="center" wrapText="1"/>
    </xf>
    <xf numFmtId="0" fontId="10" fillId="0" borderId="92" xfId="0" applyFont="1" applyBorder="1" applyAlignment="1">
      <alignment vertical="center"/>
    </xf>
    <xf numFmtId="0" fontId="10" fillId="0" borderId="85" xfId="0" applyFont="1" applyBorder="1" applyAlignment="1">
      <alignment vertical="center" wrapText="1"/>
    </xf>
    <xf numFmtId="0" fontId="10" fillId="0" borderId="93" xfId="0" applyFont="1" applyBorder="1" applyAlignment="1">
      <alignment vertical="center"/>
    </xf>
    <xf numFmtId="0" fontId="55" fillId="0" borderId="94" xfId="0" applyFont="1" applyBorder="1" applyAlignment="1">
      <alignment wrapText="1"/>
    </xf>
    <xf numFmtId="0" fontId="10" fillId="0" borderId="95" xfId="0" applyFont="1" applyBorder="1" applyAlignment="1">
      <alignment vertical="center"/>
    </xf>
    <xf numFmtId="0" fontId="10" fillId="0" borderId="96" xfId="0" applyFont="1" applyBorder="1" applyAlignment="1">
      <alignment vertical="center"/>
    </xf>
    <xf numFmtId="0" fontId="10" fillId="6" borderId="93" xfId="0" applyFont="1" applyFill="1" applyBorder="1" applyAlignment="1">
      <alignment vertical="center"/>
    </xf>
    <xf numFmtId="0" fontId="10" fillId="0" borderId="97" xfId="0" applyFont="1" applyBorder="1" applyAlignment="1">
      <alignment vertical="center"/>
    </xf>
    <xf numFmtId="0" fontId="10" fillId="0" borderId="98" xfId="0" applyFont="1" applyBorder="1" applyAlignment="1">
      <alignment vertical="center"/>
    </xf>
    <xf numFmtId="164" fontId="1" fillId="6" borderId="1" xfId="1" applyNumberFormat="1" applyFont="1" applyFill="1" applyBorder="1" applyAlignment="1">
      <alignment horizontal="center"/>
    </xf>
    <xf numFmtId="171" fontId="11" fillId="16" borderId="99" xfId="0" applyNumberFormat="1" applyFont="1" applyFill="1" applyBorder="1" applyAlignment="1">
      <alignment vertical="center"/>
    </xf>
    <xf numFmtId="169" fontId="10" fillId="0" borderId="57" xfId="0" applyNumberFormat="1" applyFont="1" applyBorder="1" applyAlignment="1">
      <alignment vertical="center"/>
    </xf>
    <xf numFmtId="0" fontId="55" fillId="0" borderId="100" xfId="0" applyFont="1" applyBorder="1" applyAlignment="1">
      <alignment wrapText="1"/>
    </xf>
    <xf numFmtId="169" fontId="10" fillId="0" borderId="82" xfId="0" applyNumberFormat="1" applyFont="1" applyBorder="1" applyAlignment="1">
      <alignment vertical="center"/>
    </xf>
    <xf numFmtId="169" fontId="10" fillId="0" borderId="83" xfId="0" applyNumberFormat="1" applyFont="1" applyBorder="1" applyAlignment="1">
      <alignment vertical="center"/>
    </xf>
    <xf numFmtId="169" fontId="11" fillId="48" borderId="101" xfId="0" applyNumberFormat="1" applyFont="1" applyFill="1" applyBorder="1" applyAlignment="1">
      <alignment vertical="center"/>
    </xf>
    <xf numFmtId="0" fontId="12" fillId="17" borderId="99" xfId="0" applyFont="1" applyFill="1" applyBorder="1" applyAlignment="1">
      <alignment horizontal="center" vertical="center" wrapText="1"/>
    </xf>
    <xf numFmtId="4" fontId="24" fillId="23" borderId="62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vertical="center"/>
    </xf>
    <xf numFmtId="0" fontId="5" fillId="21" borderId="52" xfId="0" applyFont="1" applyFill="1" applyBorder="1" applyAlignment="1">
      <alignment horizontal="center" vertical="center" wrapText="1"/>
    </xf>
    <xf numFmtId="184" fontId="13" fillId="0" borderId="0" xfId="0" applyNumberFormat="1" applyFont="1"/>
    <xf numFmtId="0" fontId="19" fillId="9" borderId="99" xfId="0" applyFont="1" applyFill="1" applyBorder="1" applyAlignment="1">
      <alignment horizontal="center" vertical="center" wrapText="1"/>
    </xf>
    <xf numFmtId="166" fontId="8" fillId="50" borderId="55" xfId="0" applyNumberFormat="1" applyFont="1" applyFill="1" applyBorder="1" applyAlignment="1">
      <alignment horizontal="center" vertical="center"/>
    </xf>
    <xf numFmtId="0" fontId="31" fillId="50" borderId="34" xfId="0" applyFont="1" applyFill="1" applyBorder="1" applyAlignment="1">
      <alignment horizontal="center" vertical="center" wrapText="1"/>
    </xf>
    <xf numFmtId="0" fontId="19" fillId="50" borderId="36" xfId="0" applyFont="1" applyFill="1" applyBorder="1" applyAlignment="1">
      <alignment horizontal="center" vertical="center" wrapText="1"/>
    </xf>
    <xf numFmtId="0" fontId="19" fillId="50" borderId="38" xfId="0" applyFont="1" applyFill="1" applyBorder="1" applyAlignment="1">
      <alignment horizontal="center" vertical="center" wrapText="1"/>
    </xf>
    <xf numFmtId="166" fontId="8" fillId="50" borderId="28" xfId="1" applyFont="1" applyFill="1" applyBorder="1" applyAlignment="1">
      <alignment horizontal="center" vertical="center"/>
    </xf>
    <xf numFmtId="166" fontId="8" fillId="50" borderId="31" xfId="1" applyFont="1" applyFill="1" applyBorder="1" applyAlignment="1">
      <alignment horizontal="center" vertical="center"/>
    </xf>
    <xf numFmtId="166" fontId="8" fillId="50" borderId="61" xfId="1" applyFont="1" applyFill="1" applyBorder="1" applyAlignment="1">
      <alignment horizontal="center" vertical="center"/>
    </xf>
    <xf numFmtId="166" fontId="8" fillId="50" borderId="1" xfId="1" applyFont="1" applyFill="1" applyBorder="1" applyAlignment="1">
      <alignment horizontal="center" vertical="center"/>
    </xf>
    <xf numFmtId="166" fontId="8" fillId="50" borderId="67" xfId="1" applyFont="1" applyFill="1" applyBorder="1" applyAlignment="1">
      <alignment horizontal="center" vertical="center"/>
    </xf>
    <xf numFmtId="166" fontId="8" fillId="50" borderId="4" xfId="0" applyNumberFormat="1" applyFont="1" applyFill="1" applyBorder="1" applyAlignment="1">
      <alignment horizontal="center" vertical="center"/>
    </xf>
    <xf numFmtId="166" fontId="8" fillId="52" borderId="53" xfId="0" applyNumberFormat="1" applyFont="1" applyFill="1" applyBorder="1" applyAlignment="1">
      <alignment horizontal="center" vertical="center"/>
    </xf>
    <xf numFmtId="166" fontId="8" fillId="52" borderId="68" xfId="0" applyNumberFormat="1" applyFont="1" applyFill="1" applyBorder="1" applyAlignment="1">
      <alignment horizontal="center" vertical="center"/>
    </xf>
    <xf numFmtId="166" fontId="8" fillId="52" borderId="55" xfId="0" applyNumberFormat="1" applyFont="1" applyFill="1" applyBorder="1" applyAlignment="1">
      <alignment vertical="center"/>
    </xf>
    <xf numFmtId="2" fontId="51" fillId="32" borderId="36" xfId="0" applyNumberFormat="1" applyFont="1" applyFill="1" applyBorder="1" applyAlignment="1">
      <alignment vertical="center"/>
    </xf>
    <xf numFmtId="166" fontId="8" fillId="15" borderId="18" xfId="0" applyNumberFormat="1" applyFont="1" applyFill="1" applyBorder="1" applyAlignment="1">
      <alignment horizontal="center" vertical="center"/>
    </xf>
    <xf numFmtId="166" fontId="8" fillId="15" borderId="59" xfId="0" applyNumberFormat="1" applyFont="1" applyFill="1" applyBorder="1" applyAlignment="1">
      <alignment horizontal="center" vertical="center"/>
    </xf>
    <xf numFmtId="166" fontId="8" fillId="2" borderId="60" xfId="0" applyNumberFormat="1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166" fontId="8" fillId="15" borderId="6" xfId="0" applyNumberFormat="1" applyFont="1" applyFill="1" applyBorder="1" applyAlignment="1">
      <alignment horizontal="center" vertical="center"/>
    </xf>
    <xf numFmtId="166" fontId="8" fillId="15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7" fontId="8" fillId="29" borderId="4" xfId="0" applyNumberFormat="1" applyFont="1" applyFill="1" applyBorder="1" applyAlignment="1" applyProtection="1">
      <alignment horizontal="center" vertical="center"/>
      <protection locked="0"/>
    </xf>
    <xf numFmtId="166" fontId="8" fillId="29" borderId="25" xfId="0" applyNumberFormat="1" applyFont="1" applyFill="1" applyBorder="1" applyAlignment="1">
      <alignment horizontal="center" vertical="center"/>
    </xf>
    <xf numFmtId="166" fontId="8" fillId="15" borderId="24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9" fillId="49" borderId="99" xfId="0" applyFont="1" applyFill="1" applyBorder="1" applyAlignment="1">
      <alignment horizontal="center" vertical="center" wrapText="1"/>
    </xf>
    <xf numFmtId="0" fontId="8" fillId="49" borderId="86" xfId="0" applyFont="1" applyFill="1" applyBorder="1" applyAlignment="1">
      <alignment horizontal="center" vertical="center" wrapText="1"/>
    </xf>
    <xf numFmtId="0" fontId="19" fillId="49" borderId="108" xfId="0" applyFont="1" applyFill="1" applyBorder="1" applyAlignment="1">
      <alignment horizontal="center" vertical="center" wrapText="1"/>
    </xf>
    <xf numFmtId="166" fontId="8" fillId="54" borderId="8" xfId="0" applyNumberFormat="1" applyFont="1" applyFill="1" applyBorder="1" applyAlignment="1">
      <alignment horizontal="center" vertical="center"/>
    </xf>
    <xf numFmtId="166" fontId="8" fillId="54" borderId="3" xfId="0" applyNumberFormat="1" applyFont="1" applyFill="1" applyBorder="1" applyAlignment="1">
      <alignment vertical="center"/>
    </xf>
    <xf numFmtId="166" fontId="8" fillId="54" borderId="5" xfId="0" applyNumberFormat="1" applyFont="1" applyFill="1" applyBorder="1" applyAlignment="1">
      <alignment vertical="center"/>
    </xf>
    <xf numFmtId="167" fontId="21" fillId="54" borderId="0" xfId="0" applyNumberFormat="1" applyFont="1" applyFill="1"/>
    <xf numFmtId="166" fontId="8" fillId="54" borderId="1" xfId="0" applyNumberFormat="1" applyFont="1" applyFill="1" applyBorder="1" applyAlignment="1">
      <alignment horizontal="center" vertical="center"/>
    </xf>
    <xf numFmtId="166" fontId="8" fillId="54" borderId="4" xfId="0" applyNumberFormat="1" applyFont="1" applyFill="1" applyBorder="1" applyAlignment="1">
      <alignment horizontal="center" vertical="center"/>
    </xf>
    <xf numFmtId="166" fontId="8" fillId="54" borderId="2" xfId="0" applyNumberFormat="1" applyFont="1" applyFill="1" applyBorder="1" applyAlignment="1">
      <alignment horizontal="center" vertical="center"/>
    </xf>
    <xf numFmtId="166" fontId="8" fillId="56" borderId="103" xfId="0" applyNumberFormat="1" applyFont="1" applyFill="1" applyBorder="1" applyAlignment="1">
      <alignment vertical="center"/>
    </xf>
    <xf numFmtId="166" fontId="8" fillId="56" borderId="104" xfId="0" applyNumberFormat="1" applyFont="1" applyFill="1" applyBorder="1" applyAlignment="1">
      <alignment vertical="center"/>
    </xf>
    <xf numFmtId="166" fontId="8" fillId="56" borderId="105" xfId="0" applyNumberFormat="1" applyFont="1" applyFill="1" applyBorder="1" applyAlignment="1">
      <alignment vertical="center"/>
    </xf>
    <xf numFmtId="166" fontId="8" fillId="56" borderId="106" xfId="0" applyNumberFormat="1" applyFont="1" applyFill="1" applyBorder="1" applyAlignment="1">
      <alignment vertical="center"/>
    </xf>
    <xf numFmtId="166" fontId="5" fillId="56" borderId="105" xfId="0" applyNumberFormat="1" applyFont="1" applyFill="1" applyBorder="1" applyAlignment="1">
      <alignment vertical="center"/>
    </xf>
    <xf numFmtId="166" fontId="8" fillId="56" borderId="104" xfId="0" applyNumberFormat="1" applyFont="1" applyFill="1" applyBorder="1" applyAlignment="1">
      <alignment horizontal="center" vertical="center"/>
    </xf>
    <xf numFmtId="166" fontId="8" fillId="56" borderId="106" xfId="0" applyNumberFormat="1" applyFont="1" applyFill="1" applyBorder="1" applyAlignment="1">
      <alignment horizontal="center" vertical="center"/>
    </xf>
    <xf numFmtId="166" fontId="8" fillId="52" borderId="6" xfId="0" applyNumberFormat="1" applyFont="1" applyFill="1" applyBorder="1" applyAlignment="1">
      <alignment horizontal="center" vertical="center"/>
    </xf>
    <xf numFmtId="166" fontId="8" fillId="52" borderId="10" xfId="0" applyNumberFormat="1" applyFont="1" applyFill="1" applyBorder="1" applyAlignment="1">
      <alignment horizontal="center" vertical="center"/>
    </xf>
    <xf numFmtId="0" fontId="32" fillId="30" borderId="99" xfId="0" applyFont="1" applyFill="1" applyBorder="1" applyAlignment="1">
      <alignment horizontal="center" vertical="center" wrapText="1"/>
    </xf>
    <xf numFmtId="0" fontId="5" fillId="55" borderId="34" xfId="0" applyFont="1" applyFill="1" applyBorder="1" applyAlignment="1">
      <alignment horizontal="center" vertical="center" wrapText="1"/>
    </xf>
    <xf numFmtId="2" fontId="51" fillId="13" borderId="38" xfId="0" applyNumberFormat="1" applyFont="1" applyFill="1" applyBorder="1" applyAlignment="1">
      <alignment horizontal="center" vertical="center"/>
    </xf>
    <xf numFmtId="0" fontId="0" fillId="58" borderId="0" xfId="0" applyFill="1"/>
    <xf numFmtId="0" fontId="12" fillId="58" borderId="107" xfId="0" applyFont="1" applyFill="1" applyBorder="1" applyAlignment="1">
      <alignment horizontal="center"/>
    </xf>
    <xf numFmtId="4" fontId="24" fillId="23" borderId="64" xfId="0" applyNumberFormat="1" applyFont="1" applyFill="1" applyBorder="1" applyAlignment="1">
      <alignment horizontal="center" vertical="center"/>
    </xf>
    <xf numFmtId="0" fontId="5" fillId="55" borderId="99" xfId="0" applyFont="1" applyFill="1" applyBorder="1" applyAlignment="1">
      <alignment horizontal="center" vertical="center" wrapText="1"/>
    </xf>
    <xf numFmtId="0" fontId="19" fillId="51" borderId="87" xfId="0" applyFont="1" applyFill="1" applyBorder="1" applyAlignment="1">
      <alignment horizontal="center" vertical="center" wrapText="1"/>
    </xf>
    <xf numFmtId="0" fontId="19" fillId="9" borderId="109" xfId="0" applyFont="1" applyFill="1" applyBorder="1" applyAlignment="1">
      <alignment horizontal="center" vertical="center" wrapText="1"/>
    </xf>
    <xf numFmtId="170" fontId="5" fillId="22" borderId="12" xfId="2" applyFont="1" applyFill="1" applyBorder="1" applyAlignment="1" applyProtection="1">
      <alignment horizontal="center" vertical="center"/>
    </xf>
    <xf numFmtId="0" fontId="12" fillId="59" borderId="107" xfId="0" applyFont="1" applyFill="1" applyBorder="1" applyAlignment="1">
      <alignment horizontal="center"/>
    </xf>
    <xf numFmtId="166" fontId="8" fillId="59" borderId="3" xfId="0" applyNumberFormat="1" applyFont="1" applyFill="1" applyBorder="1" applyAlignment="1">
      <alignment horizontal="center" vertical="center"/>
    </xf>
    <xf numFmtId="170" fontId="5" fillId="59" borderId="12" xfId="2" applyFont="1" applyFill="1" applyBorder="1" applyAlignment="1" applyProtection="1">
      <alignment horizontal="center" vertical="center"/>
    </xf>
    <xf numFmtId="0" fontId="5" fillId="59" borderId="88" xfId="0" applyFont="1" applyFill="1" applyBorder="1" applyAlignment="1">
      <alignment horizontal="center" vertical="center" wrapText="1"/>
    </xf>
    <xf numFmtId="166" fontId="8" fillId="59" borderId="3" xfId="0" applyNumberFormat="1" applyFont="1" applyFill="1" applyBorder="1" applyAlignment="1">
      <alignment vertical="center"/>
    </xf>
    <xf numFmtId="170" fontId="5" fillId="59" borderId="11" xfId="2" applyFont="1" applyFill="1" applyBorder="1" applyAlignment="1" applyProtection="1">
      <alignment horizontal="center" vertical="center"/>
    </xf>
    <xf numFmtId="0" fontId="5" fillId="57" borderId="99" xfId="0" applyFont="1" applyFill="1" applyBorder="1" applyAlignment="1">
      <alignment vertical="center"/>
    </xf>
    <xf numFmtId="166" fontId="8" fillId="56" borderId="110" xfId="0" applyNumberFormat="1" applyFont="1" applyFill="1" applyBorder="1" applyAlignment="1">
      <alignment vertical="center"/>
    </xf>
    <xf numFmtId="2" fontId="51" fillId="60" borderId="56" xfId="0" applyNumberFormat="1" applyFont="1" applyFill="1" applyBorder="1" applyAlignment="1">
      <alignment horizontal="center"/>
    </xf>
    <xf numFmtId="2" fontId="51" fillId="60" borderId="11" xfId="0" applyNumberFormat="1" applyFont="1" applyFill="1" applyBorder="1" applyAlignment="1">
      <alignment horizontal="center"/>
    </xf>
    <xf numFmtId="2" fontId="51" fillId="60" borderId="37" xfId="0" applyNumberFormat="1" applyFont="1" applyFill="1" applyBorder="1" applyAlignment="1">
      <alignment horizontal="center"/>
    </xf>
    <xf numFmtId="184" fontId="51" fillId="60" borderId="56" xfId="0" applyNumberFormat="1" applyFont="1" applyFill="1" applyBorder="1" applyAlignment="1">
      <alignment vertical="center"/>
    </xf>
    <xf numFmtId="2" fontId="51" fillId="60" borderId="34" xfId="0" applyNumberFormat="1" applyFont="1" applyFill="1" applyBorder="1" applyAlignment="1">
      <alignment vertical="center"/>
    </xf>
    <xf numFmtId="2" fontId="51" fillId="60" borderId="11" xfId="0" applyNumberFormat="1" applyFont="1" applyFill="1" applyBorder="1" applyAlignment="1">
      <alignment vertical="center"/>
    </xf>
    <xf numFmtId="0" fontId="5" fillId="45" borderId="11" xfId="0" applyFont="1" applyFill="1" applyBorder="1" applyAlignment="1">
      <alignment vertical="center"/>
    </xf>
    <xf numFmtId="166" fontId="8" fillId="52" borderId="7" xfId="0" applyNumberFormat="1" applyFont="1" applyFill="1" applyBorder="1" applyAlignment="1">
      <alignment horizontal="center" vertical="center"/>
    </xf>
    <xf numFmtId="0" fontId="19" fillId="53" borderId="56" xfId="0" applyFont="1" applyFill="1" applyBorder="1" applyAlignment="1">
      <alignment horizontal="center" vertical="center" wrapText="1"/>
    </xf>
    <xf numFmtId="0" fontId="5" fillId="55" borderId="37" xfId="0" applyFont="1" applyFill="1" applyBorder="1" applyAlignment="1">
      <alignment horizontal="center" vertical="center" wrapText="1"/>
    </xf>
    <xf numFmtId="2" fontId="51" fillId="13" borderId="99" xfId="0" applyNumberFormat="1" applyFont="1" applyFill="1" applyBorder="1" applyAlignment="1">
      <alignment horizontal="center" vertical="center"/>
    </xf>
    <xf numFmtId="166" fontId="5" fillId="57" borderId="87" xfId="0" applyNumberFormat="1" applyFont="1" applyFill="1" applyBorder="1" applyAlignment="1">
      <alignment vertical="center"/>
    </xf>
    <xf numFmtId="0" fontId="19" fillId="53" borderId="99" xfId="0" applyFont="1" applyFill="1" applyBorder="1" applyAlignment="1">
      <alignment horizontal="center" vertical="center" wrapText="1"/>
    </xf>
    <xf numFmtId="0" fontId="32" fillId="30" borderId="87" xfId="0" applyFont="1" applyFill="1" applyBorder="1" applyAlignment="1">
      <alignment horizontal="center" vertical="center" wrapText="1"/>
    </xf>
    <xf numFmtId="2" fontId="33" fillId="60" borderId="34" xfId="0" applyNumberFormat="1" applyFont="1" applyFill="1" applyBorder="1" applyAlignment="1">
      <alignment horizontal="center"/>
    </xf>
    <xf numFmtId="2" fontId="33" fillId="60" borderId="36" xfId="0" applyNumberFormat="1" applyFont="1" applyFill="1" applyBorder="1" applyAlignment="1">
      <alignment horizontal="center"/>
    </xf>
    <xf numFmtId="166" fontId="16" fillId="61" borderId="67" xfId="1" applyFont="1" applyFill="1" applyBorder="1" applyAlignment="1">
      <alignment horizontal="center" vertical="center"/>
    </xf>
    <xf numFmtId="166" fontId="8" fillId="61" borderId="2" xfId="0" applyNumberFormat="1" applyFont="1" applyFill="1" applyBorder="1" applyAlignment="1">
      <alignment horizontal="center" vertical="center"/>
    </xf>
    <xf numFmtId="0" fontId="8" fillId="61" borderId="2" xfId="0" applyFont="1" applyFill="1" applyBorder="1" applyAlignment="1" applyProtection="1">
      <alignment horizontal="center" vertical="center"/>
      <protection locked="0"/>
    </xf>
    <xf numFmtId="166" fontId="16" fillId="50" borderId="28" xfId="1" applyFont="1" applyFill="1" applyBorder="1" applyAlignment="1">
      <alignment horizontal="center" vertical="center"/>
    </xf>
    <xf numFmtId="166" fontId="8" fillId="50" borderId="8" xfId="0" applyNumberFormat="1" applyFont="1" applyFill="1" applyBorder="1" applyAlignment="1">
      <alignment horizontal="center" vertical="center"/>
    </xf>
    <xf numFmtId="0" fontId="5" fillId="50" borderId="8" xfId="0" applyFont="1" applyFill="1" applyBorder="1" applyAlignment="1" applyProtection="1">
      <alignment horizontal="center" vertical="center"/>
      <protection locked="0"/>
    </xf>
    <xf numFmtId="166" fontId="16" fillId="50" borderId="61" xfId="1" applyFont="1" applyFill="1" applyBorder="1" applyAlignment="1">
      <alignment horizontal="center" vertical="center"/>
    </xf>
    <xf numFmtId="166" fontId="8" fillId="50" borderId="1" xfId="0" applyNumberFormat="1" applyFont="1" applyFill="1" applyBorder="1" applyAlignment="1">
      <alignment horizontal="center" vertical="center"/>
    </xf>
    <xf numFmtId="0" fontId="8" fillId="50" borderId="1" xfId="0" applyFont="1" applyFill="1" applyBorder="1" applyAlignment="1" applyProtection="1">
      <alignment horizontal="center" vertical="center"/>
      <protection locked="0"/>
    </xf>
    <xf numFmtId="0" fontId="5" fillId="55" borderId="16" xfId="0" applyFont="1" applyFill="1" applyBorder="1" applyAlignment="1">
      <alignment horizontal="center" vertical="center" wrapText="1"/>
    </xf>
    <xf numFmtId="0" fontId="5" fillId="55" borderId="52" xfId="0" applyFont="1" applyFill="1" applyBorder="1" applyAlignment="1">
      <alignment horizontal="center" vertical="center" wrapText="1"/>
    </xf>
    <xf numFmtId="2" fontId="51" fillId="13" borderId="88" xfId="0" applyNumberFormat="1" applyFont="1" applyFill="1" applyBorder="1" applyAlignment="1">
      <alignment horizontal="center" vertical="center"/>
    </xf>
    <xf numFmtId="2" fontId="51" fillId="32" borderId="99" xfId="0" applyNumberFormat="1" applyFont="1" applyFill="1" applyBorder="1" applyAlignment="1">
      <alignment vertical="center"/>
    </xf>
    <xf numFmtId="2" fontId="51" fillId="32" borderId="56" xfId="0" applyNumberFormat="1" applyFont="1" applyFill="1" applyBorder="1" applyAlignment="1">
      <alignment vertical="center"/>
    </xf>
    <xf numFmtId="2" fontId="33" fillId="60" borderId="99" xfId="0" applyNumberFormat="1" applyFont="1" applyFill="1" applyBorder="1" applyAlignment="1">
      <alignment horizontal="center"/>
    </xf>
    <xf numFmtId="2" fontId="33" fillId="60" borderId="38" xfId="0" applyNumberFormat="1" applyFont="1" applyFill="1" applyBorder="1" applyAlignment="1">
      <alignment horizontal="center"/>
    </xf>
    <xf numFmtId="172" fontId="33" fillId="60" borderId="65" xfId="0" applyNumberFormat="1" applyFont="1" applyFill="1" applyBorder="1" applyAlignment="1">
      <alignment horizontal="center"/>
    </xf>
    <xf numFmtId="166" fontId="5" fillId="57" borderId="99" xfId="0" applyNumberFormat="1" applyFont="1" applyFill="1" applyBorder="1" applyAlignment="1">
      <alignment vertical="center"/>
    </xf>
    <xf numFmtId="2" fontId="8" fillId="52" borderId="8" xfId="0" applyNumberFormat="1" applyFont="1" applyFill="1" applyBorder="1" applyAlignment="1">
      <alignment horizontal="center" vertical="center"/>
    </xf>
    <xf numFmtId="172" fontId="8" fillId="52" borderId="1" xfId="0" applyNumberFormat="1" applyFont="1" applyFill="1" applyBorder="1" applyAlignment="1">
      <alignment horizontal="center" vertical="center"/>
    </xf>
    <xf numFmtId="172" fontId="8" fillId="52" borderId="2" xfId="0" applyNumberFormat="1" applyFont="1" applyFill="1" applyBorder="1" applyAlignment="1">
      <alignment horizontal="center" vertical="center"/>
    </xf>
    <xf numFmtId="0" fontId="12" fillId="58" borderId="88" xfId="0" applyFont="1" applyFill="1" applyBorder="1"/>
    <xf numFmtId="0" fontId="5" fillId="21" borderId="111" xfId="0" applyFont="1" applyFill="1" applyBorder="1" applyAlignment="1">
      <alignment horizontal="center" vertical="center" wrapText="1"/>
    </xf>
    <xf numFmtId="166" fontId="8" fillId="54" borderId="47" xfId="0" applyNumberFormat="1" applyFont="1" applyFill="1" applyBorder="1" applyAlignment="1">
      <alignment vertical="center"/>
    </xf>
    <xf numFmtId="166" fontId="8" fillId="54" borderId="5" xfId="0" applyNumberFormat="1" applyFont="1" applyFill="1" applyBorder="1" applyAlignment="1">
      <alignment horizontal="center" vertical="center"/>
    </xf>
    <xf numFmtId="166" fontId="8" fillId="2" borderId="6" xfId="0" applyNumberFormat="1" applyFont="1" applyFill="1" applyBorder="1" applyAlignment="1">
      <alignment vertical="center"/>
    </xf>
    <xf numFmtId="170" fontId="14" fillId="0" borderId="0" xfId="0" applyNumberFormat="1" applyFont="1"/>
    <xf numFmtId="184" fontId="10" fillId="0" borderId="0" xfId="0" applyNumberFormat="1" applyFont="1" applyAlignment="1">
      <alignment vertical="center"/>
    </xf>
    <xf numFmtId="164" fontId="1" fillId="38" borderId="4" xfId="1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vertical="center"/>
    </xf>
    <xf numFmtId="164" fontId="1" fillId="38" borderId="8" xfId="1" applyNumberFormat="1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37" borderId="57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19" fillId="8" borderId="9" xfId="0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39" borderId="9" xfId="0" applyFont="1" applyFill="1" applyBorder="1" applyAlignment="1">
      <alignment vertical="center"/>
    </xf>
    <xf numFmtId="0" fontId="19" fillId="2" borderId="60" xfId="0" applyFont="1" applyFill="1" applyBorder="1" applyAlignment="1">
      <alignment vertical="center"/>
    </xf>
    <xf numFmtId="0" fontId="1" fillId="40" borderId="9" xfId="0" applyFont="1" applyFill="1" applyBorder="1" applyAlignment="1">
      <alignment horizontal="right" vertical="center" wrapText="1"/>
    </xf>
    <xf numFmtId="0" fontId="39" fillId="0" borderId="9" xfId="0" applyFont="1" applyBorder="1" applyAlignment="1">
      <alignment wrapText="1"/>
    </xf>
    <xf numFmtId="0" fontId="2" fillId="6" borderId="0" xfId="0" applyFont="1" applyFill="1" applyAlignment="1">
      <alignment horizontal="center" vertical="center"/>
    </xf>
    <xf numFmtId="0" fontId="19" fillId="2" borderId="76" xfId="0" applyFont="1" applyFill="1" applyBorder="1" applyAlignment="1">
      <alignment vertical="center"/>
    </xf>
    <xf numFmtId="10" fontId="16" fillId="0" borderId="9" xfId="0" applyNumberFormat="1" applyFont="1" applyBorder="1" applyAlignment="1">
      <alignment horizontal="center" vertical="center"/>
    </xf>
    <xf numFmtId="10" fontId="2" fillId="6" borderId="9" xfId="0" applyNumberFormat="1" applyFont="1" applyFill="1" applyBorder="1" applyAlignment="1">
      <alignment vertical="center" wrapText="1"/>
    </xf>
    <xf numFmtId="0" fontId="10" fillId="47" borderId="1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0" borderId="21" xfId="0" applyFont="1" applyFill="1" applyBorder="1" applyAlignment="1">
      <alignment horizontal="right" vertical="center" wrapText="1"/>
    </xf>
    <xf numFmtId="0" fontId="11" fillId="62" borderId="52" xfId="0" applyFont="1" applyFill="1" applyBorder="1" applyAlignment="1">
      <alignment vertical="center"/>
    </xf>
    <xf numFmtId="0" fontId="11" fillId="62" borderId="121" xfId="0" applyFont="1" applyFill="1" applyBorder="1" applyAlignment="1">
      <alignment vertical="center"/>
    </xf>
    <xf numFmtId="169" fontId="11" fillId="62" borderId="122" xfId="0" applyNumberFormat="1" applyFont="1" applyFill="1" applyBorder="1" applyAlignment="1">
      <alignment horizontal="center" vertical="center"/>
    </xf>
    <xf numFmtId="169" fontId="11" fillId="62" borderId="88" xfId="0" applyNumberFormat="1" applyFont="1" applyFill="1" applyBorder="1" applyAlignment="1">
      <alignment horizontal="center" vertical="center"/>
    </xf>
    <xf numFmtId="169" fontId="11" fillId="62" borderId="99" xfId="0" applyNumberFormat="1" applyFont="1" applyFill="1" applyBorder="1" applyAlignment="1">
      <alignment horizontal="center" vertical="center"/>
    </xf>
    <xf numFmtId="0" fontId="11" fillId="49" borderId="86" xfId="0" applyFont="1" applyFill="1" applyBorder="1" applyAlignment="1">
      <alignment vertical="center"/>
    </xf>
    <xf numFmtId="0" fontId="11" fillId="49" borderId="87" xfId="0" applyFont="1" applyFill="1" applyBorder="1" applyAlignment="1">
      <alignment vertical="center"/>
    </xf>
    <xf numFmtId="0" fontId="11" fillId="49" borderId="122" xfId="0" applyFont="1" applyFill="1" applyBorder="1" applyAlignment="1">
      <alignment horizontal="center" vertical="center"/>
    </xf>
    <xf numFmtId="0" fontId="11" fillId="49" borderId="90" xfId="0" applyFont="1" applyFill="1" applyBorder="1" applyAlignment="1">
      <alignment horizontal="center" vertical="center"/>
    </xf>
    <xf numFmtId="43" fontId="0" fillId="0" borderId="0" xfId="0" applyNumberFormat="1"/>
    <xf numFmtId="43" fontId="14" fillId="0" borderId="0" xfId="0" applyNumberFormat="1" applyFont="1"/>
    <xf numFmtId="0" fontId="10" fillId="0" borderId="4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0" xfId="0" applyFont="1"/>
    <xf numFmtId="2" fontId="58" fillId="33" borderId="66" xfId="0" applyNumberFormat="1" applyFont="1" applyFill="1" applyBorder="1" applyAlignment="1">
      <alignment horizontal="center"/>
    </xf>
    <xf numFmtId="2" fontId="58" fillId="31" borderId="65" xfId="0" applyNumberFormat="1" applyFont="1" applyFill="1" applyBorder="1" applyAlignment="1">
      <alignment horizontal="center"/>
    </xf>
    <xf numFmtId="2" fontId="58" fillId="33" borderId="11" xfId="0" applyNumberFormat="1" applyFont="1" applyFill="1" applyBorder="1" applyAlignment="1">
      <alignment horizontal="center"/>
    </xf>
    <xf numFmtId="2" fontId="58" fillId="33" borderId="38" xfId="0" applyNumberFormat="1" applyFont="1" applyFill="1" applyBorder="1" applyAlignment="1">
      <alignment horizontal="center"/>
    </xf>
    <xf numFmtId="2" fontId="58" fillId="33" borderId="36" xfId="0" applyNumberFormat="1" applyFont="1" applyFill="1" applyBorder="1" applyAlignment="1">
      <alignment horizontal="center"/>
    </xf>
    <xf numFmtId="166" fontId="56" fillId="0" borderId="68" xfId="0" applyNumberFormat="1" applyFont="1" applyBorder="1" applyAlignment="1">
      <alignment horizontal="center" vertical="center"/>
    </xf>
    <xf numFmtId="166" fontId="56" fillId="31" borderId="58" xfId="0" applyNumberFormat="1" applyFont="1" applyFill="1" applyBorder="1" applyAlignment="1">
      <alignment horizontal="center" vertical="center"/>
    </xf>
    <xf numFmtId="166" fontId="56" fillId="0" borderId="47" xfId="0" applyNumberFormat="1" applyFont="1" applyBorder="1" applyAlignment="1">
      <alignment horizontal="center" vertical="center"/>
    </xf>
    <xf numFmtId="166" fontId="56" fillId="0" borderId="2" xfId="0" applyNumberFormat="1" applyFont="1" applyBorder="1" applyAlignment="1">
      <alignment horizontal="center" vertical="center"/>
    </xf>
    <xf numFmtId="166" fontId="59" fillId="28" borderId="48" xfId="1" applyFont="1" applyFill="1" applyBorder="1" applyAlignment="1">
      <alignment horizontal="center" vertical="center"/>
    </xf>
    <xf numFmtId="166" fontId="56" fillId="0" borderId="53" xfId="0" applyNumberFormat="1" applyFont="1" applyBorder="1" applyAlignment="1">
      <alignment horizontal="center" vertical="center"/>
    </xf>
    <xf numFmtId="166" fontId="56" fillId="31" borderId="9" xfId="0" applyNumberFormat="1" applyFont="1" applyFill="1" applyBorder="1" applyAlignment="1">
      <alignment horizontal="center" vertical="center"/>
    </xf>
    <xf numFmtId="166" fontId="59" fillId="28" borderId="30" xfId="1" applyFont="1" applyFill="1" applyBorder="1" applyAlignment="1">
      <alignment horizontal="center" vertical="center"/>
    </xf>
    <xf numFmtId="166" fontId="56" fillId="0" borderId="5" xfId="0" applyNumberFormat="1" applyFont="1" applyBorder="1" applyAlignment="1">
      <alignment horizontal="center" vertical="center"/>
    </xf>
    <xf numFmtId="166" fontId="56" fillId="0" borderId="1" xfId="0" applyNumberFormat="1" applyFont="1" applyBorder="1" applyAlignment="1">
      <alignment horizontal="center" vertical="center"/>
    </xf>
    <xf numFmtId="166" fontId="56" fillId="0" borderId="55" xfId="0" applyNumberFormat="1" applyFont="1" applyBorder="1" applyAlignment="1">
      <alignment horizontal="center" vertical="center"/>
    </xf>
    <xf numFmtId="166" fontId="56" fillId="31" borderId="57" xfId="0" applyNumberFormat="1" applyFont="1" applyFill="1" applyBorder="1" applyAlignment="1">
      <alignment horizontal="center" vertical="center"/>
    </xf>
    <xf numFmtId="166" fontId="59" fillId="28" borderId="19" xfId="1" applyFont="1" applyFill="1" applyBorder="1" applyAlignment="1">
      <alignment horizontal="center" vertical="center"/>
    </xf>
    <xf numFmtId="166" fontId="56" fillId="0" borderId="3" xfId="0" applyNumberFormat="1" applyFont="1" applyBorder="1" applyAlignment="1">
      <alignment horizontal="center" vertical="center"/>
    </xf>
    <xf numFmtId="166" fontId="56" fillId="0" borderId="8" xfId="0" applyNumberFormat="1" applyFont="1" applyBorder="1" applyAlignment="1">
      <alignment horizontal="center" vertical="center"/>
    </xf>
    <xf numFmtId="0" fontId="60" fillId="0" borderId="66" xfId="0" applyFont="1" applyBorder="1" applyAlignment="1">
      <alignment horizontal="center" vertical="center" wrapText="1"/>
    </xf>
    <xf numFmtId="0" fontId="60" fillId="31" borderId="65" xfId="0" applyFont="1" applyFill="1" applyBorder="1" applyAlignment="1">
      <alignment horizontal="center" vertical="center" wrapText="1"/>
    </xf>
    <xf numFmtId="0" fontId="61" fillId="28" borderId="11" xfId="0" applyFont="1" applyFill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12" fillId="18" borderId="37" xfId="0" applyFont="1" applyFill="1" applyBorder="1" applyAlignment="1">
      <alignment horizontal="center" vertical="center" wrapText="1"/>
    </xf>
    <xf numFmtId="171" fontId="10" fillId="0" borderId="120" xfId="0" applyNumberFormat="1" applyFont="1" applyBorder="1" applyAlignment="1">
      <alignment horizontal="center" vertical="center"/>
    </xf>
    <xf numFmtId="171" fontId="10" fillId="0" borderId="22" xfId="0" applyNumberFormat="1" applyFont="1" applyBorder="1" applyAlignment="1">
      <alignment horizontal="center" vertical="center"/>
    </xf>
    <xf numFmtId="171" fontId="10" fillId="0" borderId="119" xfId="0" applyNumberFormat="1" applyFont="1" applyBorder="1" applyAlignment="1">
      <alignment horizontal="center" vertical="center"/>
    </xf>
    <xf numFmtId="0" fontId="12" fillId="17" borderId="86" xfId="0" applyFont="1" applyFill="1" applyBorder="1" applyAlignment="1">
      <alignment horizontal="center" vertical="center" wrapText="1"/>
    </xf>
    <xf numFmtId="0" fontId="10" fillId="0" borderId="117" xfId="0" applyFont="1" applyBorder="1" applyAlignment="1">
      <alignment vertical="center"/>
    </xf>
    <xf numFmtId="0" fontId="10" fillId="0" borderId="11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2" fillId="12" borderId="99" xfId="0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0" fillId="0" borderId="124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2" fillId="14" borderId="125" xfId="0" applyFont="1" applyFill="1" applyBorder="1" applyAlignment="1">
      <alignment horizontal="center" vertical="center" wrapText="1"/>
    </xf>
    <xf numFmtId="0" fontId="12" fillId="14" borderId="126" xfId="0" applyFont="1" applyFill="1" applyBorder="1" applyAlignment="1">
      <alignment horizontal="center" vertical="center" wrapText="1"/>
    </xf>
    <xf numFmtId="0" fontId="12" fillId="14" borderId="127" xfId="0" applyFont="1" applyFill="1" applyBorder="1" applyAlignment="1">
      <alignment horizontal="center" vertical="center" wrapText="1"/>
    </xf>
    <xf numFmtId="0" fontId="12" fillId="14" borderId="101" xfId="0" applyFont="1" applyFill="1" applyBorder="1" applyAlignment="1">
      <alignment horizontal="center" vertical="center" wrapText="1"/>
    </xf>
    <xf numFmtId="9" fontId="10" fillId="0" borderId="39" xfId="3" applyBorder="1"/>
    <xf numFmtId="0" fontId="16" fillId="6" borderId="5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vertical="center" wrapText="1"/>
    </xf>
    <xf numFmtId="0" fontId="62" fillId="0" borderId="1" xfId="0" applyFont="1" applyBorder="1" applyAlignment="1">
      <alignment horizontal="center" wrapText="1"/>
    </xf>
    <xf numFmtId="177" fontId="0" fillId="0" borderId="1" xfId="0" applyNumberFormat="1" applyBorder="1" applyAlignment="1">
      <alignment horizontal="center" vertical="center"/>
    </xf>
    <xf numFmtId="177" fontId="62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63" fillId="0" borderId="1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3" fillId="0" borderId="1" xfId="0" applyFont="1" applyBorder="1" applyAlignment="1">
      <alignment wrapText="1"/>
    </xf>
    <xf numFmtId="177" fontId="63" fillId="0" borderId="1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64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left" vertical="center" wrapText="1"/>
    </xf>
    <xf numFmtId="0" fontId="63" fillId="0" borderId="2" xfId="0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center" wrapText="1"/>
    </xf>
    <xf numFmtId="177" fontId="63" fillId="0" borderId="2" xfId="0" applyNumberFormat="1" applyFont="1" applyBorder="1" applyAlignment="1">
      <alignment horizontal="center" vertical="center"/>
    </xf>
    <xf numFmtId="0" fontId="65" fillId="0" borderId="1" xfId="0" applyFont="1" applyBorder="1"/>
    <xf numFmtId="0" fontId="66" fillId="35" borderId="68" xfId="0" applyFont="1" applyFill="1" applyBorder="1" applyAlignment="1">
      <alignment horizontal="center" vertical="center" wrapText="1"/>
    </xf>
    <xf numFmtId="0" fontId="10" fillId="0" borderId="129" xfId="0" applyFont="1" applyBorder="1" applyAlignment="1">
      <alignment horizontal="center" vertical="center"/>
    </xf>
    <xf numFmtId="0" fontId="67" fillId="0" borderId="21" xfId="0" applyFont="1" applyBorder="1" applyAlignment="1">
      <alignment vertical="center"/>
    </xf>
    <xf numFmtId="0" fontId="16" fillId="0" borderId="21" xfId="0" applyFont="1" applyBorder="1" applyAlignment="1">
      <alignment vertical="center" wrapText="1"/>
    </xf>
    <xf numFmtId="0" fontId="39" fillId="0" borderId="21" xfId="0" applyFont="1" applyBorder="1" applyAlignment="1">
      <alignment vertical="center" wrapText="1"/>
    </xf>
    <xf numFmtId="0" fontId="62" fillId="0" borderId="0" xfId="0" applyFont="1" applyBorder="1" applyAlignment="1">
      <alignment horizontal="left" vertical="center"/>
    </xf>
    <xf numFmtId="177" fontId="62" fillId="0" borderId="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5" xfId="0" applyFont="1" applyBorder="1" applyAlignment="1">
      <alignment horizontal="left" vertical="center"/>
    </xf>
    <xf numFmtId="0" fontId="62" fillId="0" borderId="6" xfId="0" applyFont="1" applyBorder="1" applyAlignment="1">
      <alignment horizontal="left" vertical="center"/>
    </xf>
    <xf numFmtId="0" fontId="62" fillId="0" borderId="9" xfId="0" applyFont="1" applyBorder="1" applyAlignment="1">
      <alignment horizontal="left" vertical="center"/>
    </xf>
    <xf numFmtId="0" fontId="65" fillId="0" borderId="58" xfId="0" applyFont="1" applyBorder="1" applyAlignment="1">
      <alignment horizontal="center" vertical="center"/>
    </xf>
    <xf numFmtId="0" fontId="65" fillId="0" borderId="60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2" borderId="34" xfId="0" applyFont="1" applyFill="1" applyBorder="1" applyAlignment="1">
      <alignment horizontal="center" vertical="center"/>
    </xf>
    <xf numFmtId="0" fontId="11" fillId="12" borderId="56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12" borderId="34" xfId="0" applyFont="1" applyFill="1" applyBorder="1" applyAlignment="1">
      <alignment horizontal="right" vertical="center"/>
    </xf>
    <xf numFmtId="0" fontId="11" fillId="12" borderId="56" xfId="0" applyFont="1" applyFill="1" applyBorder="1" applyAlignment="1">
      <alignment horizontal="right" vertical="center"/>
    </xf>
    <xf numFmtId="0" fontId="11" fillId="13" borderId="11" xfId="0" applyFont="1" applyFill="1" applyBorder="1" applyAlignment="1">
      <alignment horizontal="center" vertical="center"/>
    </xf>
    <xf numFmtId="0" fontId="11" fillId="15" borderId="34" xfId="0" applyFont="1" applyFill="1" applyBorder="1" applyAlignment="1">
      <alignment horizontal="center" vertical="center"/>
    </xf>
    <xf numFmtId="0" fontId="11" fillId="15" borderId="56" xfId="0" applyFont="1" applyFill="1" applyBorder="1" applyAlignment="1">
      <alignment horizontal="center" vertical="center"/>
    </xf>
    <xf numFmtId="0" fontId="11" fillId="15" borderId="37" xfId="0" applyFont="1" applyFill="1" applyBorder="1" applyAlignment="1">
      <alignment horizontal="center" vertical="center"/>
    </xf>
    <xf numFmtId="0" fontId="11" fillId="14" borderId="34" xfId="0" applyFont="1" applyFill="1" applyBorder="1" applyAlignment="1">
      <alignment horizontal="center" vertical="center"/>
    </xf>
    <xf numFmtId="0" fontId="11" fillId="14" borderId="56" xfId="0" applyFont="1" applyFill="1" applyBorder="1" applyAlignment="1">
      <alignment horizontal="center" vertical="center"/>
    </xf>
    <xf numFmtId="0" fontId="11" fillId="14" borderId="37" xfId="0" applyFont="1" applyFill="1" applyBorder="1" applyAlignment="1">
      <alignment horizontal="center" vertical="center"/>
    </xf>
    <xf numFmtId="0" fontId="11" fillId="16" borderId="11" xfId="0" applyFont="1" applyFill="1" applyBorder="1" applyAlignment="1">
      <alignment horizontal="center" vertical="center"/>
    </xf>
    <xf numFmtId="0" fontId="11" fillId="16" borderId="34" xfId="0" applyFont="1" applyFill="1" applyBorder="1" applyAlignment="1">
      <alignment horizontal="center" vertical="center"/>
    </xf>
    <xf numFmtId="0" fontId="11" fillId="16" borderId="56" xfId="0" applyFont="1" applyFill="1" applyBorder="1" applyAlignment="1">
      <alignment horizontal="center" vertical="center"/>
    </xf>
    <xf numFmtId="0" fontId="11" fillId="16" borderId="37" xfId="0" applyFont="1" applyFill="1" applyBorder="1" applyAlignment="1">
      <alignment horizontal="center" vertical="center"/>
    </xf>
    <xf numFmtId="0" fontId="11" fillId="17" borderId="34" xfId="0" applyFont="1" applyFill="1" applyBorder="1" applyAlignment="1">
      <alignment horizontal="center" vertical="center"/>
    </xf>
    <xf numFmtId="0" fontId="11" fillId="17" borderId="56" xfId="0" applyFont="1" applyFill="1" applyBorder="1" applyAlignment="1">
      <alignment horizontal="center" vertical="center"/>
    </xf>
    <xf numFmtId="0" fontId="11" fillId="17" borderId="3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9" xfId="0" applyFont="1" applyFill="1" applyBorder="1" applyAlignment="1">
      <alignment horizontal="left" vertical="center" wrapText="1"/>
    </xf>
    <xf numFmtId="0" fontId="12" fillId="6" borderId="31" xfId="0" applyFont="1" applyFill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1" fillId="10" borderId="34" xfId="0" applyFont="1" applyFill="1" applyBorder="1" applyAlignment="1">
      <alignment horizontal="center" vertical="center"/>
    </xf>
    <xf numFmtId="0" fontId="11" fillId="10" borderId="56" xfId="0" applyFont="1" applyFill="1" applyBorder="1" applyAlignment="1">
      <alignment horizontal="center" vertical="center"/>
    </xf>
    <xf numFmtId="0" fontId="11" fillId="10" borderId="37" xfId="0" applyFont="1" applyFill="1" applyBorder="1" applyAlignment="1">
      <alignment horizontal="center" vertical="center"/>
    </xf>
    <xf numFmtId="0" fontId="11" fillId="11" borderId="86" xfId="0" applyFont="1" applyFill="1" applyBorder="1" applyAlignment="1">
      <alignment horizontal="center" vertical="center"/>
    </xf>
    <xf numFmtId="0" fontId="11" fillId="11" borderId="87" xfId="0" applyFont="1" applyFill="1" applyBorder="1" applyAlignment="1">
      <alignment horizontal="center" vertical="center"/>
    </xf>
    <xf numFmtId="0" fontId="11" fillId="11" borderId="89" xfId="0" applyFont="1" applyFill="1" applyBorder="1" applyAlignment="1">
      <alignment horizontal="center" vertical="center"/>
    </xf>
    <xf numFmtId="0" fontId="11" fillId="11" borderId="88" xfId="0" applyFont="1" applyFill="1" applyBorder="1" applyAlignment="1">
      <alignment horizontal="center" vertical="center"/>
    </xf>
    <xf numFmtId="0" fontId="11" fillId="14" borderId="84" xfId="0" applyFont="1" applyFill="1" applyBorder="1" applyAlignment="1">
      <alignment horizontal="center" vertical="center"/>
    </xf>
    <xf numFmtId="0" fontId="11" fillId="14" borderId="111" xfId="0" applyFont="1" applyFill="1" applyBorder="1" applyAlignment="1">
      <alignment horizontal="center" vertical="center"/>
    </xf>
    <xf numFmtId="0" fontId="11" fillId="13" borderId="86" xfId="0" applyFont="1" applyFill="1" applyBorder="1" applyAlignment="1">
      <alignment horizontal="center" vertical="center"/>
    </xf>
    <xf numFmtId="0" fontId="11" fillId="13" borderId="87" xfId="0" applyFont="1" applyFill="1" applyBorder="1" applyAlignment="1">
      <alignment horizontal="center" vertical="center"/>
    </xf>
    <xf numFmtId="0" fontId="11" fillId="13" borderId="88" xfId="0" applyFont="1" applyFill="1" applyBorder="1" applyAlignment="1">
      <alignment horizontal="center" vertical="center"/>
    </xf>
    <xf numFmtId="0" fontId="11" fillId="16" borderId="102" xfId="0" applyFont="1" applyFill="1" applyBorder="1" applyAlignment="1">
      <alignment horizontal="center" vertical="center" wrapText="1"/>
    </xf>
    <xf numFmtId="0" fontId="11" fillId="16" borderId="89" xfId="0" applyFont="1" applyFill="1" applyBorder="1" applyAlignment="1">
      <alignment horizontal="center" vertical="center" wrapText="1"/>
    </xf>
    <xf numFmtId="0" fontId="11" fillId="16" borderId="90" xfId="0" applyFont="1" applyFill="1" applyBorder="1" applyAlignment="1">
      <alignment horizontal="center" vertical="center" wrapText="1"/>
    </xf>
    <xf numFmtId="0" fontId="12" fillId="14" borderId="127" xfId="0" applyFont="1" applyFill="1" applyBorder="1" applyAlignment="1">
      <alignment horizontal="center" vertical="center" wrapText="1"/>
    </xf>
    <xf numFmtId="0" fontId="12" fillId="14" borderId="128" xfId="0" applyFont="1" applyFill="1" applyBorder="1" applyAlignment="1">
      <alignment horizontal="center" vertical="center" wrapText="1"/>
    </xf>
    <xf numFmtId="0" fontId="11" fillId="12" borderId="84" xfId="0" applyFont="1" applyFill="1" applyBorder="1" applyAlignment="1">
      <alignment horizontal="center" vertical="center"/>
    </xf>
    <xf numFmtId="0" fontId="11" fillId="12" borderId="121" xfId="0" applyFont="1" applyFill="1" applyBorder="1" applyAlignment="1">
      <alignment horizontal="center" vertical="center"/>
    </xf>
    <xf numFmtId="0" fontId="11" fillId="12" borderId="111" xfId="0" applyFont="1" applyFill="1" applyBorder="1" applyAlignment="1">
      <alignment horizontal="center" vertical="center"/>
    </xf>
    <xf numFmtId="0" fontId="11" fillId="12" borderId="84" xfId="0" applyFont="1" applyFill="1" applyBorder="1" applyAlignment="1">
      <alignment horizontal="right" vertical="center"/>
    </xf>
    <xf numFmtId="0" fontId="11" fillId="16" borderId="86" xfId="0" applyFont="1" applyFill="1" applyBorder="1" applyAlignment="1">
      <alignment horizontal="center" vertical="center" wrapText="1"/>
    </xf>
    <xf numFmtId="0" fontId="11" fillId="16" borderId="87" xfId="0" applyFont="1" applyFill="1" applyBorder="1" applyAlignment="1">
      <alignment horizontal="center" vertical="center" wrapText="1"/>
    </xf>
    <xf numFmtId="0" fontId="11" fillId="16" borderId="88" xfId="0" applyFont="1" applyFill="1" applyBorder="1" applyAlignment="1">
      <alignment horizontal="center" vertical="center" wrapText="1"/>
    </xf>
    <xf numFmtId="0" fontId="12" fillId="17" borderId="84" xfId="0" applyFont="1" applyFill="1" applyBorder="1" applyAlignment="1">
      <alignment horizontal="center" vertical="center" wrapText="1"/>
    </xf>
    <xf numFmtId="0" fontId="12" fillId="17" borderId="111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2" fillId="58" borderId="102" xfId="0" applyFont="1" applyFill="1" applyBorder="1" applyAlignment="1">
      <alignment horizontal="center"/>
    </xf>
    <xf numFmtId="0" fontId="12" fillId="58" borderId="89" xfId="0" applyFont="1" applyFill="1" applyBorder="1" applyAlignment="1">
      <alignment horizontal="center"/>
    </xf>
    <xf numFmtId="0" fontId="12" fillId="58" borderId="90" xfId="0" applyFont="1" applyFill="1" applyBorder="1" applyAlignment="1">
      <alignment horizontal="center"/>
    </xf>
    <xf numFmtId="0" fontId="12" fillId="58" borderId="12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" fillId="36" borderId="112" xfId="0" applyFont="1" applyFill="1" applyBorder="1" applyAlignment="1">
      <alignment horizontal="center" vertical="center" wrapText="1"/>
    </xf>
    <xf numFmtId="0" fontId="1" fillId="36" borderId="113" xfId="0" applyFont="1" applyFill="1" applyBorder="1" applyAlignment="1">
      <alignment horizontal="center" vertical="center" wrapText="1"/>
    </xf>
    <xf numFmtId="0" fontId="1" fillId="36" borderId="1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6" borderId="31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1" fillId="41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40" borderId="41" xfId="0" applyFont="1" applyFill="1" applyBorder="1" applyAlignment="1">
      <alignment horizontal="right" vertical="center" wrapText="1"/>
    </xf>
    <xf numFmtId="0" fontId="1" fillId="42" borderId="21" xfId="0" applyFont="1" applyFill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/>
    </xf>
    <xf numFmtId="0" fontId="34" fillId="6" borderId="31" xfId="0" applyFont="1" applyFill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17" fillId="36" borderId="1" xfId="0" applyFont="1" applyFill="1" applyBorder="1" applyAlignment="1">
      <alignment horizontal="left" vertical="center" wrapText="1"/>
    </xf>
    <xf numFmtId="0" fontId="17" fillId="41" borderId="21" xfId="0" applyFont="1" applyFill="1" applyBorder="1" applyAlignment="1">
      <alignment horizontal="center" vertical="center" wrapText="1"/>
    </xf>
    <xf numFmtId="0" fontId="17" fillId="42" borderId="21" xfId="0" applyFont="1" applyFill="1" applyBorder="1" applyAlignment="1">
      <alignment horizontal="left" vertical="center" wrapText="1"/>
    </xf>
    <xf numFmtId="0" fontId="17" fillId="6" borderId="21" xfId="0" applyFont="1" applyFill="1" applyBorder="1" applyAlignment="1">
      <alignment horizontal="left" vertical="center" wrapText="1"/>
    </xf>
    <xf numFmtId="0" fontId="17" fillId="40" borderId="41" xfId="0" applyFont="1" applyFill="1" applyBorder="1" applyAlignment="1">
      <alignment horizontal="right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/>
    </xf>
    <xf numFmtId="0" fontId="5" fillId="13" borderId="39" xfId="0" applyFont="1" applyFill="1" applyBorder="1" applyAlignment="1">
      <alignment horizontal="center" vertical="center"/>
    </xf>
    <xf numFmtId="0" fontId="5" fillId="57" borderId="86" xfId="0" applyFont="1" applyFill="1" applyBorder="1" applyAlignment="1">
      <alignment horizontal="center" vertical="center"/>
    </xf>
    <xf numFmtId="0" fontId="5" fillId="57" borderId="88" xfId="0" applyFont="1" applyFill="1" applyBorder="1" applyAlignment="1">
      <alignment horizontal="center" vertical="center"/>
    </xf>
    <xf numFmtId="0" fontId="5" fillId="24" borderId="35" xfId="0" applyFont="1" applyFill="1" applyBorder="1" applyAlignment="1">
      <alignment horizontal="center" vertical="center"/>
    </xf>
    <xf numFmtId="0" fontId="5" fillId="25" borderId="36" xfId="0" applyFont="1" applyFill="1" applyBorder="1" applyAlignment="1">
      <alignment horizontal="center" vertical="center"/>
    </xf>
    <xf numFmtId="0" fontId="5" fillId="22" borderId="56" xfId="0" applyFont="1" applyFill="1" applyBorder="1" applyAlignment="1">
      <alignment horizontal="center" vertical="center"/>
    </xf>
    <xf numFmtId="0" fontId="5" fillId="60" borderId="32" xfId="0" applyFont="1" applyFill="1" applyBorder="1" applyAlignment="1">
      <alignment horizontal="center" vertical="center"/>
    </xf>
    <xf numFmtId="172" fontId="51" fillId="32" borderId="34" xfId="0" applyNumberFormat="1" applyFont="1" applyFill="1" applyBorder="1" applyAlignment="1">
      <alignment horizontal="center" vertical="center"/>
    </xf>
    <xf numFmtId="172" fontId="51" fillId="32" borderId="107" xfId="0" applyNumberFormat="1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6" borderId="17" xfId="0" applyFont="1" applyFill="1" applyBorder="1" applyAlignment="1">
      <alignment horizontal="center" vertical="center"/>
    </xf>
    <xf numFmtId="0" fontId="1" fillId="36" borderId="30" xfId="0" applyFont="1" applyFill="1" applyBorder="1" applyAlignment="1">
      <alignment vertical="center" wrapText="1"/>
    </xf>
    <xf numFmtId="0" fontId="19" fillId="4" borderId="74" xfId="0" applyFont="1" applyFill="1" applyBorder="1" applyAlignment="1">
      <alignment horizontal="center" vertical="center" wrapText="1"/>
    </xf>
    <xf numFmtId="0" fontId="19" fillId="20" borderId="74" xfId="0" applyFont="1" applyFill="1" applyBorder="1" applyAlignment="1">
      <alignment horizontal="center" vertical="center" wrapText="1"/>
    </xf>
    <xf numFmtId="0" fontId="19" fillId="19" borderId="7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40" borderId="21" xfId="0" applyFont="1" applyFill="1" applyBorder="1" applyAlignment="1">
      <alignment horizontal="right" vertical="center" wrapText="1"/>
    </xf>
    <xf numFmtId="0" fontId="5" fillId="13" borderId="107" xfId="0" applyFont="1" applyFill="1" applyBorder="1" applyAlignment="1">
      <alignment horizontal="center" vertical="center"/>
    </xf>
    <xf numFmtId="0" fontId="5" fillId="57" borderId="33" xfId="0" applyFont="1" applyFill="1" applyBorder="1" applyAlignment="1">
      <alignment horizontal="center" vertical="center"/>
    </xf>
    <xf numFmtId="0" fontId="5" fillId="57" borderId="56" xfId="0" applyFont="1" applyFill="1" applyBorder="1" applyAlignment="1">
      <alignment horizontal="center" vertical="center"/>
    </xf>
    <xf numFmtId="0" fontId="5" fillId="22" borderId="66" xfId="0" applyFont="1" applyFill="1" applyBorder="1" applyAlignment="1">
      <alignment horizontal="center" vertical="center"/>
    </xf>
    <xf numFmtId="0" fontId="5" fillId="45" borderId="11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 wrapText="1"/>
    </xf>
    <xf numFmtId="0" fontId="19" fillId="20" borderId="75" xfId="0" applyFont="1" applyFill="1" applyBorder="1" applyAlignment="1">
      <alignment horizontal="center" vertical="center" wrapText="1"/>
    </xf>
    <xf numFmtId="0" fontId="19" fillId="19" borderId="75" xfId="0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18E"/>
      <rgbColor rgb="FFC5E0B4"/>
      <rgbColor rgb="FF548235"/>
      <rgbColor rgb="FFFFE699"/>
      <rgbColor rgb="FF806000"/>
      <rgbColor rgb="FFCCCCCC"/>
      <rgbColor rgb="FF5EB91E"/>
      <rgbColor rgb="FFC0C0C0"/>
      <rgbColor rgb="FF808080"/>
      <rgbColor rgb="FF8EA9DB"/>
      <rgbColor rgb="FFA1467E"/>
      <rgbColor rgb="FFFFFFCC"/>
      <rgbColor rgb="FFD9E1F2"/>
      <rgbColor rgb="FFBDD7EE"/>
      <rgbColor rgb="FFBF819E"/>
      <rgbColor rgb="FFB4C6E7"/>
      <rgbColor rgb="FFCCCCFF"/>
      <rgbColor rgb="FFFFF2CC"/>
      <rgbColor rgb="FFC1C1C1"/>
      <rgbColor rgb="FFFFD966"/>
      <rgbColor rgb="FFA9D08E"/>
      <rgbColor rgb="FFD0CECE"/>
      <rgbColor rgb="FFD6DCE4"/>
      <rgbColor rgb="FFBF9000"/>
      <rgbColor rgb="FFFCE4D6"/>
      <rgbColor rgb="FF00CCFF"/>
      <rgbColor rgb="FFE7E6E6"/>
      <rgbColor rgb="FFC6E0B4"/>
      <rgbColor rgb="FFFFFF99"/>
      <rgbColor rgb="FF9BC2E6"/>
      <rgbColor rgb="FFF4B084"/>
      <rgbColor rgb="FFCC99FF"/>
      <rgbColor rgb="FFF8CBAD"/>
      <rgbColor rgb="FFA960E0"/>
      <rgbColor rgb="FF5B9BD5"/>
      <rgbColor rgb="FF92D050"/>
      <rgbColor rgb="FFFFCC00"/>
      <rgbColor rgb="FFFFC000"/>
      <rgbColor rgb="FFFF6600"/>
      <rgbColor rgb="FF5983B0"/>
      <rgbColor rgb="FF8497B0"/>
      <rgbColor rgb="FFB4C7DC"/>
      <rgbColor rgb="FF339966"/>
      <rgbColor rgb="FFBBE33D"/>
      <rgbColor rgb="FF444444"/>
      <rgbColor rgb="FF843C0B"/>
      <rgbColor rgb="FFC55A11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topLeftCell="A4" zoomScale="88" zoomScaleNormal="88" workbookViewId="0">
      <selection activeCell="D13" sqref="D13"/>
    </sheetView>
  </sheetViews>
  <sheetFormatPr defaultRowHeight="14.25" x14ac:dyDescent="0.2"/>
  <cols>
    <col min="2" max="2" width="15.125" customWidth="1"/>
    <col min="4" max="4" width="46.75" customWidth="1"/>
    <col min="5" max="5" width="12.375" customWidth="1"/>
    <col min="6" max="6" width="11.25" customWidth="1"/>
  </cols>
  <sheetData>
    <row r="1" spans="1:8" ht="15" x14ac:dyDescent="0.2">
      <c r="A1" s="825" t="s">
        <v>734</v>
      </c>
      <c r="B1" s="825"/>
      <c r="C1" s="825"/>
      <c r="D1" s="825"/>
      <c r="E1" s="825"/>
      <c r="F1" s="825"/>
      <c r="G1" s="825"/>
      <c r="H1" s="825"/>
    </row>
    <row r="2" spans="1:8" ht="15" x14ac:dyDescent="0.2">
      <c r="A2" s="825" t="s">
        <v>735</v>
      </c>
      <c r="B2" s="825"/>
      <c r="C2" s="825"/>
      <c r="D2" s="825"/>
      <c r="E2" s="825"/>
      <c r="F2" s="825"/>
      <c r="G2" s="825"/>
      <c r="H2" s="825"/>
    </row>
    <row r="3" spans="1:8" ht="15" x14ac:dyDescent="0.2">
      <c r="A3" s="825" t="s">
        <v>759</v>
      </c>
      <c r="B3" s="825"/>
      <c r="C3" s="825"/>
      <c r="D3" s="825"/>
      <c r="E3" s="825"/>
      <c r="F3" s="825"/>
      <c r="G3" s="825"/>
      <c r="H3" s="825"/>
    </row>
    <row r="4" spans="1:8" ht="15" x14ac:dyDescent="0.2">
      <c r="A4" s="826" t="s">
        <v>766</v>
      </c>
      <c r="B4" s="826"/>
      <c r="C4" s="826"/>
      <c r="D4" s="826"/>
      <c r="E4" s="826"/>
      <c r="F4" s="826"/>
      <c r="G4" s="826"/>
      <c r="H4" s="826"/>
    </row>
    <row r="5" spans="1:8" ht="44.85" customHeight="1" x14ac:dyDescent="0.2">
      <c r="A5" s="822" t="s">
        <v>736</v>
      </c>
      <c r="B5" s="823"/>
      <c r="C5" s="823"/>
      <c r="D5" s="823"/>
      <c r="E5" s="823"/>
      <c r="F5" s="823"/>
      <c r="G5" s="823"/>
      <c r="H5" s="824"/>
    </row>
    <row r="7" spans="1:8" ht="30" x14ac:dyDescent="0.25">
      <c r="A7" s="813" t="s">
        <v>767</v>
      </c>
      <c r="B7" s="799" t="s">
        <v>737</v>
      </c>
      <c r="C7" s="799" t="s">
        <v>738</v>
      </c>
      <c r="D7" s="799" t="s">
        <v>739</v>
      </c>
      <c r="E7" s="799" t="s">
        <v>740</v>
      </c>
      <c r="F7" s="799" t="s">
        <v>741</v>
      </c>
      <c r="G7" s="799" t="s">
        <v>742</v>
      </c>
      <c r="H7" s="799" t="s">
        <v>743</v>
      </c>
    </row>
    <row r="8" spans="1:8" ht="73.5" customHeight="1" x14ac:dyDescent="0.2">
      <c r="A8" s="830">
        <v>1</v>
      </c>
      <c r="B8" s="803">
        <v>1</v>
      </c>
      <c r="C8" s="804">
        <v>24023</v>
      </c>
      <c r="D8" s="805" t="s">
        <v>760</v>
      </c>
      <c r="E8" s="803" t="s">
        <v>744</v>
      </c>
      <c r="F8" s="803" t="s">
        <v>745</v>
      </c>
      <c r="G8" s="806">
        <f>'Resumo PGR e CTB'!D21</f>
        <v>0</v>
      </c>
      <c r="H8" s="806">
        <f t="shared" ref="H8:H13" si="0">G8*12</f>
        <v>0</v>
      </c>
    </row>
    <row r="9" spans="1:8" ht="66.75" customHeight="1" x14ac:dyDescent="0.2">
      <c r="A9" s="831"/>
      <c r="B9" s="803">
        <v>2</v>
      </c>
      <c r="C9" s="803">
        <v>25194</v>
      </c>
      <c r="D9" s="807" t="s">
        <v>761</v>
      </c>
      <c r="E9" s="803" t="s">
        <v>167</v>
      </c>
      <c r="F9" s="803" t="s">
        <v>745</v>
      </c>
      <c r="G9" s="806">
        <f>'Resumo PGR e CTB'!E21</f>
        <v>0</v>
      </c>
      <c r="H9" s="806">
        <f t="shared" si="0"/>
        <v>0</v>
      </c>
    </row>
    <row r="10" spans="1:8" ht="66.75" customHeight="1" x14ac:dyDescent="0.2">
      <c r="A10" s="831"/>
      <c r="B10" s="803">
        <v>3</v>
      </c>
      <c r="C10" s="808">
        <v>15890</v>
      </c>
      <c r="D10" s="809" t="s">
        <v>784</v>
      </c>
      <c r="E10" s="804" t="s">
        <v>167</v>
      </c>
      <c r="F10" s="803" t="s">
        <v>745</v>
      </c>
      <c r="G10" s="806">
        <f>'Resumo PGR e CTB'!F21</f>
        <v>0</v>
      </c>
      <c r="H10" s="806">
        <f t="shared" si="0"/>
        <v>0</v>
      </c>
    </row>
    <row r="11" spans="1:8" ht="77.25" customHeight="1" x14ac:dyDescent="0.2">
      <c r="A11" s="831"/>
      <c r="B11" s="803">
        <v>4</v>
      </c>
      <c r="C11" s="804">
        <v>24023</v>
      </c>
      <c r="D11" s="805" t="s">
        <v>762</v>
      </c>
      <c r="E11" s="803" t="s">
        <v>763</v>
      </c>
      <c r="F11" s="803" t="s">
        <v>745</v>
      </c>
      <c r="G11" s="806">
        <f>'Resumo PGR e CTB'!D40</f>
        <v>0</v>
      </c>
      <c r="H11" s="806">
        <f t="shared" si="0"/>
        <v>0</v>
      </c>
    </row>
    <row r="12" spans="1:8" ht="66.75" customHeight="1" x14ac:dyDescent="0.2">
      <c r="A12" s="831"/>
      <c r="B12" s="803">
        <v>5</v>
      </c>
      <c r="C12" s="804">
        <v>25194</v>
      </c>
      <c r="D12" s="805" t="s">
        <v>764</v>
      </c>
      <c r="E12" s="803" t="s">
        <v>167</v>
      </c>
      <c r="F12" s="803" t="s">
        <v>745</v>
      </c>
      <c r="G12" s="806">
        <f>'Resumo PGR e CTB'!E40</f>
        <v>0</v>
      </c>
      <c r="H12" s="806">
        <f t="shared" si="0"/>
        <v>0</v>
      </c>
    </row>
    <row r="13" spans="1:8" ht="66.75" customHeight="1" x14ac:dyDescent="0.2">
      <c r="A13" s="832"/>
      <c r="B13" s="810">
        <v>6</v>
      </c>
      <c r="C13" s="810">
        <v>15890</v>
      </c>
      <c r="D13" s="811" t="s">
        <v>785</v>
      </c>
      <c r="E13" s="804" t="s">
        <v>167</v>
      </c>
      <c r="F13" s="810" t="s">
        <v>745</v>
      </c>
      <c r="G13" s="812">
        <f>'Resumo PGR e CTB'!F40</f>
        <v>0</v>
      </c>
      <c r="H13" s="806">
        <f t="shared" si="0"/>
        <v>0</v>
      </c>
    </row>
    <row r="14" spans="1:8" ht="17.25" customHeight="1" x14ac:dyDescent="0.2">
      <c r="A14" s="827" t="s">
        <v>765</v>
      </c>
      <c r="B14" s="828"/>
      <c r="C14" s="828"/>
      <c r="D14" s="828"/>
      <c r="E14" s="828"/>
      <c r="F14" s="828"/>
      <c r="G14" s="829"/>
      <c r="H14" s="800">
        <f>SUM(G8:G13)</f>
        <v>0</v>
      </c>
    </row>
    <row r="15" spans="1:8" ht="15" x14ac:dyDescent="0.2">
      <c r="A15" s="827" t="s">
        <v>746</v>
      </c>
      <c r="B15" s="828"/>
      <c r="C15" s="828"/>
      <c r="D15" s="828"/>
      <c r="E15" s="828"/>
      <c r="F15" s="828"/>
      <c r="G15" s="829"/>
      <c r="H15" s="801">
        <f>SUM(H8:H13)</f>
        <v>0</v>
      </c>
    </row>
    <row r="16" spans="1:8" ht="15" x14ac:dyDescent="0.2">
      <c r="A16" s="819"/>
      <c r="B16" s="819"/>
      <c r="C16" s="819"/>
      <c r="D16" s="819"/>
      <c r="E16" s="819"/>
      <c r="F16" s="819"/>
      <c r="G16" s="819"/>
      <c r="H16" s="820"/>
    </row>
    <row r="17" spans="1:8" x14ac:dyDescent="0.2">
      <c r="A17" t="s">
        <v>782</v>
      </c>
    </row>
    <row r="18" spans="1:8" x14ac:dyDescent="0.2">
      <c r="A18" t="s">
        <v>783</v>
      </c>
    </row>
    <row r="19" spans="1:8" x14ac:dyDescent="0.2">
      <c r="A19" s="802" t="s">
        <v>747</v>
      </c>
    </row>
    <row r="20" spans="1:8" x14ac:dyDescent="0.2">
      <c r="A20" s="802" t="s">
        <v>748</v>
      </c>
    </row>
    <row r="21" spans="1:8" x14ac:dyDescent="0.2">
      <c r="A21" s="802" t="s">
        <v>749</v>
      </c>
    </row>
    <row r="22" spans="1:8" x14ac:dyDescent="0.2">
      <c r="A22" s="802" t="s">
        <v>750</v>
      </c>
    </row>
    <row r="23" spans="1:8" x14ac:dyDescent="0.2">
      <c r="A23" s="802" t="s">
        <v>751</v>
      </c>
    </row>
    <row r="24" spans="1:8" x14ac:dyDescent="0.2">
      <c r="A24" s="802" t="s">
        <v>752</v>
      </c>
    </row>
    <row r="25" spans="1:8" x14ac:dyDescent="0.2">
      <c r="A25" s="802" t="s">
        <v>753</v>
      </c>
    </row>
    <row r="26" spans="1:8" x14ac:dyDescent="0.2">
      <c r="A26" s="802" t="s">
        <v>754</v>
      </c>
    </row>
    <row r="27" spans="1:8" x14ac:dyDescent="0.2">
      <c r="A27" s="802" t="s">
        <v>755</v>
      </c>
    </row>
    <row r="28" spans="1:8" x14ac:dyDescent="0.2">
      <c r="A28" s="802" t="s">
        <v>756</v>
      </c>
    </row>
    <row r="29" spans="1:8" x14ac:dyDescent="0.2">
      <c r="A29" s="802" t="s">
        <v>757</v>
      </c>
    </row>
    <row r="30" spans="1:8" x14ac:dyDescent="0.2">
      <c r="A30" s="802"/>
      <c r="B30" s="802"/>
    </row>
    <row r="31" spans="1:8" x14ac:dyDescent="0.2">
      <c r="B31" s="821" t="s">
        <v>758</v>
      </c>
      <c r="C31" s="821"/>
      <c r="D31" s="821"/>
      <c r="E31" s="821"/>
      <c r="F31" s="821"/>
      <c r="G31" s="821"/>
      <c r="H31" s="821"/>
    </row>
  </sheetData>
  <mergeCells count="9">
    <mergeCell ref="B31:H31"/>
    <mergeCell ref="A5:H5"/>
    <mergeCell ref="A1:H1"/>
    <mergeCell ref="A2:H2"/>
    <mergeCell ref="A3:H3"/>
    <mergeCell ref="A4:H4"/>
    <mergeCell ref="A14:G14"/>
    <mergeCell ref="A15:G15"/>
    <mergeCell ref="A8:A13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3" zoomScaleNormal="100" workbookViewId="0">
      <selection activeCell="I70" sqref="I67:I70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9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517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518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518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519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.7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C114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711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PGR'!C5</f>
        <v>51.01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PGR'!D5</f>
        <v>902.41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PGR'!E5</f>
        <v>135.46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PGR'!F5</f>
        <v>16.22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PGR'!G5</f>
        <v>52.5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PGR'!H5</f>
        <v>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PGR'!I5</f>
        <v>16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PGR'!J5</f>
        <v>57.5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PGR'!K5</f>
        <v>57.5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PGR'!L5</f>
        <v>115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3" zoomScaleNormal="100" workbookViewId="0">
      <selection activeCell="H72" sqref="H69:H7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9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Cal'!M5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Cal'!L5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7.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C114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$D$121</f>
        <v>0</v>
      </c>
      <c r="D177" s="513">
        <f>'Produt. Postos PGR'!C6</f>
        <v>1763.64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$D$130</f>
        <v>0</v>
      </c>
      <c r="D178" s="513">
        <f>'Produt. Postos PGR'!D6</f>
        <v>551.52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$D$139</f>
        <v>0</v>
      </c>
      <c r="D179" s="513">
        <f>'Produt. Postos PGR'!E6</f>
        <v>472.13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$D$148</f>
        <v>0</v>
      </c>
      <c r="D180" s="513">
        <f>'Produt. Postos PGR'!F6</f>
        <v>136.81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$D$154</f>
        <v>0</v>
      </c>
      <c r="D181" s="513">
        <f>'Produt. Postos PGR'!G6</f>
        <v>225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$D$157</f>
        <v>0</v>
      </c>
      <c r="D182" s="513">
        <f>'Produt. Postos PGR'!H6</f>
        <v>43.28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$D$160</f>
        <v>0</v>
      </c>
      <c r="D183" s="513">
        <f>'Produt. Postos PGR'!I6</f>
        <v>152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$D$166</f>
        <v>0</v>
      </c>
      <c r="D184" s="513">
        <f>'Produt. Postos PGR'!J6</f>
        <v>774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$D$169</f>
        <v>0</v>
      </c>
      <c r="D185" s="513">
        <f>'Produt. Postos PGR'!K6</f>
        <v>32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$D$172</f>
        <v>0</v>
      </c>
      <c r="D186" s="513">
        <f>'Produt. Postos PGR'!L6</f>
        <v>806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3" zoomScaleNormal="100" workbookViewId="0">
      <selection activeCell="I61" sqref="I61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7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Cal'!M6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B43*D5*22</f>
        <v>0</v>
      </c>
      <c r="E43" s="440"/>
      <c r="F43" s="521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713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Cal'!L6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C114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$D$121</f>
        <v>0</v>
      </c>
      <c r="D177" s="513">
        <f>'Produt. Postos PGR'!C7</f>
        <v>510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$D$130</f>
        <v>0</v>
      </c>
      <c r="D178" s="513">
        <f>'Produt. Postos PGR'!D7</f>
        <v>594.79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$D$139</f>
        <v>0</v>
      </c>
      <c r="D179" s="513">
        <f>'Produt. Postos PGR'!E7</f>
        <v>387.12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$D$148</f>
        <v>0</v>
      </c>
      <c r="D180" s="513">
        <f>'Produt. Postos PGR'!F7</f>
        <v>33.25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$D$154</f>
        <v>0</v>
      </c>
      <c r="D181" s="513">
        <f>'Produt. Postos PGR'!G7</f>
        <v>270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$D$157</f>
        <v>0</v>
      </c>
      <c r="D182" s="513">
        <f>'Produt. Postos PGR'!H7</f>
        <v>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$D$160</f>
        <v>0</v>
      </c>
      <c r="D183" s="513">
        <f>'Produt. Postos PGR'!I7</f>
        <v>50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$D$166</f>
        <v>0</v>
      </c>
      <c r="D184" s="513">
        <f>'Produt. Postos PGR'!J7</f>
        <v>98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$D$169</f>
        <v>0</v>
      </c>
      <c r="D185" s="513">
        <f>'Produt. Postos PGR'!K7</f>
        <v>98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$D$172</f>
        <v>0</v>
      </c>
      <c r="D186" s="513">
        <f>'Produt. Postos PGR'!L7</f>
        <v>196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44" zoomScaleNormal="100" workbookViewId="0">
      <selection activeCell="G54" sqref="G54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0.7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Cal'!M7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60.75" x14ac:dyDescent="0.2">
      <c r="A61" s="817" t="s">
        <v>781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Cal'!L7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4.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C146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C146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PGR'!C8</f>
        <v>404.12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PGR'!D8</f>
        <v>417.61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PGR'!E8</f>
        <v>22.009999999999998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PGR'!F8</f>
        <v>33.659999999999997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PGR'!G8</f>
        <v>150.04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PGR'!H8</f>
        <v>33.840000000000003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PGR'!I8</f>
        <v>117.3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PGR'!J8</f>
        <v>72.5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PGR'!K8</f>
        <v>72.5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PGR'!L8</f>
        <v>145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4" zoomScaleNormal="100" workbookViewId="0">
      <selection activeCell="K75" sqref="K71:K75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2.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Cal'!M8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9.25" x14ac:dyDescent="0.2">
      <c r="A61" s="817" t="s">
        <v>778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Cal'!L8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5.2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C119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C120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C129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PGR'!C9</f>
        <v>310.49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PGR'!D9</f>
        <v>35.03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PGR'!E9</f>
        <v>127.8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PGR'!F9</f>
        <v>6.68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PGR'!G9</f>
        <v>83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PGR'!H9</f>
        <v>2.33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PGR'!I9</f>
        <v>92.5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PGR'!J9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PGR'!K9</f>
        <v>121.5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PGR'!L9</f>
        <v>60.75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39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4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Cal'!M9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C86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Cal'!L9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0.2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C119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C120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C138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C114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$D$121</f>
        <v>0</v>
      </c>
      <c r="D177" s="513">
        <f>'Produt. Postos PGR'!C10</f>
        <v>665.4100000000002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$D$130</f>
        <v>0</v>
      </c>
      <c r="D178" s="513">
        <f>'Produt. Postos PGR'!D10</f>
        <v>875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$D$139</f>
        <v>0</v>
      </c>
      <c r="D179" s="513">
        <f>'Produt. Postos PGR'!E10</f>
        <v>875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$D$148</f>
        <v>0</v>
      </c>
      <c r="D180" s="513">
        <f>'Produt. Postos PGR'!F10</f>
        <v>41.48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$D$154</f>
        <v>0</v>
      </c>
      <c r="D181" s="513">
        <f>'Produt. Postos PGR'!G10</f>
        <v>652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$D$157</f>
        <v>0</v>
      </c>
      <c r="D182" s="513">
        <f>'Produt. Postos PGR'!H10</f>
        <v>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$D$160</f>
        <v>0</v>
      </c>
      <c r="D183" s="513">
        <f>'Produt. Postos PGR'!I10</f>
        <v>234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$D$166</f>
        <v>0</v>
      </c>
      <c r="D184" s="513">
        <f>'Produt. Postos PGR'!J10</f>
        <v>177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$D$169</f>
        <v>0</v>
      </c>
      <c r="D185" s="513">
        <f>'Produt. Postos PGR'!K10</f>
        <v>177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$D$172</f>
        <v>0</v>
      </c>
      <c r="D186" s="513">
        <f>'Produt. Postos PGR'!L10</f>
        <v>354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48" zoomScaleNormal="100" workbookViewId="0">
      <selection activeCell="I68" sqref="I65:I68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0.7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Cal'!M10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Cal'!L10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7.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C128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C129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C138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C114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$D$121</f>
        <v>0</v>
      </c>
      <c r="D177" s="513">
        <f>'Produt. Postos PGR'!C11</f>
        <v>727.23000000000025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$D$130</f>
        <v>0</v>
      </c>
      <c r="D178" s="513">
        <f>'Produt. Postos PGR'!D11</f>
        <v>1300.4299999999998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$D$139</f>
        <v>0</v>
      </c>
      <c r="D179" s="513">
        <f>'Produt. Postos PGR'!E11</f>
        <v>1045.95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$D$148</f>
        <v>0</v>
      </c>
      <c r="D180" s="513">
        <f>'Produt. Postos PGR'!F11</f>
        <v>41.28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$D$154</f>
        <v>0</v>
      </c>
      <c r="D181" s="513">
        <f>'Produt. Postos PGR'!G11</f>
        <v>643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$D$157</f>
        <v>0</v>
      </c>
      <c r="D182" s="513">
        <f>'Produt. Postos PGR'!H11</f>
        <v>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$D$160</f>
        <v>0</v>
      </c>
      <c r="D183" s="513">
        <f>'Produt. Postos PGR'!I11</f>
        <v>192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$D$166</f>
        <v>0</v>
      </c>
      <c r="D184" s="513">
        <f>'Produt. Postos PGR'!J11</f>
        <v>160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$D$169</f>
        <v>0</v>
      </c>
      <c r="D185" s="513">
        <f>'Produt. Postos PGR'!K11</f>
        <v>160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$D$172</f>
        <v>0</v>
      </c>
      <c r="D186" s="513">
        <f>'Produt. Postos PGR'!L11</f>
        <v>320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3" zoomScaleNormal="100" workbookViewId="0">
      <selection activeCell="G64" sqref="G61:G64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7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Cal'!M11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Cal'!L11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5.2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C128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PGR'!C12</f>
        <v>466.68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PGR'!D12</f>
        <v>47.8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PGR'!E12</f>
        <v>18.3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PGR'!F12</f>
        <v>35.590000000000003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PGR'!G12</f>
        <v>1378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PGR'!H12</f>
        <v>10.69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PGR'!I12</f>
        <v>122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PGR'!J12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PGR'!K12</f>
        <v>120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PGR'!L12</f>
        <v>60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41" zoomScaleNormal="100" workbookViewId="0">
      <selection activeCell="I54" sqref="I54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7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Cal'!M12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Cal'!L12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3.7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C128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PGR'!C13</f>
        <v>331.4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PGR'!D13</f>
        <v>23.5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PGR'!E13</f>
        <v>29.75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PGR'!F13</f>
        <v>35.35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PGR'!G13</f>
        <v>1840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PGR'!H13</f>
        <v>27.3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PGR'!I13</f>
        <v>113.95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PGR'!J13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PGR'!K13</f>
        <v>120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PGR'!L13</f>
        <v>60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36" zoomScaleNormal="100" workbookViewId="0">
      <selection activeCell="G43" sqref="G43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4.7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Cal'!M13</f>
        <v>0</v>
      </c>
      <c r="C41" s="417"/>
      <c r="D41" s="417"/>
      <c r="E41" s="418"/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Cal'!L13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6.2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PGR'!C14</f>
        <v>281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PGR'!D14</f>
        <v>30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PGR'!E14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PGR'!F14</f>
        <v>19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PGR'!G14</f>
        <v>0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PGR'!H14</f>
        <v>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PGR'!I14</f>
        <v>147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PGR'!J14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PGR'!K14</f>
        <v>32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PGR'!L14</f>
        <v>16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J1048575"/>
  <sheetViews>
    <sheetView topLeftCell="G7" zoomScaleNormal="100" workbookViewId="0">
      <selection activeCell="J11" sqref="J11"/>
    </sheetView>
  </sheetViews>
  <sheetFormatPr defaultColWidth="10.5" defaultRowHeight="15" x14ac:dyDescent="0.25"/>
  <cols>
    <col min="1" max="1" width="4.375" style="2" customWidth="1"/>
    <col min="2" max="2" width="18.125" style="2" customWidth="1"/>
    <col min="3" max="3" width="11" style="2" customWidth="1"/>
    <col min="4" max="4" width="15.625" style="2" customWidth="1"/>
    <col min="5" max="5" width="13.375" style="3" customWidth="1"/>
    <col min="6" max="6" width="23.875" style="3" customWidth="1"/>
    <col min="7" max="7" width="12.5" style="3" customWidth="1"/>
    <col min="8" max="8" width="14" style="3" customWidth="1"/>
    <col min="9" max="9" width="12.75" style="3" customWidth="1"/>
    <col min="10" max="10" width="10.75" style="3" customWidth="1"/>
    <col min="11" max="11" width="30.125" style="3" customWidth="1"/>
    <col min="12" max="12" width="8.875" style="2" customWidth="1"/>
    <col min="13" max="13" width="10.375" style="2" customWidth="1"/>
    <col min="14" max="14" width="5.125" style="2" customWidth="1"/>
    <col min="15" max="15" width="6.25" style="2" customWidth="1"/>
    <col min="16" max="17" width="11.125" style="2" customWidth="1"/>
    <col min="18" max="18" width="12.5" style="2" customWidth="1"/>
    <col min="19" max="19" width="3.75" style="2" customWidth="1"/>
    <col min="20" max="20" width="8.125" style="2" customWidth="1"/>
    <col min="21" max="21" width="8" style="2" customWidth="1"/>
    <col min="22" max="1022" width="10.5" style="2"/>
    <col min="1023" max="1023" width="10.5" style="4"/>
  </cols>
  <sheetData>
    <row r="1" spans="2:13" x14ac:dyDescent="0.25">
      <c r="B1" s="2" t="s">
        <v>0</v>
      </c>
      <c r="C1" s="2" t="s">
        <v>1</v>
      </c>
      <c r="D1" s="5">
        <v>44228</v>
      </c>
      <c r="F1" s="3">
        <v>7832</v>
      </c>
      <c r="K1" s="6" t="s">
        <v>2</v>
      </c>
      <c r="L1" s="7" t="s">
        <v>3</v>
      </c>
      <c r="M1" s="7" t="s">
        <v>4</v>
      </c>
    </row>
    <row r="2" spans="2:13" x14ac:dyDescent="0.25">
      <c r="B2" s="8" t="s">
        <v>5</v>
      </c>
      <c r="C2" s="835" t="s">
        <v>6</v>
      </c>
      <c r="D2" s="835"/>
      <c r="E2" s="835"/>
      <c r="F2" s="565" t="s">
        <v>7</v>
      </c>
      <c r="K2" s="9" t="s">
        <v>8</v>
      </c>
      <c r="L2" s="10"/>
      <c r="M2" s="11"/>
    </row>
    <row r="3" spans="2:13" x14ac:dyDescent="0.25">
      <c r="B3" s="12" t="s">
        <v>9</v>
      </c>
      <c r="C3" s="13">
        <v>44</v>
      </c>
      <c r="D3" s="13">
        <v>40</v>
      </c>
      <c r="E3" s="567">
        <v>30</v>
      </c>
      <c r="F3" s="566" t="s">
        <v>10</v>
      </c>
      <c r="K3" s="15" t="s">
        <v>11</v>
      </c>
      <c r="L3" s="10"/>
      <c r="M3" s="11"/>
    </row>
    <row r="4" spans="2:13" ht="17.100000000000001" customHeight="1" x14ac:dyDescent="0.25">
      <c r="B4" s="16" t="s">
        <v>12</v>
      </c>
      <c r="C4" s="17"/>
      <c r="D4" s="17"/>
      <c r="E4" s="568"/>
      <c r="F4" s="566"/>
      <c r="K4" s="15" t="s">
        <v>13</v>
      </c>
      <c r="L4" s="10"/>
      <c r="M4" s="11"/>
    </row>
    <row r="5" spans="2:13" x14ac:dyDescent="0.25">
      <c r="B5" s="18" t="s">
        <v>14</v>
      </c>
      <c r="C5" s="19"/>
      <c r="D5" s="20"/>
      <c r="E5" s="20"/>
      <c r="F5" s="14"/>
      <c r="K5" s="15" t="s">
        <v>15</v>
      </c>
      <c r="L5" s="10"/>
      <c r="M5" s="11"/>
    </row>
    <row r="6" spans="2:13" x14ac:dyDescent="0.25">
      <c r="B6" s="8" t="s">
        <v>16</v>
      </c>
      <c r="C6" s="8"/>
      <c r="D6" s="21" t="s">
        <v>17</v>
      </c>
      <c r="E6" s="21" t="s">
        <v>18</v>
      </c>
      <c r="F6" s="2"/>
      <c r="G6" s="2"/>
      <c r="H6" s="22" t="s">
        <v>17</v>
      </c>
      <c r="I6" s="22" t="s">
        <v>18</v>
      </c>
      <c r="K6" s="15" t="s">
        <v>19</v>
      </c>
      <c r="L6" s="10"/>
      <c r="M6" s="11"/>
    </row>
    <row r="7" spans="2:13" x14ac:dyDescent="0.25">
      <c r="B7" s="16" t="s">
        <v>20</v>
      </c>
      <c r="C7" s="16"/>
      <c r="D7" s="23">
        <v>0.2</v>
      </c>
      <c r="E7" s="24"/>
      <c r="F7" s="18" t="s">
        <v>21</v>
      </c>
      <c r="G7" s="25"/>
      <c r="H7" s="26"/>
      <c r="I7" s="25">
        <f>G7</f>
        <v>0</v>
      </c>
      <c r="K7" s="15" t="s">
        <v>22</v>
      </c>
      <c r="L7" s="10"/>
      <c r="M7" s="11"/>
    </row>
    <row r="8" spans="2:13" x14ac:dyDescent="0.25">
      <c r="B8" s="16" t="s">
        <v>23</v>
      </c>
      <c r="C8" s="16"/>
      <c r="D8" s="27">
        <v>0.06</v>
      </c>
      <c r="E8" s="28"/>
      <c r="F8" s="18" t="s">
        <v>24</v>
      </c>
      <c r="G8" s="25"/>
      <c r="H8" s="26"/>
      <c r="I8" s="29">
        <f>G8</f>
        <v>0</v>
      </c>
      <c r="K8" s="15" t="s">
        <v>25</v>
      </c>
      <c r="L8" s="10"/>
      <c r="M8" s="11"/>
    </row>
    <row r="9" spans="2:13" x14ac:dyDescent="0.25">
      <c r="B9" s="30" t="s">
        <v>26</v>
      </c>
      <c r="C9" s="31">
        <v>1.4999999999999999E-2</v>
      </c>
      <c r="D9" s="32"/>
      <c r="E9" s="20">
        <f>(C9*D4)*22</f>
        <v>0</v>
      </c>
      <c r="F9" s="33"/>
      <c r="G9" s="34"/>
      <c r="H9" s="8" t="s">
        <v>27</v>
      </c>
      <c r="I9" s="22" t="s">
        <v>28</v>
      </c>
      <c r="J9" s="22" t="s">
        <v>29</v>
      </c>
      <c r="K9" s="35" t="s">
        <v>30</v>
      </c>
      <c r="L9" s="10"/>
      <c r="M9" s="11"/>
    </row>
    <row r="10" spans="2:13" x14ac:dyDescent="0.25">
      <c r="B10" s="36" t="s">
        <v>31</v>
      </c>
      <c r="C10" s="37"/>
      <c r="D10" s="38"/>
      <c r="F10" s="39"/>
      <c r="G10" s="39"/>
      <c r="H10" s="38"/>
      <c r="I10" s="40">
        <v>0</v>
      </c>
      <c r="J10" s="40">
        <v>0</v>
      </c>
      <c r="K10" s="35" t="s">
        <v>32</v>
      </c>
      <c r="L10" s="10"/>
      <c r="M10" s="11"/>
    </row>
    <row r="11" spans="2:13" x14ac:dyDescent="0.25">
      <c r="B11" s="8" t="s">
        <v>33</v>
      </c>
      <c r="C11" s="41"/>
      <c r="D11" s="835" t="s">
        <v>34</v>
      </c>
      <c r="E11" s="835"/>
      <c r="F11" s="835"/>
      <c r="G11" s="835" t="s">
        <v>35</v>
      </c>
      <c r="H11" s="835"/>
      <c r="I11" s="835"/>
      <c r="J11" s="42"/>
      <c r="K11" s="15" t="s">
        <v>36</v>
      </c>
      <c r="L11" s="10"/>
      <c r="M11" s="11"/>
    </row>
    <row r="12" spans="2:13" x14ac:dyDescent="0.25">
      <c r="B12" s="2" t="s">
        <v>37</v>
      </c>
      <c r="C12" s="43">
        <v>0.33710000000000001</v>
      </c>
      <c r="D12" s="16" t="s">
        <v>38</v>
      </c>
      <c r="E12" s="44" t="s">
        <v>39</v>
      </c>
      <c r="F12" s="45" t="s">
        <v>40</v>
      </c>
      <c r="G12" s="44" t="s">
        <v>38</v>
      </c>
      <c r="H12" s="44" t="s">
        <v>41</v>
      </c>
      <c r="I12" s="44" t="s">
        <v>42</v>
      </c>
      <c r="K12" s="15" t="s">
        <v>43</v>
      </c>
      <c r="L12" s="10"/>
      <c r="M12" s="11"/>
    </row>
    <row r="13" spans="2:13" ht="17.100000000000001" customHeight="1" x14ac:dyDescent="0.25">
      <c r="B13" s="2" t="s">
        <v>44</v>
      </c>
      <c r="C13" s="43">
        <f>((1/30)*7)</f>
        <v>0.23333333333333334</v>
      </c>
      <c r="D13" s="46" t="s">
        <v>45</v>
      </c>
      <c r="E13" s="47">
        <v>12</v>
      </c>
      <c r="F13" s="47" t="s">
        <v>46</v>
      </c>
      <c r="G13" s="47" t="s">
        <v>47</v>
      </c>
      <c r="H13" s="48">
        <v>0.4</v>
      </c>
      <c r="I13" s="47" t="s">
        <v>48</v>
      </c>
      <c r="K13" s="15" t="s">
        <v>49</v>
      </c>
      <c r="L13" s="10"/>
      <c r="M13" s="11"/>
    </row>
    <row r="14" spans="2:13" x14ac:dyDescent="0.25">
      <c r="B14" s="2" t="s">
        <v>50</v>
      </c>
      <c r="C14" s="43">
        <v>1.32E-2</v>
      </c>
      <c r="K14" s="15" t="s">
        <v>51</v>
      </c>
      <c r="L14" s="10"/>
      <c r="M14" s="11"/>
    </row>
    <row r="15" spans="2:13" ht="12.95" customHeight="1" x14ac:dyDescent="0.25">
      <c r="D15" s="833" t="s">
        <v>52</v>
      </c>
      <c r="E15" s="833"/>
      <c r="F15" s="833"/>
      <c r="K15" s="15" t="s">
        <v>53</v>
      </c>
      <c r="L15" s="10"/>
      <c r="M15" s="11"/>
    </row>
    <row r="16" spans="2:13" x14ac:dyDescent="0.25">
      <c r="D16" s="16" t="s">
        <v>38</v>
      </c>
      <c r="E16" s="44" t="s">
        <v>54</v>
      </c>
      <c r="F16" s="44" t="s">
        <v>40</v>
      </c>
      <c r="G16" s="3">
        <f>67.74/12</f>
        <v>5.6449999999999996</v>
      </c>
      <c r="K16" s="15" t="s">
        <v>55</v>
      </c>
      <c r="L16" s="10"/>
      <c r="M16" s="11"/>
    </row>
    <row r="17" spans="4:1024" x14ac:dyDescent="0.25">
      <c r="D17" s="16" t="s">
        <v>56</v>
      </c>
      <c r="E17" s="40">
        <v>0.3387</v>
      </c>
      <c r="F17" s="44" t="s">
        <v>57</v>
      </c>
      <c r="K17" s="15" t="s">
        <v>58</v>
      </c>
      <c r="L17" s="10"/>
      <c r="M17" s="11"/>
    </row>
    <row r="18" spans="4:1024" x14ac:dyDescent="0.25">
      <c r="K18" s="15" t="s">
        <v>59</v>
      </c>
      <c r="L18" s="10"/>
      <c r="M18" s="11"/>
    </row>
    <row r="19" spans="4:1024" ht="12.95" customHeight="1" x14ac:dyDescent="0.25">
      <c r="K19" s="15" t="s">
        <v>60</v>
      </c>
      <c r="L19" s="10"/>
      <c r="M19" s="11"/>
    </row>
    <row r="20" spans="4:1024" ht="12.95" customHeight="1" x14ac:dyDescent="0.25">
      <c r="D20" s="38" t="s">
        <v>61</v>
      </c>
      <c r="K20" s="49" t="s">
        <v>62</v>
      </c>
      <c r="L20" s="7" t="s">
        <v>3</v>
      </c>
      <c r="M20" s="7" t="s">
        <v>4</v>
      </c>
    </row>
    <row r="21" spans="4:1024" ht="12.95" customHeight="1" x14ac:dyDescent="0.25">
      <c r="D21" s="833" t="s">
        <v>63</v>
      </c>
      <c r="E21" s="833"/>
      <c r="F21" s="833"/>
      <c r="G21" s="833" t="s">
        <v>35</v>
      </c>
      <c r="H21" s="833"/>
      <c r="I21" s="833"/>
      <c r="K21" s="9" t="s">
        <v>64</v>
      </c>
      <c r="L21" s="10"/>
      <c r="M21" s="11"/>
    </row>
    <row r="22" spans="4:1024" ht="12.95" customHeight="1" x14ac:dyDescent="0.25">
      <c r="D22" s="16" t="s">
        <v>38</v>
      </c>
      <c r="E22" s="44" t="s">
        <v>39</v>
      </c>
      <c r="F22" s="44" t="s">
        <v>40</v>
      </c>
      <c r="G22" s="44" t="s">
        <v>38</v>
      </c>
      <c r="H22" s="44" t="s">
        <v>41</v>
      </c>
      <c r="I22" s="44" t="s">
        <v>42</v>
      </c>
      <c r="K22" s="15" t="s">
        <v>13</v>
      </c>
      <c r="L22" s="10"/>
      <c r="M22" s="11"/>
    </row>
    <row r="23" spans="4:1024" ht="12.95" customHeight="1" x14ac:dyDescent="0.25">
      <c r="D23" s="16" t="s">
        <v>65</v>
      </c>
      <c r="E23" s="44">
        <v>12</v>
      </c>
      <c r="F23" s="44" t="s">
        <v>46</v>
      </c>
      <c r="G23" s="44" t="s">
        <v>47</v>
      </c>
      <c r="H23" s="50">
        <v>0.4</v>
      </c>
      <c r="I23" s="44" t="s">
        <v>48</v>
      </c>
      <c r="K23" s="15" t="s">
        <v>66</v>
      </c>
      <c r="L23" s="10"/>
      <c r="M23" s="11"/>
    </row>
    <row r="24" spans="4:1024" ht="12.95" customHeight="1" x14ac:dyDescent="0.25">
      <c r="K24" s="15" t="s">
        <v>67</v>
      </c>
      <c r="L24" s="10"/>
      <c r="M24" s="11"/>
    </row>
    <row r="25" spans="4:1024" x14ac:dyDescent="0.25">
      <c r="D25" s="833" t="s">
        <v>68</v>
      </c>
      <c r="E25" s="833"/>
      <c r="F25" s="833"/>
      <c r="K25" s="15" t="s">
        <v>69</v>
      </c>
      <c r="L25" s="10"/>
      <c r="M25" s="11"/>
    </row>
    <row r="26" spans="4:1024" x14ac:dyDescent="0.25">
      <c r="D26" s="16" t="s">
        <v>38</v>
      </c>
      <c r="E26" s="44" t="s">
        <v>54</v>
      </c>
      <c r="F26" s="44" t="s">
        <v>40</v>
      </c>
      <c r="K26" s="15" t="s">
        <v>70</v>
      </c>
      <c r="L26" s="10"/>
      <c r="M26" s="11"/>
    </row>
    <row r="27" spans="4:1024" x14ac:dyDescent="0.25">
      <c r="D27" s="16" t="s">
        <v>71</v>
      </c>
      <c r="E27" s="40">
        <v>0.3387</v>
      </c>
      <c r="F27" s="44" t="s">
        <v>57</v>
      </c>
      <c r="K27" s="15" t="s">
        <v>72</v>
      </c>
      <c r="L27" s="10"/>
      <c r="M27" s="11"/>
    </row>
    <row r="28" spans="4:1024" x14ac:dyDescent="0.25">
      <c r="K28" s="15" t="s">
        <v>73</v>
      </c>
      <c r="L28" s="10"/>
      <c r="M28" s="11"/>
    </row>
    <row r="29" spans="4:1024" x14ac:dyDescent="0.25">
      <c r="K29" s="15" t="s">
        <v>74</v>
      </c>
      <c r="L29" s="10"/>
      <c r="M29" s="11"/>
    </row>
    <row r="30" spans="4:1024" x14ac:dyDescent="0.25">
      <c r="D30" s="38" t="s">
        <v>75</v>
      </c>
      <c r="K30" s="15" t="s">
        <v>76</v>
      </c>
      <c r="L30" s="10"/>
      <c r="M30" s="11"/>
    </row>
    <row r="31" spans="4:1024" x14ac:dyDescent="0.25">
      <c r="D31" s="833" t="s">
        <v>77</v>
      </c>
      <c r="E31" s="833"/>
      <c r="F31" s="833"/>
      <c r="G31" s="833"/>
      <c r="K31" s="15" t="s">
        <v>78</v>
      </c>
      <c r="L31" s="10"/>
      <c r="M31" s="11"/>
    </row>
    <row r="32" spans="4:1024" s="2" customFormat="1" x14ac:dyDescent="0.25">
      <c r="D32" s="16" t="s">
        <v>79</v>
      </c>
      <c r="E32" s="16" t="s">
        <v>80</v>
      </c>
      <c r="F32" s="16" t="s">
        <v>81</v>
      </c>
      <c r="G32" s="16" t="s">
        <v>42</v>
      </c>
      <c r="K32" s="15" t="s">
        <v>82</v>
      </c>
      <c r="L32" s="10"/>
      <c r="M32" s="11"/>
      <c r="AMI32" s="4"/>
      <c r="AMJ32"/>
    </row>
    <row r="33" spans="2:13" x14ac:dyDescent="0.25">
      <c r="D33" s="16" t="s">
        <v>83</v>
      </c>
      <c r="E33" s="16" t="s">
        <v>83</v>
      </c>
      <c r="F33" s="16" t="s">
        <v>83</v>
      </c>
      <c r="G33" s="44" t="s">
        <v>84</v>
      </c>
      <c r="K33" s="15" t="s">
        <v>85</v>
      </c>
      <c r="L33" s="10"/>
      <c r="M33" s="11"/>
    </row>
    <row r="34" spans="2:13" x14ac:dyDescent="0.25">
      <c r="K34" s="51" t="s">
        <v>86</v>
      </c>
      <c r="L34" s="10"/>
      <c r="M34" s="11"/>
    </row>
    <row r="35" spans="2:13" ht="13.9" customHeight="1" x14ac:dyDescent="0.25">
      <c r="D35" s="834" t="s">
        <v>87</v>
      </c>
      <c r="E35" s="834"/>
      <c r="F35" s="834"/>
      <c r="K35" s="15" t="s">
        <v>88</v>
      </c>
      <c r="L35" s="10"/>
      <c r="M35" s="11"/>
    </row>
    <row r="36" spans="2:13" x14ac:dyDescent="0.25">
      <c r="D36" s="16" t="s">
        <v>38</v>
      </c>
      <c r="E36" s="44" t="s">
        <v>54</v>
      </c>
      <c r="F36" s="44" t="s">
        <v>42</v>
      </c>
      <c r="K36" s="15" t="s">
        <v>89</v>
      </c>
      <c r="L36" s="10"/>
      <c r="M36" s="11"/>
    </row>
    <row r="37" spans="2:13" x14ac:dyDescent="0.25">
      <c r="D37" s="16" t="s">
        <v>90</v>
      </c>
      <c r="E37" s="40">
        <v>2.7699999999999999E-2</v>
      </c>
      <c r="F37" s="44" t="s">
        <v>57</v>
      </c>
      <c r="K37" s="15" t="s">
        <v>91</v>
      </c>
      <c r="L37" s="10"/>
      <c r="M37" s="11"/>
    </row>
    <row r="39" spans="2:13" x14ac:dyDescent="0.25">
      <c r="D39" s="38" t="s">
        <v>92</v>
      </c>
    </row>
    <row r="40" spans="2:13" x14ac:dyDescent="0.25">
      <c r="D40" s="16" t="s">
        <v>93</v>
      </c>
      <c r="E40" s="44" t="s">
        <v>61</v>
      </c>
      <c r="F40" s="44" t="s">
        <v>75</v>
      </c>
      <c r="G40" s="44" t="s">
        <v>94</v>
      </c>
    </row>
    <row r="41" spans="2:13" x14ac:dyDescent="0.25">
      <c r="D41" s="16" t="s">
        <v>95</v>
      </c>
      <c r="E41" s="44" t="s">
        <v>96</v>
      </c>
      <c r="F41" s="44" t="s">
        <v>97</v>
      </c>
      <c r="G41" s="44" t="s">
        <v>98</v>
      </c>
    </row>
    <row r="43" spans="2:13" x14ac:dyDescent="0.25">
      <c r="B43" s="38"/>
    </row>
    <row r="44" spans="2:13" x14ac:dyDescent="0.25">
      <c r="B44" s="8" t="s">
        <v>99</v>
      </c>
      <c r="C44" s="41"/>
      <c r="D44" s="41"/>
      <c r="E44" s="42"/>
      <c r="F44" s="42"/>
    </row>
    <row r="45" spans="2:13" x14ac:dyDescent="0.25">
      <c r="B45" s="2">
        <v>2021</v>
      </c>
      <c r="C45" s="2">
        <v>253</v>
      </c>
      <c r="D45" s="2" t="s">
        <v>100</v>
      </c>
    </row>
    <row r="46" spans="2:13" x14ac:dyDescent="0.25">
      <c r="B46" s="52" t="s">
        <v>101</v>
      </c>
      <c r="C46" s="44" t="s">
        <v>102</v>
      </c>
      <c r="D46" s="44" t="s">
        <v>103</v>
      </c>
      <c r="E46" s="44"/>
      <c r="F46" s="44"/>
    </row>
    <row r="47" spans="2:13" x14ac:dyDescent="0.25">
      <c r="B47" s="16" t="s">
        <v>104</v>
      </c>
      <c r="C47" s="16">
        <v>1</v>
      </c>
      <c r="D47" s="16">
        <v>30</v>
      </c>
      <c r="E47" s="40">
        <f>C45/365</f>
        <v>0.69315068493150689</v>
      </c>
      <c r="F47" s="53">
        <f t="shared" ref="F47:F58" si="0">(C47*D47)*E47</f>
        <v>20.794520547945208</v>
      </c>
    </row>
    <row r="48" spans="2:13" x14ac:dyDescent="0.25">
      <c r="B48" s="16" t="s">
        <v>105</v>
      </c>
      <c r="C48" s="16">
        <v>1</v>
      </c>
      <c r="D48" s="16">
        <v>1</v>
      </c>
      <c r="E48" s="40">
        <v>1</v>
      </c>
      <c r="F48" s="53">
        <f t="shared" si="0"/>
        <v>1</v>
      </c>
    </row>
    <row r="49" spans="2:6" x14ac:dyDescent="0.25">
      <c r="B49" s="16" t="s">
        <v>106</v>
      </c>
      <c r="C49" s="16">
        <v>9.2200000000000004E-2</v>
      </c>
      <c r="D49" s="16">
        <v>15</v>
      </c>
      <c r="E49" s="40">
        <v>0.69320000000000004</v>
      </c>
      <c r="F49" s="53">
        <f t="shared" si="0"/>
        <v>0.95869560000000009</v>
      </c>
    </row>
    <row r="50" spans="2:6" x14ac:dyDescent="0.25">
      <c r="B50" s="16" t="s">
        <v>107</v>
      </c>
      <c r="C50" s="16">
        <v>1</v>
      </c>
      <c r="D50" s="16">
        <v>5</v>
      </c>
      <c r="E50" s="40">
        <v>0.69320000000000004</v>
      </c>
      <c r="F50" s="53">
        <f t="shared" si="0"/>
        <v>3.4660000000000002</v>
      </c>
    </row>
    <row r="51" spans="2:6" x14ac:dyDescent="0.25">
      <c r="B51" s="16" t="s">
        <v>108</v>
      </c>
      <c r="C51" s="16">
        <v>0.13439999999999999</v>
      </c>
      <c r="D51" s="16">
        <v>2</v>
      </c>
      <c r="E51" s="40">
        <v>1</v>
      </c>
      <c r="F51" s="53">
        <f t="shared" si="0"/>
        <v>0.26879999999999998</v>
      </c>
    </row>
    <row r="52" spans="2:6" x14ac:dyDescent="0.25">
      <c r="B52" s="16" t="s">
        <v>109</v>
      </c>
      <c r="C52" s="16">
        <v>3.0499999999999999E-2</v>
      </c>
      <c r="D52" s="16">
        <v>2</v>
      </c>
      <c r="E52" s="40">
        <v>0.69320000000000004</v>
      </c>
      <c r="F52" s="53">
        <f t="shared" si="0"/>
        <v>4.2285200000000002E-2</v>
      </c>
    </row>
    <row r="53" spans="2:6" x14ac:dyDescent="0.25">
      <c r="B53" s="16" t="s">
        <v>110</v>
      </c>
      <c r="C53" s="16">
        <v>1.18E-2</v>
      </c>
      <c r="D53" s="16">
        <v>3</v>
      </c>
      <c r="E53" s="40">
        <v>1</v>
      </c>
      <c r="F53" s="53">
        <f t="shared" si="0"/>
        <v>3.5400000000000001E-2</v>
      </c>
    </row>
    <row r="54" spans="2:6" x14ac:dyDescent="0.25">
      <c r="B54" s="16" t="s">
        <v>111</v>
      </c>
      <c r="C54" s="16">
        <v>0.02</v>
      </c>
      <c r="D54" s="16">
        <v>1</v>
      </c>
      <c r="E54" s="40">
        <v>1</v>
      </c>
      <c r="F54" s="53">
        <f t="shared" si="0"/>
        <v>0.02</v>
      </c>
    </row>
    <row r="55" spans="2:6" x14ac:dyDescent="0.25">
      <c r="B55" s="16" t="s">
        <v>112</v>
      </c>
      <c r="C55" s="16">
        <v>4.0000000000000001E-3</v>
      </c>
      <c r="D55" s="16">
        <v>1</v>
      </c>
      <c r="E55" s="40">
        <v>1</v>
      </c>
      <c r="F55" s="53">
        <f t="shared" si="0"/>
        <v>4.0000000000000001E-3</v>
      </c>
    </row>
    <row r="56" spans="2:6" x14ac:dyDescent="0.25">
      <c r="B56" s="16" t="s">
        <v>113</v>
      </c>
      <c r="C56" s="16">
        <v>1.43E-2</v>
      </c>
      <c r="D56" s="16">
        <v>20</v>
      </c>
      <c r="E56" s="40">
        <v>0.69320000000000004</v>
      </c>
      <c r="F56" s="53">
        <f t="shared" si="0"/>
        <v>0.19825520000000002</v>
      </c>
    </row>
    <row r="57" spans="2:6" x14ac:dyDescent="0.25">
      <c r="B57" s="16" t="s">
        <v>114</v>
      </c>
      <c r="C57" s="16">
        <v>1.9699999999999999E-2</v>
      </c>
      <c r="D57" s="16">
        <v>180</v>
      </c>
      <c r="E57" s="40">
        <v>0.69320000000000004</v>
      </c>
      <c r="F57" s="53">
        <f t="shared" si="0"/>
        <v>2.4580872</v>
      </c>
    </row>
    <row r="58" spans="2:6" x14ac:dyDescent="0.25">
      <c r="B58" s="16" t="s">
        <v>115</v>
      </c>
      <c r="C58" s="16">
        <v>1.6000000000000001E-3</v>
      </c>
      <c r="D58" s="16">
        <v>6</v>
      </c>
      <c r="E58" s="40">
        <v>1</v>
      </c>
      <c r="F58" s="53">
        <f t="shared" si="0"/>
        <v>9.6000000000000009E-3</v>
      </c>
    </row>
    <row r="59" spans="2:6" x14ac:dyDescent="0.25">
      <c r="F59" s="54">
        <f>SUM(F47:F58)</f>
        <v>29.255643747945204</v>
      </c>
    </row>
    <row r="60" spans="2:6" x14ac:dyDescent="0.25">
      <c r="C60" s="2" t="s">
        <v>116</v>
      </c>
    </row>
    <row r="61" spans="2:6" x14ac:dyDescent="0.25">
      <c r="C61" s="2" t="s">
        <v>38</v>
      </c>
      <c r="D61" s="2" t="s">
        <v>117</v>
      </c>
      <c r="E61" s="3" t="s">
        <v>42</v>
      </c>
    </row>
    <row r="62" spans="2:6" x14ac:dyDescent="0.25">
      <c r="C62" s="2" t="s">
        <v>118</v>
      </c>
      <c r="D62" s="2">
        <v>30</v>
      </c>
      <c r="E62" s="3" t="s">
        <v>119</v>
      </c>
    </row>
    <row r="64" spans="2:6" x14ac:dyDescent="0.25">
      <c r="C64" s="2" t="s">
        <v>120</v>
      </c>
    </row>
    <row r="65" spans="3:6" x14ac:dyDescent="0.25">
      <c r="C65" s="2" t="s">
        <v>116</v>
      </c>
      <c r="D65" s="2" t="s">
        <v>121</v>
      </c>
      <c r="E65" s="3" t="s">
        <v>122</v>
      </c>
      <c r="F65" s="3" t="s">
        <v>123</v>
      </c>
    </row>
    <row r="66" spans="3:6" x14ac:dyDescent="0.25">
      <c r="C66" s="2" t="s">
        <v>124</v>
      </c>
      <c r="D66" s="2" t="s">
        <v>125</v>
      </c>
      <c r="E66" s="3" t="s">
        <v>126</v>
      </c>
      <c r="F66" s="3" t="s">
        <v>127</v>
      </c>
    </row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</sheetData>
  <mergeCells count="9">
    <mergeCell ref="D25:F25"/>
    <mergeCell ref="D31:G31"/>
    <mergeCell ref="D35:F35"/>
    <mergeCell ref="C2:E2"/>
    <mergeCell ref="D11:F11"/>
    <mergeCell ref="G11:I11"/>
    <mergeCell ref="D15:F15"/>
    <mergeCell ref="D21:F21"/>
    <mergeCell ref="G21:I2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6" zoomScaleNormal="100" workbookViewId="0">
      <selection activeCell="H64" sqref="H61:H64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0.7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Cal'!M14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Cal'!L14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.7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PGR'!C15</f>
        <v>289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PGR'!D15</f>
        <v>21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PGR'!E15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PGR'!F15</f>
        <v>24.4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PGR'!G15</f>
        <v>604.52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PGR'!H15</f>
        <v>150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PGR'!I15</f>
        <v>166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PGR'!J15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PGR'!K15</f>
        <v>84.6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PGR'!L15</f>
        <v>42.3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45" zoomScaleNormal="100" workbookViewId="0">
      <selection activeCell="H54" sqref="H54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6.2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Cal'!M15</f>
        <v>0</v>
      </c>
      <c r="C41" s="417"/>
      <c r="D41" s="417"/>
      <c r="E41" s="418"/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Cal'!L15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8.2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PGR'!C16</f>
        <v>289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PGR'!D16</f>
        <v>21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PGR'!E16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PGR'!F16</f>
        <v>24.4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PGR'!G16</f>
        <v>476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PGR'!H16</f>
        <v>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PGR'!I16</f>
        <v>55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PGR'!J16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PGR'!K16</f>
        <v>84.6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PGR'!L16</f>
        <v>42.3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4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7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Cal'!M16</f>
        <v>0</v>
      </c>
      <c r="C41" s="417"/>
      <c r="D41" s="417"/>
      <c r="E41" s="418"/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46.5" x14ac:dyDescent="0.2">
      <c r="A61" s="817" t="s">
        <v>780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Cal'!L16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PGR'!C17</f>
        <v>289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PGR'!D17</f>
        <v>21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PGR'!E17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PGR'!F17</f>
        <v>24.4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PGR'!G17</f>
        <v>1147.47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PGR'!H17</f>
        <v>150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PGR'!I17</f>
        <v>259.2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PGR'!J17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PGR'!K17</f>
        <v>84.6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PGR'!L17</f>
        <v>42.3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4" zoomScaleNormal="100" workbookViewId="0">
      <selection activeCell="G61" sqref="G61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0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Cal'!M17</f>
        <v>0</v>
      </c>
      <c r="C41" s="417"/>
      <c r="D41" s="417"/>
      <c r="E41" s="418"/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(B43*D13)*22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Cal'!G8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Cal'!L17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9.2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PGR'!C18</f>
        <v>289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PGR'!D18</f>
        <v>21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PGR'!E18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PGR'!F18</f>
        <v>24.4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PGR'!G18</f>
        <v>1364.38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PGR'!H18</f>
        <v>200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PGR'!I18</f>
        <v>74.5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PGR'!J18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PGR'!K18</f>
        <v>84.6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PGR'!L18</f>
        <v>42.3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54" zoomScaleNormal="100" workbookViewId="0">
      <selection activeCell="I68" sqref="I65:I68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9.2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Cal'!M18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(B43*D13)*22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Cal'!G7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Cal'!G8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Cal'!L18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5.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PGR'!C19</f>
        <v>289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PGR'!D19</f>
        <v>21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PGR'!E19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PGR'!F19</f>
        <v>24.4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PGR'!G19</f>
        <v>1078.0999999999999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PGR'!H19</f>
        <v>350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PGR'!I19</f>
        <v>91.5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PGR'!J19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PGR'!K19</f>
        <v>84.6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PGR'!L19</f>
        <v>42.3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187"/>
  <sheetViews>
    <sheetView topLeftCell="A45" zoomScaleNormal="100" workbookViewId="0">
      <selection activeCell="H67" sqref="H67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8.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Cal'!M19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(B43*D13)*22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Cal'!G7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Cal'!G8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Cal'!L19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6.2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2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C155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'Encar PGR e CTB'!D112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712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A117</f>
        <v>AI-1 Área Interna pisos frios</v>
      </c>
      <c r="B177" s="943"/>
      <c r="C177" s="1">
        <f>D121</f>
        <v>0</v>
      </c>
      <c r="D177" s="513">
        <f>'Produt. Postos PGR'!C20</f>
        <v>289</v>
      </c>
      <c r="E177" s="514">
        <f t="shared" ref="E177:E186" si="5">C177*D177</f>
        <v>0</v>
      </c>
    </row>
    <row r="178" spans="1:5" x14ac:dyDescent="0.2">
      <c r="A178" s="943" t="str">
        <f>A126</f>
        <v>AI-2 Área interna (Almoxarifado, Galpões, arquivos )</v>
      </c>
      <c r="B178" s="943"/>
      <c r="C178" s="1">
        <f>D130</f>
        <v>0</v>
      </c>
      <c r="D178" s="513">
        <f>'Produt. Postos PGR'!D20</f>
        <v>21</v>
      </c>
      <c r="E178" s="514">
        <f t="shared" si="5"/>
        <v>0</v>
      </c>
    </row>
    <row r="179" spans="1:5" x14ac:dyDescent="0.2">
      <c r="A179" s="943" t="str">
        <f>A135</f>
        <v>AI-3 Área interna Espaços Livres (saguão, hall, salão)</v>
      </c>
      <c r="B179" s="943"/>
      <c r="C179" s="1">
        <f>D139</f>
        <v>0</v>
      </c>
      <c r="D179" s="513">
        <f>'Produt. Postos PGR'!E20</f>
        <v>0</v>
      </c>
      <c r="E179" s="514">
        <f t="shared" si="5"/>
        <v>0</v>
      </c>
    </row>
    <row r="180" spans="1:5" x14ac:dyDescent="0.2">
      <c r="A180" s="943" t="str">
        <f>A144</f>
        <v>AI-4 Área interna  Banheiros</v>
      </c>
      <c r="B180" s="943"/>
      <c r="C180" s="1">
        <f>D148</f>
        <v>0</v>
      </c>
      <c r="D180" s="513">
        <f>'Produt. Postos PGR'!F20</f>
        <v>24.4</v>
      </c>
      <c r="E180" s="514">
        <f t="shared" si="5"/>
        <v>0</v>
      </c>
    </row>
    <row r="181" spans="1:5" x14ac:dyDescent="0.2">
      <c r="A181" s="943" t="str">
        <f>A152</f>
        <v>AE-1 Área Externa pisos adjacentes às edificações</v>
      </c>
      <c r="B181" s="943"/>
      <c r="C181" s="1">
        <f>D154</f>
        <v>0</v>
      </c>
      <c r="D181" s="513">
        <f>'Produt. Postos PGR'!G20</f>
        <v>878.64</v>
      </c>
      <c r="E181" s="514">
        <f t="shared" si="5"/>
        <v>0</v>
      </c>
    </row>
    <row r="182" spans="1:5" x14ac:dyDescent="0.2">
      <c r="A182" s="943" t="str">
        <f>A155</f>
        <v>AE-2 Área Externa áreas verdes</v>
      </c>
      <c r="B182" s="943"/>
      <c r="C182" s="1">
        <f>D157</f>
        <v>0</v>
      </c>
      <c r="D182" s="513">
        <f>'Produt. Postos PGR'!H20</f>
        <v>150</v>
      </c>
      <c r="E182" s="514">
        <f t="shared" si="5"/>
        <v>0</v>
      </c>
    </row>
    <row r="183" spans="1:5" x14ac:dyDescent="0.2">
      <c r="A183" s="943" t="str">
        <f>A158</f>
        <v>AE-3 Área Externa arruamento, passeios</v>
      </c>
      <c r="B183" s="943"/>
      <c r="C183" s="1">
        <f>D160</f>
        <v>0</v>
      </c>
      <c r="D183" s="513">
        <f>'Produt. Postos PGR'!I20</f>
        <v>66.7</v>
      </c>
      <c r="E183" s="514">
        <f t="shared" si="5"/>
        <v>0</v>
      </c>
    </row>
    <row r="184" spans="1:5" x14ac:dyDescent="0.2">
      <c r="A184" s="943" t="str">
        <f>A164</f>
        <v xml:space="preserve">EER Área de Esquadria Face Externa COM exposição a risco </v>
      </c>
      <c r="B184" s="943"/>
      <c r="C184" s="1">
        <f>D166</f>
        <v>0</v>
      </c>
      <c r="D184" s="513">
        <f>'Produt. Postos PGR'!J20</f>
        <v>0</v>
      </c>
      <c r="E184" s="514">
        <f t="shared" si="5"/>
        <v>0</v>
      </c>
    </row>
    <row r="185" spans="1:5" x14ac:dyDescent="0.2">
      <c r="A185" s="943" t="str">
        <f>A167</f>
        <v>EE Área de Esquadria Face Externa SEM exposição a risco</v>
      </c>
      <c r="B185" s="943"/>
      <c r="C185" s="1">
        <f>D169</f>
        <v>0</v>
      </c>
      <c r="D185" s="513">
        <f>'Produt. Postos PGR'!K20</f>
        <v>84.6</v>
      </c>
      <c r="E185" s="514">
        <f t="shared" si="5"/>
        <v>0</v>
      </c>
    </row>
    <row r="186" spans="1:5" x14ac:dyDescent="0.2">
      <c r="A186" s="943" t="str">
        <f>A170</f>
        <v>EI Área de Esquadria Face Interna</v>
      </c>
      <c r="B186" s="943"/>
      <c r="C186" s="1">
        <f>D172</f>
        <v>0</v>
      </c>
      <c r="D186" s="513">
        <f>'Produt. Postos PGR'!L20</f>
        <v>42.3</v>
      </c>
      <c r="E186" s="515">
        <f t="shared" si="5"/>
        <v>0</v>
      </c>
    </row>
    <row r="187" spans="1:5" x14ac:dyDescent="0.2">
      <c r="E187" s="516">
        <f>SUM(E177:E186)</f>
        <v>0</v>
      </c>
    </row>
  </sheetData>
  <mergeCells count="45"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235"/>
  </sheetPr>
  <dimension ref="A1:AMM33"/>
  <sheetViews>
    <sheetView zoomScaleNormal="10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AE10" sqref="AE10"/>
    </sheetView>
  </sheetViews>
  <sheetFormatPr defaultColWidth="10.625" defaultRowHeight="15" x14ac:dyDescent="0.25"/>
  <cols>
    <col min="1" max="1" width="29.25" style="225" customWidth="1"/>
    <col min="2" max="2" width="6" style="225" customWidth="1"/>
    <col min="3" max="3" width="8.5" style="225" customWidth="1"/>
    <col min="4" max="5" width="9.25" style="225" customWidth="1"/>
    <col min="6" max="6" width="9.125" style="225" customWidth="1"/>
    <col min="7" max="10" width="9.25" style="225" customWidth="1"/>
    <col min="11" max="11" width="9.125" style="225" customWidth="1"/>
    <col min="12" max="12" width="11.5" style="225" customWidth="1"/>
    <col min="13" max="13" width="9.25" style="225" customWidth="1"/>
    <col min="14" max="14" width="12.625" style="225" customWidth="1"/>
    <col min="15" max="15" width="8.25" style="225" customWidth="1"/>
    <col min="16" max="16" width="7.625" style="225" customWidth="1"/>
    <col min="17" max="17" width="12.375" style="225" customWidth="1"/>
    <col min="18" max="18" width="8.375" style="225" customWidth="1"/>
    <col min="19" max="19" width="9.25" style="225" customWidth="1"/>
    <col min="20" max="20" width="10" style="225" customWidth="1"/>
    <col min="21" max="21" width="9.875" style="225" customWidth="1"/>
    <col min="22" max="22" width="6.25" style="225" customWidth="1"/>
    <col min="23" max="23" width="7.625" style="225" customWidth="1"/>
    <col min="24" max="24" width="7" style="225" customWidth="1"/>
    <col min="25" max="25" width="8.5" style="225" customWidth="1"/>
    <col min="26" max="26" width="6.875" style="225" customWidth="1"/>
    <col min="27" max="27" width="7.75" style="225" customWidth="1"/>
    <col min="28" max="28" width="1.5" style="225" customWidth="1"/>
    <col min="29" max="1010" width="10.625" style="226"/>
    <col min="1011" max="1011" width="9" style="225" customWidth="1"/>
    <col min="1012" max="1027" width="8.625" style="225" customWidth="1"/>
  </cols>
  <sheetData>
    <row r="1" spans="1:28" ht="15.75" customHeight="1" x14ac:dyDescent="0.25">
      <c r="A1" s="226"/>
      <c r="B1" s="226"/>
      <c r="C1" s="929" t="s">
        <v>609</v>
      </c>
      <c r="D1" s="929"/>
      <c r="E1" s="929"/>
      <c r="F1" s="929"/>
      <c r="G1" s="930" t="s">
        <v>610</v>
      </c>
      <c r="H1" s="930"/>
      <c r="I1" s="930"/>
      <c r="J1" s="930"/>
      <c r="K1" s="948" t="s">
        <v>611</v>
      </c>
      <c r="L1" s="948"/>
      <c r="M1" s="948"/>
      <c r="N1" s="932" t="s">
        <v>612</v>
      </c>
      <c r="O1" s="932"/>
      <c r="P1" s="932"/>
      <c r="Q1" s="932"/>
      <c r="R1" s="932"/>
      <c r="S1" s="932"/>
      <c r="T1" s="949" t="s">
        <v>613</v>
      </c>
      <c r="U1" s="949"/>
      <c r="V1" s="933" t="s">
        <v>614</v>
      </c>
      <c r="W1" s="934"/>
      <c r="X1" s="925" t="s">
        <v>615</v>
      </c>
      <c r="Y1" s="945"/>
      <c r="Z1" s="946" t="s">
        <v>616</v>
      </c>
      <c r="AA1" s="947"/>
      <c r="AB1" s="522"/>
    </row>
    <row r="2" spans="1:28" ht="120" x14ac:dyDescent="0.25">
      <c r="A2" s="228" t="s">
        <v>617</v>
      </c>
      <c r="B2" s="229" t="s">
        <v>618</v>
      </c>
      <c r="C2" s="230" t="s">
        <v>619</v>
      </c>
      <c r="D2" s="230" t="s">
        <v>620</v>
      </c>
      <c r="E2" s="230" t="s">
        <v>621</v>
      </c>
      <c r="F2" s="230" t="s">
        <v>622</v>
      </c>
      <c r="G2" s="231" t="s">
        <v>623</v>
      </c>
      <c r="H2" s="232" t="s">
        <v>714</v>
      </c>
      <c r="I2" s="523" t="s">
        <v>396</v>
      </c>
      <c r="J2" s="231" t="s">
        <v>625</v>
      </c>
      <c r="K2" s="523" t="s">
        <v>715</v>
      </c>
      <c r="L2" s="524" t="s">
        <v>716</v>
      </c>
      <c r="M2" s="525" t="s">
        <v>717</v>
      </c>
      <c r="N2" s="607" t="s">
        <v>718</v>
      </c>
      <c r="O2" s="608" t="s">
        <v>630</v>
      </c>
      <c r="P2" s="609" t="s">
        <v>637</v>
      </c>
      <c r="Q2" s="526" t="s">
        <v>719</v>
      </c>
      <c r="R2" s="528" t="s">
        <v>633</v>
      </c>
      <c r="S2" s="527" t="s">
        <v>634</v>
      </c>
      <c r="T2" s="523" t="s">
        <v>635</v>
      </c>
      <c r="U2" s="523" t="s">
        <v>720</v>
      </c>
      <c r="V2" s="676" t="s">
        <v>636</v>
      </c>
      <c r="W2" s="680" t="s">
        <v>637</v>
      </c>
      <c r="X2" s="681" t="s">
        <v>638</v>
      </c>
      <c r="Y2" s="650" t="s">
        <v>639</v>
      </c>
      <c r="Z2" s="677" t="s">
        <v>640</v>
      </c>
      <c r="AA2" s="651" t="s">
        <v>641</v>
      </c>
      <c r="AB2" s="522"/>
    </row>
    <row r="3" spans="1:28" x14ac:dyDescent="0.25">
      <c r="A3" s="198" t="s">
        <v>64</v>
      </c>
      <c r="B3" s="238" t="s">
        <v>649</v>
      </c>
      <c r="C3" s="239">
        <v>7101.45</v>
      </c>
      <c r="D3" s="239">
        <v>2611.9</v>
      </c>
      <c r="E3" s="529">
        <v>1841.99</v>
      </c>
      <c r="F3" s="239">
        <v>209.96</v>
      </c>
      <c r="G3" s="529">
        <v>294.07</v>
      </c>
      <c r="H3" s="239"/>
      <c r="I3" s="240"/>
      <c r="J3" s="239">
        <v>239.4</v>
      </c>
      <c r="K3" s="240">
        <v>3040.81</v>
      </c>
      <c r="L3" s="529">
        <v>250</v>
      </c>
      <c r="M3" s="530">
        <v>3290.81</v>
      </c>
      <c r="N3" s="610">
        <f t="shared" ref="N3:N19" si="0">C3/$C$21+D3/$D$21+E3/$E$21+F3/$F$21+G3/$G$21+H3/$H$21+J3/$J$21+L3/$L$21*16*1/188.76+M3/$M$21*16*1/188.76</f>
        <v>12.679393883814218</v>
      </c>
      <c r="O3" s="611">
        <v>13</v>
      </c>
      <c r="P3" s="611" t="s">
        <v>649</v>
      </c>
      <c r="Q3" s="531">
        <f>O3*'CRB 40h'!C114</f>
        <v>0</v>
      </c>
      <c r="R3" s="531">
        <f t="shared" ref="R3:R19" si="1">O3-S3</f>
        <v>10</v>
      </c>
      <c r="S3" s="531">
        <v>3</v>
      </c>
      <c r="T3" s="620">
        <f t="shared" ref="T3:T19" si="2">8*(1/1132.6)*(K3/$K$21)</f>
        <v>0.13424024368709167</v>
      </c>
      <c r="U3" s="621">
        <f t="shared" ref="U3:U19" si="3">H3/1800</f>
        <v>0</v>
      </c>
      <c r="V3" s="622" t="s">
        <v>652</v>
      </c>
      <c r="W3" s="623"/>
      <c r="X3" s="618">
        <v>1</v>
      </c>
      <c r="Y3" s="675" t="s">
        <v>649</v>
      </c>
      <c r="Z3" s="641">
        <v>2</v>
      </c>
      <c r="AA3" s="646" t="s">
        <v>10</v>
      </c>
      <c r="AB3" s="532"/>
    </row>
    <row r="4" spans="1:28" x14ac:dyDescent="0.25">
      <c r="A4" s="199" t="s">
        <v>13</v>
      </c>
      <c r="B4" s="35" t="s">
        <v>651</v>
      </c>
      <c r="C4" s="247">
        <v>150</v>
      </c>
      <c r="D4" s="247">
        <v>3000</v>
      </c>
      <c r="E4" s="533"/>
      <c r="F4" s="247">
        <v>20.62</v>
      </c>
      <c r="G4" s="533">
        <v>774.35</v>
      </c>
      <c r="H4" s="247">
        <v>4270</v>
      </c>
      <c r="I4" s="248">
        <v>4270</v>
      </c>
      <c r="J4" s="247"/>
      <c r="K4" s="248">
        <v>48.7</v>
      </c>
      <c r="L4" s="533"/>
      <c r="M4" s="534">
        <v>48.7</v>
      </c>
      <c r="N4" s="612">
        <f t="shared" si="0"/>
        <v>2.7329042511608539</v>
      </c>
      <c r="O4" s="613">
        <v>3</v>
      </c>
      <c r="P4" s="613" t="s">
        <v>651</v>
      </c>
      <c r="Q4" s="535">
        <f>O4*'CRB 30h'!C114</f>
        <v>0</v>
      </c>
      <c r="R4" s="535">
        <f t="shared" si="1"/>
        <v>2</v>
      </c>
      <c r="S4" s="535">
        <v>1</v>
      </c>
      <c r="T4" s="624">
        <f t="shared" si="2"/>
        <v>2.1499205368179413E-3</v>
      </c>
      <c r="U4" s="625">
        <f t="shared" si="3"/>
        <v>2.3722222222222222</v>
      </c>
      <c r="V4" s="626" t="s">
        <v>652</v>
      </c>
      <c r="W4" s="537"/>
      <c r="X4" s="616"/>
      <c r="Y4" s="675"/>
      <c r="Z4" s="641"/>
      <c r="AA4" s="642"/>
      <c r="AB4" s="536"/>
    </row>
    <row r="5" spans="1:28" x14ac:dyDescent="0.25">
      <c r="A5" s="199" t="s">
        <v>66</v>
      </c>
      <c r="B5" s="35" t="s">
        <v>651</v>
      </c>
      <c r="C5" s="247"/>
      <c r="D5" s="247">
        <v>2807.4</v>
      </c>
      <c r="E5" s="533"/>
      <c r="F5" s="247">
        <v>126</v>
      </c>
      <c r="G5" s="533">
        <v>285.35000000000002</v>
      </c>
      <c r="H5" s="247">
        <v>42</v>
      </c>
      <c r="I5" s="248">
        <v>42</v>
      </c>
      <c r="J5" s="247">
        <v>40</v>
      </c>
      <c r="K5" s="248">
        <v>324.45</v>
      </c>
      <c r="L5" s="533">
        <v>35</v>
      </c>
      <c r="M5" s="534">
        <v>359.45</v>
      </c>
      <c r="N5" s="612">
        <f t="shared" si="0"/>
        <v>2.6269791953766592</v>
      </c>
      <c r="O5" s="613">
        <v>2</v>
      </c>
      <c r="P5" s="613" t="s">
        <v>651</v>
      </c>
      <c r="Q5" s="535">
        <f>O5*'CRB 30h'!C114</f>
        <v>0</v>
      </c>
      <c r="R5" s="535">
        <f t="shared" si="1"/>
        <v>1</v>
      </c>
      <c r="S5" s="535">
        <v>1</v>
      </c>
      <c r="T5" s="624">
        <f t="shared" si="2"/>
        <v>1.4323238566131028E-2</v>
      </c>
      <c r="U5" s="625">
        <f t="shared" si="3"/>
        <v>2.3333333333333334E-2</v>
      </c>
      <c r="V5" s="626" t="s">
        <v>652</v>
      </c>
      <c r="W5" s="537"/>
      <c r="X5" s="616"/>
      <c r="Y5" s="648"/>
      <c r="Z5" s="643"/>
      <c r="AA5" s="644"/>
      <c r="AB5" s="536"/>
    </row>
    <row r="6" spans="1:28" x14ac:dyDescent="0.25">
      <c r="A6" s="199" t="s">
        <v>67</v>
      </c>
      <c r="B6" s="35" t="s">
        <v>649</v>
      </c>
      <c r="C6" s="247">
        <v>5834.79</v>
      </c>
      <c r="D6" s="247">
        <v>61.05</v>
      </c>
      <c r="E6" s="533">
        <v>1401.94</v>
      </c>
      <c r="F6" s="247">
        <v>490.89</v>
      </c>
      <c r="G6" s="533">
        <v>640.38</v>
      </c>
      <c r="H6" s="247"/>
      <c r="I6" s="248"/>
      <c r="J6" s="247">
        <v>150</v>
      </c>
      <c r="K6" s="248">
        <v>2142</v>
      </c>
      <c r="L6" s="533">
        <v>178</v>
      </c>
      <c r="M6" s="534">
        <v>2320</v>
      </c>
      <c r="N6" s="612">
        <f t="shared" si="0"/>
        <v>10.351629935200368</v>
      </c>
      <c r="O6" s="613">
        <v>10</v>
      </c>
      <c r="P6" s="613" t="s">
        <v>649</v>
      </c>
      <c r="Q6" s="535">
        <f>O6*'CRB 40h'!C114</f>
        <v>0</v>
      </c>
      <c r="R6" s="535">
        <f t="shared" si="1"/>
        <v>7</v>
      </c>
      <c r="S6" s="535">
        <v>3</v>
      </c>
      <c r="T6" s="624">
        <f t="shared" si="2"/>
        <v>9.4561186650185425E-2</v>
      </c>
      <c r="U6" s="625">
        <f t="shared" si="3"/>
        <v>0</v>
      </c>
      <c r="V6" s="626">
        <v>5</v>
      </c>
      <c r="W6" s="537" t="s">
        <v>651</v>
      </c>
      <c r="X6" s="616"/>
      <c r="Y6" s="648"/>
      <c r="Z6" s="643"/>
      <c r="AA6" s="644"/>
      <c r="AB6" s="536"/>
    </row>
    <row r="7" spans="1:28" x14ac:dyDescent="0.25">
      <c r="A7" s="199" t="s">
        <v>69</v>
      </c>
      <c r="B7" s="35" t="s">
        <v>651</v>
      </c>
      <c r="C7" s="247">
        <v>661.1</v>
      </c>
      <c r="D7" s="247">
        <v>152.5</v>
      </c>
      <c r="E7" s="533"/>
      <c r="F7" s="247">
        <v>55.33</v>
      </c>
      <c r="G7" s="533">
        <v>250</v>
      </c>
      <c r="H7" s="247">
        <v>1748.85</v>
      </c>
      <c r="I7" s="248">
        <v>1748.85</v>
      </c>
      <c r="J7" s="247">
        <v>216</v>
      </c>
      <c r="K7" s="248">
        <v>0</v>
      </c>
      <c r="L7" s="533">
        <v>124.35</v>
      </c>
      <c r="M7" s="534">
        <v>124.35</v>
      </c>
      <c r="N7" s="612">
        <f t="shared" si="0"/>
        <v>1.2933952359647267</v>
      </c>
      <c r="O7" s="613">
        <v>2</v>
      </c>
      <c r="P7" s="613" t="s">
        <v>651</v>
      </c>
      <c r="Q7" s="535">
        <f>O7*'CRB 30h'!C114</f>
        <v>0</v>
      </c>
      <c r="R7" s="535">
        <f t="shared" si="1"/>
        <v>1</v>
      </c>
      <c r="S7" s="535">
        <v>1</v>
      </c>
      <c r="T7" s="624">
        <f t="shared" si="2"/>
        <v>0</v>
      </c>
      <c r="U7" s="625">
        <f t="shared" si="3"/>
        <v>0.97158333333333324</v>
      </c>
      <c r="V7" s="626" t="s">
        <v>652</v>
      </c>
      <c r="W7" s="537"/>
      <c r="X7" s="616"/>
      <c r="Y7" s="648"/>
      <c r="Z7" s="643"/>
      <c r="AA7" s="644"/>
      <c r="AB7" s="536"/>
    </row>
    <row r="8" spans="1:28" x14ac:dyDescent="0.25">
      <c r="A8" s="199" t="s">
        <v>70</v>
      </c>
      <c r="B8" s="35" t="s">
        <v>649</v>
      </c>
      <c r="C8" s="247">
        <v>1995.94</v>
      </c>
      <c r="D8" s="247">
        <v>1396.82</v>
      </c>
      <c r="E8" s="533"/>
      <c r="F8" s="247">
        <v>152.38999999999999</v>
      </c>
      <c r="G8" s="533">
        <v>5714.19</v>
      </c>
      <c r="H8" s="533">
        <v>54.85</v>
      </c>
      <c r="I8" s="538">
        <v>54.85</v>
      </c>
      <c r="J8" s="247">
        <v>710</v>
      </c>
      <c r="K8" s="248">
        <v>100.25</v>
      </c>
      <c r="L8" s="533">
        <v>200</v>
      </c>
      <c r="M8" s="534">
        <v>300.25</v>
      </c>
      <c r="N8" s="612">
        <f t="shared" si="0"/>
        <v>7.1240588109490197</v>
      </c>
      <c r="O8" s="613">
        <v>6</v>
      </c>
      <c r="P8" s="613" t="s">
        <v>649</v>
      </c>
      <c r="Q8" s="535">
        <f>O8*'CRB 40h'!C114</f>
        <v>0</v>
      </c>
      <c r="R8" s="535">
        <f t="shared" si="1"/>
        <v>4</v>
      </c>
      <c r="S8" s="535">
        <v>2</v>
      </c>
      <c r="T8" s="624">
        <f t="shared" si="2"/>
        <v>4.4256577785626002E-3</v>
      </c>
      <c r="U8" s="625">
        <f t="shared" si="3"/>
        <v>3.0472222222222223E-2</v>
      </c>
      <c r="V8" s="626">
        <v>5</v>
      </c>
      <c r="W8" s="539" t="s">
        <v>649</v>
      </c>
      <c r="X8" s="616"/>
      <c r="Y8" s="648"/>
      <c r="Z8" s="643"/>
      <c r="AA8" s="644"/>
      <c r="AB8" s="536"/>
    </row>
    <row r="9" spans="1:28" x14ac:dyDescent="0.25">
      <c r="A9" s="199" t="s">
        <v>72</v>
      </c>
      <c r="B9" s="35" t="s">
        <v>649</v>
      </c>
      <c r="C9" s="247">
        <v>825.54</v>
      </c>
      <c r="D9" s="247">
        <v>825.54</v>
      </c>
      <c r="E9" s="533">
        <v>825.54</v>
      </c>
      <c r="F9" s="247">
        <v>143.30000000000001</v>
      </c>
      <c r="G9" s="533">
        <v>479</v>
      </c>
      <c r="H9" s="533">
        <v>263</v>
      </c>
      <c r="I9" s="538">
        <v>263</v>
      </c>
      <c r="J9" s="247">
        <v>150</v>
      </c>
      <c r="K9" s="248">
        <v>746.26</v>
      </c>
      <c r="L9" s="533">
        <v>373</v>
      </c>
      <c r="M9" s="534">
        <v>1119.26</v>
      </c>
      <c r="N9" s="612">
        <f t="shared" si="0"/>
        <v>3.2094615773115764</v>
      </c>
      <c r="O9" s="613">
        <v>3</v>
      </c>
      <c r="P9" s="613" t="s">
        <v>649</v>
      </c>
      <c r="Q9" s="535">
        <f>O9*'Par 40h'!C114</f>
        <v>0</v>
      </c>
      <c r="R9" s="535">
        <f t="shared" si="1"/>
        <v>2</v>
      </c>
      <c r="S9" s="535">
        <v>1</v>
      </c>
      <c r="T9" s="624">
        <f t="shared" si="2"/>
        <v>3.2944552357407737E-2</v>
      </c>
      <c r="U9" s="625">
        <f t="shared" si="3"/>
        <v>0.14611111111111111</v>
      </c>
      <c r="V9" s="626">
        <v>1</v>
      </c>
      <c r="W9" s="537" t="s">
        <v>651</v>
      </c>
      <c r="X9" s="616"/>
      <c r="Y9" s="648"/>
      <c r="Z9" s="643"/>
      <c r="AA9" s="644"/>
      <c r="AB9" s="536"/>
    </row>
    <row r="10" spans="1:28" x14ac:dyDescent="0.25">
      <c r="A10" s="199" t="s">
        <v>73</v>
      </c>
      <c r="B10" s="35" t="s">
        <v>649</v>
      </c>
      <c r="C10" s="247">
        <v>475.66</v>
      </c>
      <c r="D10" s="247"/>
      <c r="E10" s="533"/>
      <c r="F10" s="247">
        <v>20.21</v>
      </c>
      <c r="G10" s="533">
        <v>18.600000000000001</v>
      </c>
      <c r="H10" s="533"/>
      <c r="I10" s="538"/>
      <c r="J10" s="247">
        <v>436.74</v>
      </c>
      <c r="K10" s="248">
        <v>0</v>
      </c>
      <c r="L10" s="533">
        <v>60.08</v>
      </c>
      <c r="M10" s="534">
        <v>60.08</v>
      </c>
      <c r="N10" s="612">
        <f t="shared" si="0"/>
        <v>0.69501429198127773</v>
      </c>
      <c r="O10" s="613">
        <v>1</v>
      </c>
      <c r="P10" s="613" t="s">
        <v>649</v>
      </c>
      <c r="Q10" s="535">
        <f>O10*'Arauc 40h'!C114</f>
        <v>0</v>
      </c>
      <c r="R10" s="535">
        <f t="shared" si="1"/>
        <v>0</v>
      </c>
      <c r="S10" s="535">
        <v>1</v>
      </c>
      <c r="T10" s="624">
        <f t="shared" si="2"/>
        <v>0</v>
      </c>
      <c r="U10" s="625">
        <f t="shared" si="3"/>
        <v>0</v>
      </c>
      <c r="V10" s="626">
        <v>1</v>
      </c>
      <c r="W10" s="537" t="s">
        <v>651</v>
      </c>
      <c r="X10" s="616"/>
      <c r="Y10" s="648"/>
      <c r="Z10" s="643"/>
      <c r="AA10" s="644"/>
      <c r="AB10" s="536"/>
    </row>
    <row r="11" spans="1:28" x14ac:dyDescent="0.25">
      <c r="A11" s="199" t="s">
        <v>74</v>
      </c>
      <c r="B11" s="35" t="s">
        <v>649</v>
      </c>
      <c r="C11" s="247">
        <v>578.01</v>
      </c>
      <c r="D11" s="247">
        <v>289</v>
      </c>
      <c r="E11" s="533"/>
      <c r="F11" s="247">
        <v>31.02</v>
      </c>
      <c r="G11" s="533">
        <v>24.46</v>
      </c>
      <c r="H11" s="247"/>
      <c r="I11" s="248"/>
      <c r="J11" s="247">
        <v>37.5</v>
      </c>
      <c r="K11" s="248">
        <v>35.950000000000003</v>
      </c>
      <c r="L11" s="533">
        <v>35.950000000000003</v>
      </c>
      <c r="M11" s="534">
        <v>71.900000000000006</v>
      </c>
      <c r="N11" s="612">
        <f t="shared" si="0"/>
        <v>1.0007928379860438</v>
      </c>
      <c r="O11" s="613">
        <v>1</v>
      </c>
      <c r="P11" s="613" t="s">
        <v>649</v>
      </c>
      <c r="Q11" s="535">
        <f>O11*'SJP 40h'!C114</f>
        <v>0</v>
      </c>
      <c r="R11" s="535">
        <f t="shared" si="1"/>
        <v>0</v>
      </c>
      <c r="S11" s="535">
        <v>1</v>
      </c>
      <c r="T11" s="624">
        <f t="shared" si="2"/>
        <v>1.5870563305668377E-3</v>
      </c>
      <c r="U11" s="625">
        <f t="shared" si="3"/>
        <v>0</v>
      </c>
      <c r="V11" s="626">
        <v>1</v>
      </c>
      <c r="W11" s="537" t="s">
        <v>651</v>
      </c>
      <c r="X11" s="616"/>
      <c r="Y11" s="648"/>
      <c r="Z11" s="643"/>
      <c r="AA11" s="644"/>
      <c r="AB11" s="536"/>
    </row>
    <row r="12" spans="1:28" x14ac:dyDescent="0.25">
      <c r="A12" s="199" t="s">
        <v>76</v>
      </c>
      <c r="B12" s="35" t="s">
        <v>649</v>
      </c>
      <c r="C12" s="247">
        <v>757.45</v>
      </c>
      <c r="D12" s="247"/>
      <c r="E12" s="533">
        <v>60.69</v>
      </c>
      <c r="F12" s="247">
        <v>44.12</v>
      </c>
      <c r="G12" s="533">
        <v>258</v>
      </c>
      <c r="H12" s="247"/>
      <c r="I12" s="248"/>
      <c r="J12" s="247"/>
      <c r="K12" s="248">
        <v>0</v>
      </c>
      <c r="L12" s="533">
        <v>62.03</v>
      </c>
      <c r="M12" s="534">
        <v>62.03</v>
      </c>
      <c r="N12" s="612">
        <f t="shared" si="0"/>
        <v>1.2295575687682865</v>
      </c>
      <c r="O12" s="613">
        <v>1</v>
      </c>
      <c r="P12" s="613" t="s">
        <v>649</v>
      </c>
      <c r="Q12" s="535">
        <f>O12*'Colom 40h'!C114</f>
        <v>0</v>
      </c>
      <c r="R12" s="535">
        <f t="shared" si="1"/>
        <v>0</v>
      </c>
      <c r="S12" s="535">
        <v>1</v>
      </c>
      <c r="T12" s="624">
        <f t="shared" si="2"/>
        <v>0</v>
      </c>
      <c r="U12" s="625">
        <f t="shared" si="3"/>
        <v>0</v>
      </c>
      <c r="V12" s="626">
        <v>1</v>
      </c>
      <c r="W12" s="537" t="s">
        <v>651</v>
      </c>
      <c r="X12" s="616"/>
      <c r="Y12" s="648"/>
      <c r="Z12" s="643"/>
      <c r="AA12" s="644"/>
      <c r="AB12" s="536"/>
    </row>
    <row r="13" spans="1:28" x14ac:dyDescent="0.25">
      <c r="A13" s="199" t="s">
        <v>78</v>
      </c>
      <c r="B13" s="35" t="s">
        <v>651</v>
      </c>
      <c r="C13" s="247">
        <v>567.87</v>
      </c>
      <c r="D13" s="247"/>
      <c r="E13" s="533"/>
      <c r="F13" s="247">
        <v>39.869999999999997</v>
      </c>
      <c r="G13" s="533">
        <v>446.83</v>
      </c>
      <c r="H13" s="247">
        <v>128</v>
      </c>
      <c r="I13" s="248">
        <v>128</v>
      </c>
      <c r="J13" s="247">
        <v>45</v>
      </c>
      <c r="K13" s="248">
        <v>0</v>
      </c>
      <c r="L13" s="533">
        <v>89.12</v>
      </c>
      <c r="M13" s="534">
        <v>89.12</v>
      </c>
      <c r="N13" s="612">
        <f t="shared" si="0"/>
        <v>1.0847242020127665</v>
      </c>
      <c r="O13" s="613">
        <v>1</v>
      </c>
      <c r="P13" s="613" t="s">
        <v>651</v>
      </c>
      <c r="Q13" s="535">
        <f>O13*'FRG 30h'!C114</f>
        <v>0</v>
      </c>
      <c r="R13" s="535">
        <f t="shared" si="1"/>
        <v>0</v>
      </c>
      <c r="S13" s="535">
        <v>1</v>
      </c>
      <c r="T13" s="624">
        <f t="shared" si="2"/>
        <v>0</v>
      </c>
      <c r="U13" s="625">
        <f t="shared" si="3"/>
        <v>7.1111111111111111E-2</v>
      </c>
      <c r="V13" s="626" t="s">
        <v>652</v>
      </c>
      <c r="W13" s="537"/>
      <c r="X13" s="616"/>
      <c r="Y13" s="648"/>
      <c r="Z13" s="643"/>
      <c r="AA13" s="644"/>
      <c r="AB13" s="536"/>
    </row>
    <row r="14" spans="1:28" x14ac:dyDescent="0.25">
      <c r="A14" s="199" t="s">
        <v>82</v>
      </c>
      <c r="B14" s="35" t="s">
        <v>651</v>
      </c>
      <c r="C14" s="247">
        <v>432.68</v>
      </c>
      <c r="D14" s="247"/>
      <c r="E14" s="533"/>
      <c r="F14" s="247">
        <v>21.48</v>
      </c>
      <c r="G14" s="533">
        <v>75</v>
      </c>
      <c r="H14" s="247"/>
      <c r="I14" s="248"/>
      <c r="J14" s="247">
        <v>30</v>
      </c>
      <c r="K14" s="248">
        <v>0</v>
      </c>
      <c r="L14" s="533">
        <v>49.56</v>
      </c>
      <c r="M14" s="534">
        <v>49.56</v>
      </c>
      <c r="N14" s="612">
        <f t="shared" si="0"/>
        <v>0.63378550302435466</v>
      </c>
      <c r="O14" s="613">
        <v>1</v>
      </c>
      <c r="P14" s="613" t="s">
        <v>651</v>
      </c>
      <c r="Q14" s="535">
        <f>O14*'C. Largo 30h'!C114</f>
        <v>0</v>
      </c>
      <c r="R14" s="535">
        <f t="shared" si="1"/>
        <v>0</v>
      </c>
      <c r="S14" s="535">
        <v>1</v>
      </c>
      <c r="T14" s="624">
        <f t="shared" si="2"/>
        <v>0</v>
      </c>
      <c r="U14" s="625">
        <f t="shared" si="3"/>
        <v>0</v>
      </c>
      <c r="V14" s="626" t="s">
        <v>652</v>
      </c>
      <c r="W14" s="537"/>
      <c r="X14" s="616"/>
      <c r="Y14" s="648"/>
      <c r="Z14" s="643"/>
      <c r="AA14" s="644"/>
      <c r="AB14" s="536"/>
    </row>
    <row r="15" spans="1:28" x14ac:dyDescent="0.25">
      <c r="A15" s="199" t="s">
        <v>85</v>
      </c>
      <c r="B15" s="35" t="s">
        <v>651</v>
      </c>
      <c r="C15" s="247">
        <v>289</v>
      </c>
      <c r="D15" s="247">
        <v>21</v>
      </c>
      <c r="E15" s="533"/>
      <c r="F15" s="247">
        <v>24.4</v>
      </c>
      <c r="G15" s="533">
        <v>603.35</v>
      </c>
      <c r="H15" s="247">
        <v>261</v>
      </c>
      <c r="I15" s="248">
        <v>261</v>
      </c>
      <c r="J15" s="247">
        <v>40</v>
      </c>
      <c r="K15" s="248">
        <v>0</v>
      </c>
      <c r="L15" s="533">
        <v>84.6</v>
      </c>
      <c r="M15" s="534">
        <v>84.6</v>
      </c>
      <c r="N15" s="612">
        <f t="shared" si="0"/>
        <v>0.8127021621440762</v>
      </c>
      <c r="O15" s="613">
        <v>1</v>
      </c>
      <c r="P15" s="613" t="s">
        <v>651</v>
      </c>
      <c r="Q15" s="535">
        <f>O15*'Pinhais 30h '!C114</f>
        <v>0</v>
      </c>
      <c r="R15" s="535">
        <f t="shared" si="1"/>
        <v>0</v>
      </c>
      <c r="S15" s="535">
        <v>1</v>
      </c>
      <c r="T15" s="624">
        <f t="shared" si="2"/>
        <v>0</v>
      </c>
      <c r="U15" s="625">
        <f t="shared" si="3"/>
        <v>0.14499999999999999</v>
      </c>
      <c r="V15" s="626">
        <v>1</v>
      </c>
      <c r="W15" s="537" t="s">
        <v>651</v>
      </c>
      <c r="X15" s="616"/>
      <c r="Y15" s="648"/>
      <c r="Z15" s="643"/>
      <c r="AA15" s="644"/>
      <c r="AB15" s="536"/>
    </row>
    <row r="16" spans="1:28" x14ac:dyDescent="0.25">
      <c r="A16" s="209" t="s">
        <v>86</v>
      </c>
      <c r="B16" s="540"/>
      <c r="C16" s="247"/>
      <c r="D16" s="247"/>
      <c r="E16" s="533"/>
      <c r="F16" s="247"/>
      <c r="G16" s="533"/>
      <c r="H16" s="247"/>
      <c r="I16" s="248"/>
      <c r="J16" s="247"/>
      <c r="K16" s="248">
        <v>0</v>
      </c>
      <c r="L16" s="533"/>
      <c r="M16" s="534"/>
      <c r="N16" s="612">
        <f t="shared" si="0"/>
        <v>0</v>
      </c>
      <c r="O16" s="613"/>
      <c r="P16" s="613"/>
      <c r="Q16" s="535"/>
      <c r="R16" s="535">
        <f t="shared" si="1"/>
        <v>0</v>
      </c>
      <c r="S16" s="535"/>
      <c r="T16" s="624">
        <f t="shared" si="2"/>
        <v>0</v>
      </c>
      <c r="U16" s="625">
        <f t="shared" si="3"/>
        <v>0</v>
      </c>
      <c r="V16" s="626" t="s">
        <v>652</v>
      </c>
      <c r="W16" s="537"/>
      <c r="X16" s="616"/>
      <c r="Y16" s="648"/>
      <c r="Z16" s="643"/>
      <c r="AA16" s="644"/>
      <c r="AB16" s="536"/>
    </row>
    <row r="17" spans="1:28" x14ac:dyDescent="0.25">
      <c r="A17" s="199" t="s">
        <v>88</v>
      </c>
      <c r="B17" s="35" t="s">
        <v>651</v>
      </c>
      <c r="C17" s="247">
        <v>289</v>
      </c>
      <c r="D17" s="247">
        <v>21</v>
      </c>
      <c r="E17" s="533"/>
      <c r="F17" s="247">
        <v>24.4</v>
      </c>
      <c r="G17" s="533">
        <v>394.5</v>
      </c>
      <c r="H17" s="247">
        <v>471.1</v>
      </c>
      <c r="I17" s="248">
        <v>471.1</v>
      </c>
      <c r="J17" s="247">
        <v>120</v>
      </c>
      <c r="K17" s="248">
        <v>0</v>
      </c>
      <c r="L17" s="533">
        <v>84.6</v>
      </c>
      <c r="M17" s="534">
        <v>84.6</v>
      </c>
      <c r="N17" s="612">
        <f t="shared" si="0"/>
        <v>0.70766427325518722</v>
      </c>
      <c r="O17" s="613">
        <v>1</v>
      </c>
      <c r="P17" s="613" t="s">
        <v>651</v>
      </c>
      <c r="Q17" s="535">
        <f>O17*'Lapa 30h'!C114</f>
        <v>0</v>
      </c>
      <c r="R17" s="535">
        <f t="shared" si="1"/>
        <v>0</v>
      </c>
      <c r="S17" s="535">
        <v>1</v>
      </c>
      <c r="T17" s="624">
        <f t="shared" si="2"/>
        <v>0</v>
      </c>
      <c r="U17" s="625">
        <f t="shared" si="3"/>
        <v>0.26172222222222224</v>
      </c>
      <c r="V17" s="626" t="s">
        <v>652</v>
      </c>
      <c r="W17" s="537"/>
      <c r="X17" s="616"/>
      <c r="Y17" s="648"/>
      <c r="Z17" s="643"/>
      <c r="AA17" s="644"/>
      <c r="AB17" s="536"/>
    </row>
    <row r="18" spans="1:28" x14ac:dyDescent="0.25">
      <c r="A18" s="199" t="s">
        <v>89</v>
      </c>
      <c r="B18" s="35" t="s">
        <v>651</v>
      </c>
      <c r="C18" s="247">
        <v>289</v>
      </c>
      <c r="D18" s="247">
        <v>21</v>
      </c>
      <c r="E18" s="533"/>
      <c r="F18" s="247">
        <v>24.4</v>
      </c>
      <c r="G18" s="533">
        <v>613.6</v>
      </c>
      <c r="H18" s="247">
        <v>402</v>
      </c>
      <c r="I18" s="248">
        <v>402</v>
      </c>
      <c r="J18" s="247">
        <v>30</v>
      </c>
      <c r="K18" s="248">
        <v>0</v>
      </c>
      <c r="L18" s="533">
        <v>84.6</v>
      </c>
      <c r="M18" s="534">
        <v>84.6</v>
      </c>
      <c r="N18" s="612">
        <f t="shared" si="0"/>
        <v>0.8186954954774095</v>
      </c>
      <c r="O18" s="613">
        <v>1</v>
      </c>
      <c r="P18" s="613" t="s">
        <v>651</v>
      </c>
      <c r="Q18" s="535">
        <f>O18*'Mand 30h'!C114</f>
        <v>0</v>
      </c>
      <c r="R18" s="535">
        <f t="shared" si="1"/>
        <v>0</v>
      </c>
      <c r="S18" s="535">
        <v>1</v>
      </c>
      <c r="T18" s="624">
        <f t="shared" si="2"/>
        <v>0</v>
      </c>
      <c r="U18" s="625">
        <f t="shared" si="3"/>
        <v>0.22333333333333333</v>
      </c>
      <c r="V18" s="626" t="s">
        <v>652</v>
      </c>
      <c r="W18" s="537"/>
      <c r="X18" s="616"/>
      <c r="Y18" s="648"/>
      <c r="Z18" s="643"/>
      <c r="AA18" s="644"/>
      <c r="AB18" s="536"/>
    </row>
    <row r="19" spans="1:28" x14ac:dyDescent="0.25">
      <c r="A19" s="201" t="s">
        <v>91</v>
      </c>
      <c r="B19" s="256" t="s">
        <v>651</v>
      </c>
      <c r="C19" s="257">
        <v>289</v>
      </c>
      <c r="D19" s="257">
        <v>21</v>
      </c>
      <c r="E19" s="541"/>
      <c r="F19" s="257">
        <v>24.4</v>
      </c>
      <c r="G19" s="541">
        <v>505.1</v>
      </c>
      <c r="H19" s="257">
        <v>210.5</v>
      </c>
      <c r="I19" s="258">
        <v>210.5</v>
      </c>
      <c r="J19" s="257">
        <v>45</v>
      </c>
      <c r="K19" s="258">
        <v>0</v>
      </c>
      <c r="L19" s="541">
        <v>84.6</v>
      </c>
      <c r="M19" s="542">
        <v>84.6</v>
      </c>
      <c r="N19" s="614">
        <f t="shared" si="0"/>
        <v>0.75816938436629844</v>
      </c>
      <c r="O19" s="615">
        <v>1</v>
      </c>
      <c r="P19" s="611" t="s">
        <v>651</v>
      </c>
      <c r="Q19" s="627">
        <f>O19*'Itap 30h'!C114</f>
        <v>0</v>
      </c>
      <c r="R19" s="543">
        <f t="shared" si="1"/>
        <v>0</v>
      </c>
      <c r="S19" s="628">
        <v>1</v>
      </c>
      <c r="T19" s="629">
        <f t="shared" si="2"/>
        <v>0</v>
      </c>
      <c r="U19" s="621">
        <f t="shared" si="3"/>
        <v>0.11694444444444445</v>
      </c>
      <c r="V19" s="622" t="s">
        <v>652</v>
      </c>
      <c r="W19" s="630"/>
      <c r="X19" s="617"/>
      <c r="Y19" s="649"/>
      <c r="Z19" s="645"/>
      <c r="AA19" s="667"/>
      <c r="AB19" s="544"/>
    </row>
    <row r="20" spans="1:28" x14ac:dyDescent="0.25">
      <c r="A20" s="202" t="s">
        <v>653</v>
      </c>
      <c r="B20" s="265"/>
      <c r="C20" s="266">
        <f t="shared" ref="C20:O20" si="4">SUM(C3:C19)</f>
        <v>20536.489999999998</v>
      </c>
      <c r="D20" s="266">
        <f t="shared" si="4"/>
        <v>11228.21</v>
      </c>
      <c r="E20" s="266">
        <f t="shared" si="4"/>
        <v>4130.16</v>
      </c>
      <c r="F20" s="266">
        <f t="shared" si="4"/>
        <v>1452.7900000000002</v>
      </c>
      <c r="G20" s="266">
        <f t="shared" si="4"/>
        <v>11376.78</v>
      </c>
      <c r="H20" s="266">
        <f t="shared" si="4"/>
        <v>7851.3000000000011</v>
      </c>
      <c r="I20" s="266">
        <f t="shared" si="4"/>
        <v>7851.3000000000011</v>
      </c>
      <c r="J20" s="266">
        <f t="shared" si="4"/>
        <v>2289.6400000000003</v>
      </c>
      <c r="K20" s="266">
        <f t="shared" si="4"/>
        <v>6438.4199999999992</v>
      </c>
      <c r="L20" s="266">
        <f t="shared" si="4"/>
        <v>1795.4899999999993</v>
      </c>
      <c r="M20" s="545">
        <f t="shared" si="4"/>
        <v>8233.91</v>
      </c>
      <c r="N20" s="668">
        <f t="shared" si="4"/>
        <v>47.758928608793134</v>
      </c>
      <c r="O20" s="669">
        <f t="shared" si="4"/>
        <v>48</v>
      </c>
      <c r="P20" s="670"/>
      <c r="Q20" s="671">
        <f>SUM(Q3:Q19)</f>
        <v>0</v>
      </c>
      <c r="R20" s="672">
        <f>SUM(R3:R19)</f>
        <v>27</v>
      </c>
      <c r="S20" s="673">
        <f>SUM(S3:S19)</f>
        <v>21</v>
      </c>
      <c r="T20" s="674"/>
      <c r="U20" s="674"/>
      <c r="V20" s="546">
        <f>SUM(V3:V19)</f>
        <v>15</v>
      </c>
      <c r="W20" s="619"/>
      <c r="X20" s="652">
        <f>SUM(X3:X19)</f>
        <v>1</v>
      </c>
      <c r="Y20" s="678"/>
      <c r="Z20" s="679">
        <f>SUM(Z3:Z19)</f>
        <v>2</v>
      </c>
      <c r="AA20" s="666"/>
      <c r="AB20" s="547"/>
    </row>
    <row r="21" spans="1:28" x14ac:dyDescent="0.25">
      <c r="A21" s="269" t="s">
        <v>654</v>
      </c>
      <c r="B21" s="270"/>
      <c r="C21" s="271">
        <v>900</v>
      </c>
      <c r="D21" s="271">
        <v>1500</v>
      </c>
      <c r="E21" s="271">
        <v>1500</v>
      </c>
      <c r="F21" s="271">
        <v>250</v>
      </c>
      <c r="G21" s="271">
        <v>1800</v>
      </c>
      <c r="H21" s="548">
        <v>100000</v>
      </c>
      <c r="I21" s="548">
        <v>2700</v>
      </c>
      <c r="J21" s="271">
        <v>9000</v>
      </c>
      <c r="K21" s="271">
        <v>160</v>
      </c>
      <c r="L21" s="271">
        <v>380</v>
      </c>
      <c r="M21" s="272">
        <v>380</v>
      </c>
      <c r="N21" s="273"/>
      <c r="W21" s="549"/>
    </row>
    <row r="22" spans="1:28" x14ac:dyDescent="0.25">
      <c r="A22" s="274" t="s">
        <v>655</v>
      </c>
      <c r="B22" s="275"/>
      <c r="C22" s="276">
        <f t="shared" ref="C22:H22" si="5">C20/C21</f>
        <v>22.818322222222221</v>
      </c>
      <c r="D22" s="276">
        <f t="shared" si="5"/>
        <v>7.4854733333333323</v>
      </c>
      <c r="E22" s="276">
        <f t="shared" si="5"/>
        <v>2.7534399999999999</v>
      </c>
      <c r="F22" s="276">
        <f t="shared" si="5"/>
        <v>5.811160000000001</v>
      </c>
      <c r="G22" s="276">
        <f t="shared" si="5"/>
        <v>6.3204333333333338</v>
      </c>
      <c r="H22" s="276">
        <f t="shared" si="5"/>
        <v>7.8513000000000013E-2</v>
      </c>
      <c r="I22" s="276"/>
      <c r="J22" s="276">
        <f>J20/J21</f>
        <v>0.25440444444444449</v>
      </c>
      <c r="K22" s="276"/>
      <c r="L22" s="276">
        <f>1/L21*16*1/188.76*L20</f>
        <v>0.4005063517025238</v>
      </c>
      <c r="M22" s="277">
        <f>1/M21*16*1/188.76*M20</f>
        <v>1.8366759237572636</v>
      </c>
      <c r="N22" s="278">
        <f>SUM(C22:M22)</f>
        <v>47.75892860879312</v>
      </c>
      <c r="P22" s="550"/>
      <c r="S22" s="551"/>
    </row>
    <row r="23" spans="1:28" x14ac:dyDescent="0.25">
      <c r="A23" s="279" t="s">
        <v>656</v>
      </c>
      <c r="B23" s="280"/>
      <c r="C23" s="281">
        <f t="shared" ref="C23:H23" si="6">C20/(30*C21)</f>
        <v>0.76061074074074064</v>
      </c>
      <c r="D23" s="281">
        <f t="shared" si="6"/>
        <v>0.24951577777777775</v>
      </c>
      <c r="E23" s="281">
        <f t="shared" si="6"/>
        <v>9.1781333333333326E-2</v>
      </c>
      <c r="F23" s="281">
        <f t="shared" si="6"/>
        <v>0.19370533333333337</v>
      </c>
      <c r="G23" s="281">
        <f t="shared" si="6"/>
        <v>0.21068111111111112</v>
      </c>
      <c r="H23" s="281">
        <f t="shared" si="6"/>
        <v>2.6171000000000002E-3</v>
      </c>
      <c r="I23" s="281"/>
      <c r="J23" s="281">
        <f>J20/(30*J21)</f>
        <v>8.4801481481481499E-3</v>
      </c>
      <c r="K23" s="281"/>
      <c r="L23" s="281">
        <f>1/30*1/L21*16*1/188.76*L20</f>
        <v>1.335021172341746E-2</v>
      </c>
      <c r="M23" s="282">
        <f>1/30*1/M21*16*1/188.76*M20</f>
        <v>6.1222530791908786E-2</v>
      </c>
      <c r="N23" s="279">
        <f>SUM(C23:M23)</f>
        <v>1.5919642869597705</v>
      </c>
      <c r="O23" s="551"/>
      <c r="P23" s="551"/>
      <c r="Q23" s="551"/>
      <c r="S23" s="551"/>
    </row>
    <row r="24" spans="1:28" x14ac:dyDescent="0.25">
      <c r="A24" s="283" t="s">
        <v>657</v>
      </c>
      <c r="B24" s="284"/>
      <c r="C24" s="285">
        <f t="shared" ref="C24:J24" si="7">ROUND(1/C21,9)</f>
        <v>1.1111109999999999E-3</v>
      </c>
      <c r="D24" s="285">
        <f t="shared" si="7"/>
        <v>6.6666700000000002E-4</v>
      </c>
      <c r="E24" s="285">
        <f t="shared" si="7"/>
        <v>6.6666700000000002E-4</v>
      </c>
      <c r="F24" s="285">
        <f t="shared" si="7"/>
        <v>4.0000000000000001E-3</v>
      </c>
      <c r="G24" s="285">
        <f t="shared" si="7"/>
        <v>5.5555600000000002E-4</v>
      </c>
      <c r="H24" s="285">
        <f t="shared" si="7"/>
        <v>1.0000000000000001E-5</v>
      </c>
      <c r="I24" s="285">
        <f t="shared" si="7"/>
        <v>3.7037000000000002E-4</v>
      </c>
      <c r="J24" s="285">
        <f t="shared" si="7"/>
        <v>1.11111E-4</v>
      </c>
      <c r="K24" s="285">
        <f>(1/K21)*(1/L33)*8</f>
        <v>4.8611111111111115E-5</v>
      </c>
      <c r="L24" s="286">
        <f>(1/L21)*(1/L32)*16</f>
        <v>2.4561403508771931E-4</v>
      </c>
      <c r="M24" s="287">
        <f>(1/M21)*(1/L32)*16</f>
        <v>2.4561403508771931E-4</v>
      </c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  <c r="AA24" s="551"/>
    </row>
    <row r="25" spans="1:28" x14ac:dyDescent="0.25">
      <c r="A25" s="288" t="s">
        <v>658</v>
      </c>
      <c r="B25" s="289"/>
      <c r="C25" s="290">
        <f>C24/$O$20</f>
        <v>2.314814583333333E-5</v>
      </c>
      <c r="D25" s="290">
        <f>D24/$O$20</f>
        <v>1.3888895833333334E-5</v>
      </c>
      <c r="E25" s="290">
        <f>E24/$O$20</f>
        <v>1.3888895833333334E-5</v>
      </c>
      <c r="F25" s="290">
        <f>F24/$O$20</f>
        <v>8.3333333333333331E-5</v>
      </c>
      <c r="G25" s="290">
        <f>G24/$O$20</f>
        <v>1.1574083333333333E-5</v>
      </c>
      <c r="H25" s="290">
        <f>ROUND(H24/$O$20,10)</f>
        <v>2.0830000000000001E-7</v>
      </c>
      <c r="I25" s="290">
        <f>I24/$O$20</f>
        <v>7.7160416666666671E-6</v>
      </c>
      <c r="J25" s="290">
        <f>J24/$O$20</f>
        <v>2.3148124999999999E-6</v>
      </c>
      <c r="K25" s="290">
        <f>K24/4</f>
        <v>1.2152777777777779E-5</v>
      </c>
      <c r="L25" s="291">
        <f>L24/$O$20</f>
        <v>5.1169590643274858E-6</v>
      </c>
      <c r="M25" s="292">
        <f>M24/$O$20</f>
        <v>5.1169590643274858E-6</v>
      </c>
      <c r="O25" s="551"/>
      <c r="P25" s="551"/>
      <c r="Q25" s="551"/>
      <c r="R25" s="551"/>
      <c r="S25" s="551"/>
    </row>
    <row r="26" spans="1:28" x14ac:dyDescent="0.25">
      <c r="A26" s="293" t="s">
        <v>659</v>
      </c>
      <c r="B26" s="294"/>
      <c r="C26" s="295" t="s">
        <v>660</v>
      </c>
      <c r="D26" s="295" t="s">
        <v>661</v>
      </c>
      <c r="E26" s="295" t="s">
        <v>662</v>
      </c>
      <c r="F26" s="295" t="s">
        <v>663</v>
      </c>
      <c r="G26" s="296" t="s">
        <v>664</v>
      </c>
      <c r="H26" s="297">
        <v>100000</v>
      </c>
      <c r="I26" s="297" t="s">
        <v>664</v>
      </c>
      <c r="J26" s="296" t="s">
        <v>665</v>
      </c>
      <c r="K26" s="296" t="s">
        <v>666</v>
      </c>
      <c r="L26" s="298" t="s">
        <v>667</v>
      </c>
      <c r="M26" s="299" t="s">
        <v>667</v>
      </c>
      <c r="O26" s="551"/>
      <c r="P26" s="551"/>
      <c r="Q26" s="551"/>
      <c r="R26" s="551"/>
      <c r="T26" s="551"/>
      <c r="U26" s="551"/>
      <c r="V26" s="551"/>
      <c r="W26" s="551"/>
      <c r="X26" s="551"/>
      <c r="Y26" s="551"/>
      <c r="Z26" s="551"/>
      <c r="AA26" s="551"/>
    </row>
    <row r="28" spans="1:28" x14ac:dyDescent="0.25">
      <c r="O28" s="551"/>
      <c r="P28" s="551"/>
      <c r="Q28" s="551"/>
    </row>
    <row r="29" spans="1:28" x14ac:dyDescent="0.25">
      <c r="C29" s="552"/>
    </row>
    <row r="31" spans="1:28" x14ac:dyDescent="0.25">
      <c r="K31" s="300"/>
      <c r="L31" s="300"/>
      <c r="M31" s="300"/>
      <c r="N31" s="300"/>
    </row>
    <row r="32" spans="1:28" x14ac:dyDescent="0.25">
      <c r="J32" s="225">
        <f>30/7</f>
        <v>4.2857142857142856</v>
      </c>
      <c r="K32" s="300">
        <v>40</v>
      </c>
      <c r="L32" s="300">
        <f>J32*K32</f>
        <v>171.42857142857142</v>
      </c>
      <c r="M32" s="300"/>
      <c r="N32" s="300"/>
    </row>
    <row r="33" spans="12:13" x14ac:dyDescent="0.25">
      <c r="L33" s="225">
        <f>L32*6</f>
        <v>1028.5714285714284</v>
      </c>
      <c r="M33" s="225" t="s">
        <v>721</v>
      </c>
    </row>
  </sheetData>
  <mergeCells count="8">
    <mergeCell ref="X1:Y1"/>
    <mergeCell ref="Z1:AA1"/>
    <mergeCell ref="V1:W1"/>
    <mergeCell ref="C1:F1"/>
    <mergeCell ref="G1:J1"/>
    <mergeCell ref="K1:M1"/>
    <mergeCell ref="N1:S1"/>
    <mergeCell ref="T1:U1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222"/>
  <sheetViews>
    <sheetView topLeftCell="A43" zoomScaleNormal="100" workbookViewId="0">
      <selection activeCell="H51" sqref="H51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5.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672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D5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Cal'!M21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B43*D5*22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Cal'!L21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8.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3" t="str">
        <f>E10</f>
        <v>Servente 40h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13" t="s">
        <v>608</v>
      </c>
      <c r="B114" s="913"/>
      <c r="C114" s="480">
        <f>SUM(C112:C113)</f>
        <v>0</v>
      </c>
      <c r="D114" s="480">
        <f>SUM(D112:D113)</f>
        <v>0</v>
      </c>
      <c r="E114" s="481">
        <f>SUM(E112:E113)</f>
        <v>0</v>
      </c>
      <c r="F114" s="392"/>
      <c r="G114" s="557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50" t="s">
        <v>674</v>
      </c>
      <c r="B117" s="950"/>
      <c r="C117" s="950"/>
      <c r="D117" s="950"/>
      <c r="E117" s="950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50" t="s">
        <v>684</v>
      </c>
      <c r="B126" s="950"/>
      <c r="C126" s="950"/>
      <c r="D126" s="950"/>
      <c r="E126" s="950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50" t="s">
        <v>686</v>
      </c>
      <c r="B135" s="950"/>
      <c r="C135" s="950"/>
      <c r="D135" s="950"/>
      <c r="E135" s="950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50" t="s">
        <v>687</v>
      </c>
      <c r="B144" s="950"/>
      <c r="C144" s="950"/>
      <c r="D144" s="950"/>
      <c r="E144" s="950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CBT'!F24</f>
        <v>4.0000000000000001E-3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51" t="s">
        <v>688</v>
      </c>
      <c r="B150" s="951"/>
      <c r="C150" s="951"/>
      <c r="D150" s="951"/>
      <c r="E150" s="951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724</v>
      </c>
      <c r="B155" s="496">
        <f>'Produt. Postos CBT'!H24</f>
        <v>1.0000000000000001E-5</v>
      </c>
      <c r="C155" s="491">
        <f>C146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ROUND('Produt. Postos CBT'!H25,9)</f>
        <v>2.0800000000000001E-7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725</v>
      </c>
      <c r="B158" s="496">
        <f>'Produt. Postos CBT'!I24</f>
        <v>3.7037000000000002E-4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C114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52" t="s">
        <v>695</v>
      </c>
      <c r="B165" s="952"/>
      <c r="C165" s="952"/>
      <c r="D165" s="952"/>
      <c r="E165" s="952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6" ht="14.25" customHeight="1" x14ac:dyDescent="0.2">
      <c r="A178" s="941" t="s">
        <v>702</v>
      </c>
      <c r="B178" s="941"/>
      <c r="C178" s="941"/>
      <c r="D178" s="941"/>
      <c r="E178" s="941"/>
    </row>
    <row r="179" spans="1:6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6" x14ac:dyDescent="0.2">
      <c r="A180" s="943" t="str">
        <f>$A$117</f>
        <v>AI-1 Área Interna pisos frios</v>
      </c>
      <c r="B180" s="943"/>
      <c r="C180" s="1">
        <f>$D$121</f>
        <v>0</v>
      </c>
      <c r="D180" s="513">
        <f>'Produt. Postos CBT'!C3</f>
        <v>7101.45</v>
      </c>
      <c r="E180" s="514">
        <f t="shared" ref="E180:E190" si="5">C180*D180</f>
        <v>0</v>
      </c>
    </row>
    <row r="181" spans="1:6" x14ac:dyDescent="0.2">
      <c r="A181" s="943" t="str">
        <f>$A$126</f>
        <v>AI-2 Área interna (Almoxarifado, Galpões, arquivos )</v>
      </c>
      <c r="B181" s="943"/>
      <c r="C181" s="1">
        <f>$D$130</f>
        <v>0</v>
      </c>
      <c r="D181" s="513">
        <f>'Produt. Postos CBT'!D3</f>
        <v>2611.9</v>
      </c>
      <c r="E181" s="514">
        <f t="shared" si="5"/>
        <v>0</v>
      </c>
    </row>
    <row r="182" spans="1:6" x14ac:dyDescent="0.2">
      <c r="A182" s="943" t="str">
        <f>$A$135</f>
        <v>AI-3 Área interna Espaços Livres (saguão, hall, salão)</v>
      </c>
      <c r="B182" s="943"/>
      <c r="C182" s="1">
        <f>$D$139</f>
        <v>0</v>
      </c>
      <c r="D182" s="513">
        <f>'Produt. Postos CBT'!E3</f>
        <v>1841.99</v>
      </c>
      <c r="E182" s="514">
        <f t="shared" si="5"/>
        <v>0</v>
      </c>
    </row>
    <row r="183" spans="1:6" x14ac:dyDescent="0.2">
      <c r="A183" s="943" t="str">
        <f>$A$144</f>
        <v>AI-4 Área interna  Banheiros</v>
      </c>
      <c r="B183" s="943"/>
      <c r="C183" s="1">
        <f>$D$148</f>
        <v>0</v>
      </c>
      <c r="D183" s="513">
        <f>'Produt. Postos CBT'!F3</f>
        <v>209.96</v>
      </c>
      <c r="E183" s="514">
        <f t="shared" si="5"/>
        <v>0</v>
      </c>
    </row>
    <row r="184" spans="1:6" x14ac:dyDescent="0.2">
      <c r="A184" s="943" t="str">
        <f>$A$152</f>
        <v>AE-1 Área Externa pisos adjacentes às edificações</v>
      </c>
      <c r="B184" s="943"/>
      <c r="C184" s="1">
        <f>$D$154</f>
        <v>0</v>
      </c>
      <c r="D184" s="513">
        <f>'Produt. Postos CBT'!G3</f>
        <v>294.07</v>
      </c>
      <c r="E184" s="514">
        <f t="shared" si="5"/>
        <v>0</v>
      </c>
    </row>
    <row r="185" spans="1:6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CBT'!H3</f>
        <v>0</v>
      </c>
      <c r="E185" s="514">
        <f t="shared" si="5"/>
        <v>0</v>
      </c>
    </row>
    <row r="186" spans="1:6" x14ac:dyDescent="0.2">
      <c r="A186" s="943" t="str">
        <f>$A$158</f>
        <v>AE-2.1 Área Externa áreas verdes com média frequência - mensal</v>
      </c>
      <c r="B186" s="943"/>
      <c r="C186" s="1">
        <f>$D$160</f>
        <v>0</v>
      </c>
      <c r="D186" s="513">
        <f>'Produt. Postos CBT'!H3</f>
        <v>0</v>
      </c>
      <c r="E186" s="514">
        <f t="shared" si="5"/>
        <v>0</v>
      </c>
    </row>
    <row r="187" spans="1:6" x14ac:dyDescent="0.2">
      <c r="A187" s="943" t="str">
        <f>$A$161</f>
        <v>AE-3 Área Externa arruamento, passeios</v>
      </c>
      <c r="B187" s="943"/>
      <c r="C187" s="1">
        <f>$D$163</f>
        <v>0</v>
      </c>
      <c r="D187" s="513">
        <f>'Produt. Postos CBT'!J3</f>
        <v>239.4</v>
      </c>
      <c r="E187" s="514">
        <f t="shared" si="5"/>
        <v>0</v>
      </c>
    </row>
    <row r="188" spans="1:6" x14ac:dyDescent="0.2">
      <c r="A188" s="943" t="str">
        <f>$A$167</f>
        <v xml:space="preserve">EER Área de Esquadria Face Externa COM exposição a risco </v>
      </c>
      <c r="B188" s="943"/>
      <c r="C188" s="1">
        <f>$D$169</f>
        <v>0</v>
      </c>
      <c r="D188" s="513">
        <f>'Produt. Postos CBT'!K3</f>
        <v>3040.81</v>
      </c>
      <c r="E188" s="514">
        <f t="shared" si="5"/>
        <v>0</v>
      </c>
    </row>
    <row r="189" spans="1:6" x14ac:dyDescent="0.2">
      <c r="A189" s="943" t="str">
        <f>$A$170</f>
        <v>EE Área de Esquadria Face Externa SEM exposição a risco</v>
      </c>
      <c r="B189" s="943"/>
      <c r="C189" s="1">
        <f>$D$172</f>
        <v>0</v>
      </c>
      <c r="D189" s="513">
        <f>'Produt. Postos CBT'!L3</f>
        <v>250</v>
      </c>
      <c r="E189" s="514">
        <f t="shared" si="5"/>
        <v>0</v>
      </c>
    </row>
    <row r="190" spans="1:6" x14ac:dyDescent="0.2">
      <c r="A190" s="943" t="str">
        <f>$A$173</f>
        <v>EI Área de Esquadria Face Interna</v>
      </c>
      <c r="B190" s="943"/>
      <c r="C190" s="1">
        <f>$D$175</f>
        <v>0</v>
      </c>
      <c r="D190" s="513">
        <f>'Produt. Postos CBT'!M3</f>
        <v>3290.81</v>
      </c>
      <c r="E190" s="514">
        <f t="shared" si="5"/>
        <v>0</v>
      </c>
    </row>
    <row r="191" spans="1:6" x14ac:dyDescent="0.2">
      <c r="E191" s="516">
        <f>SUM(E180:E190)</f>
        <v>0</v>
      </c>
    </row>
    <row r="192" spans="1:6" x14ac:dyDescent="0.2">
      <c r="F192" s="558"/>
    </row>
    <row r="193" spans="1:5" ht="14.25" customHeight="1" x14ac:dyDescent="0.2">
      <c r="A193" s="941" t="s">
        <v>727</v>
      </c>
      <c r="B193" s="941"/>
      <c r="C193" s="941"/>
      <c r="D193" s="941"/>
      <c r="E193" s="941"/>
    </row>
    <row r="194" spans="1:5" ht="25.5" customHeight="1" x14ac:dyDescent="0.2">
      <c r="A194" s="942" t="s">
        <v>703</v>
      </c>
      <c r="B194" s="942"/>
      <c r="C194" s="734" t="s">
        <v>704</v>
      </c>
      <c r="D194" s="734" t="s">
        <v>705</v>
      </c>
      <c r="E194" s="734" t="s">
        <v>706</v>
      </c>
    </row>
    <row r="195" spans="1:5" x14ac:dyDescent="0.2">
      <c r="A195" s="943" t="str">
        <f>$A$117</f>
        <v>AI-1 Área Interna pisos frios</v>
      </c>
      <c r="B195" s="943"/>
      <c r="C195" s="1">
        <f>$D$121</f>
        <v>0</v>
      </c>
      <c r="D195" s="513">
        <f>'Produt. Postos CBT'!C6</f>
        <v>5834.79</v>
      </c>
      <c r="E195" s="514">
        <f t="shared" ref="E195:E205" si="6">C195*D195</f>
        <v>0</v>
      </c>
    </row>
    <row r="196" spans="1:5" x14ac:dyDescent="0.2">
      <c r="A196" s="943" t="str">
        <f>$A$126</f>
        <v>AI-2 Área interna (Almoxarifado, Galpões, arquivos )</v>
      </c>
      <c r="B196" s="943"/>
      <c r="C196" s="1">
        <f>$D$130</f>
        <v>0</v>
      </c>
      <c r="D196" s="513">
        <f>'Produt. Postos CBT'!D6</f>
        <v>61.05</v>
      </c>
      <c r="E196" s="514">
        <f t="shared" si="6"/>
        <v>0</v>
      </c>
    </row>
    <row r="197" spans="1:5" x14ac:dyDescent="0.2">
      <c r="A197" s="943" t="str">
        <f>$A$135</f>
        <v>AI-3 Área interna Espaços Livres (saguão, hall, salão)</v>
      </c>
      <c r="B197" s="943"/>
      <c r="C197" s="1">
        <f>$D$139</f>
        <v>0</v>
      </c>
      <c r="D197" s="513">
        <f>'Produt. Postos CBT'!E6</f>
        <v>1401.94</v>
      </c>
      <c r="E197" s="514">
        <f t="shared" si="6"/>
        <v>0</v>
      </c>
    </row>
    <row r="198" spans="1:5" x14ac:dyDescent="0.2">
      <c r="A198" s="943" t="str">
        <f>$A$144</f>
        <v>AI-4 Área interna  Banheiros</v>
      </c>
      <c r="B198" s="943"/>
      <c r="C198" s="1">
        <f>$D$148</f>
        <v>0</v>
      </c>
      <c r="D198" s="513">
        <f>'Produt. Postos CBT'!F6</f>
        <v>490.89</v>
      </c>
      <c r="E198" s="514">
        <f t="shared" si="6"/>
        <v>0</v>
      </c>
    </row>
    <row r="199" spans="1:5" x14ac:dyDescent="0.2">
      <c r="A199" s="943" t="str">
        <f>$A$152</f>
        <v>AE-1 Área Externa pisos adjacentes às edificações</v>
      </c>
      <c r="B199" s="943"/>
      <c r="C199" s="1">
        <f>$D$154</f>
        <v>0</v>
      </c>
      <c r="D199" s="513">
        <f>'Produt. Postos CBT'!G6</f>
        <v>640.38</v>
      </c>
      <c r="E199" s="514">
        <f t="shared" si="6"/>
        <v>0</v>
      </c>
    </row>
    <row r="200" spans="1:5" x14ac:dyDescent="0.2">
      <c r="A200" s="943" t="str">
        <f>A155</f>
        <v>AE-2 Área Externa áreas verdes - coleta de detritos em pátios e áreas verdes com frequência diária</v>
      </c>
      <c r="B200" s="943"/>
      <c r="C200" s="1">
        <f>$D$157</f>
        <v>0</v>
      </c>
      <c r="D200" s="513">
        <f>'Produt. Postos CBT'!H6</f>
        <v>0</v>
      </c>
      <c r="E200" s="514">
        <f t="shared" si="6"/>
        <v>0</v>
      </c>
    </row>
    <row r="201" spans="1:5" x14ac:dyDescent="0.2">
      <c r="A201" s="943" t="str">
        <f>$A$158</f>
        <v>AE-2.1 Área Externa áreas verdes com média frequência - mensal</v>
      </c>
      <c r="B201" s="943"/>
      <c r="C201" s="1">
        <f>$D$160</f>
        <v>0</v>
      </c>
      <c r="D201" s="513">
        <f>'Produt. Postos CBT'!I6</f>
        <v>0</v>
      </c>
      <c r="E201" s="514">
        <f t="shared" si="6"/>
        <v>0</v>
      </c>
    </row>
    <row r="202" spans="1:5" x14ac:dyDescent="0.2">
      <c r="A202" s="943" t="str">
        <f>$A$161</f>
        <v>AE-3 Área Externa arruamento, passeios</v>
      </c>
      <c r="B202" s="943"/>
      <c r="C202" s="1">
        <f>$D$163</f>
        <v>0</v>
      </c>
      <c r="D202" s="513">
        <f>'Produt. Postos CBT'!J6</f>
        <v>150</v>
      </c>
      <c r="E202" s="514">
        <f t="shared" si="6"/>
        <v>0</v>
      </c>
    </row>
    <row r="203" spans="1:5" x14ac:dyDescent="0.2">
      <c r="A203" s="943" t="str">
        <f>$A$167</f>
        <v xml:space="preserve">EER Área de Esquadria Face Externa COM exposição a risco </v>
      </c>
      <c r="B203" s="943"/>
      <c r="C203" s="1">
        <f>$D$169</f>
        <v>0</v>
      </c>
      <c r="D203" s="513">
        <f>'Produt. Postos CBT'!K6</f>
        <v>2142</v>
      </c>
      <c r="E203" s="514">
        <f t="shared" si="6"/>
        <v>0</v>
      </c>
    </row>
    <row r="204" spans="1:5" x14ac:dyDescent="0.2">
      <c r="A204" s="943" t="str">
        <f>$A$170</f>
        <v>EE Área de Esquadria Face Externa SEM exposição a risco</v>
      </c>
      <c r="B204" s="943"/>
      <c r="C204" s="1">
        <f>$D$172</f>
        <v>0</v>
      </c>
      <c r="D204" s="513">
        <f>'Produt. Postos CBT'!L6</f>
        <v>178</v>
      </c>
      <c r="E204" s="514">
        <f t="shared" si="6"/>
        <v>0</v>
      </c>
    </row>
    <row r="205" spans="1:5" x14ac:dyDescent="0.2">
      <c r="A205" s="943" t="str">
        <f>$A$173</f>
        <v>EI Área de Esquadria Face Interna</v>
      </c>
      <c r="B205" s="943"/>
      <c r="C205" s="1">
        <f>$D$175</f>
        <v>0</v>
      </c>
      <c r="D205" s="513">
        <f>'Produt. Postos CBT'!M6</f>
        <v>2320</v>
      </c>
      <c r="E205" s="514">
        <f t="shared" si="6"/>
        <v>0</v>
      </c>
    </row>
    <row r="206" spans="1:5" x14ac:dyDescent="0.2">
      <c r="E206" s="516">
        <f>SUM(E195:E205)</f>
        <v>0</v>
      </c>
    </row>
    <row r="208" spans="1:5" x14ac:dyDescent="0.2">
      <c r="A208" s="941" t="s">
        <v>728</v>
      </c>
      <c r="B208" s="941"/>
      <c r="C208" s="941"/>
      <c r="D208" s="941"/>
      <c r="E208" s="941"/>
    </row>
    <row r="209" spans="1:5" ht="25.5" customHeight="1" x14ac:dyDescent="0.2">
      <c r="A209" s="942" t="s">
        <v>703</v>
      </c>
      <c r="B209" s="942"/>
      <c r="C209" s="734" t="s">
        <v>704</v>
      </c>
      <c r="D209" s="734" t="s">
        <v>705</v>
      </c>
      <c r="E209" s="734" t="s">
        <v>706</v>
      </c>
    </row>
    <row r="210" spans="1:5" x14ac:dyDescent="0.2">
      <c r="A210" s="943" t="str">
        <f>$A$117</f>
        <v>AI-1 Área Interna pisos frios</v>
      </c>
      <c r="B210" s="943"/>
      <c r="C210" s="1">
        <f>$D$121</f>
        <v>0</v>
      </c>
      <c r="D210" s="513">
        <f>'Produt. Postos CBT'!C8</f>
        <v>1995.94</v>
      </c>
      <c r="E210" s="514">
        <f t="shared" ref="E210:E220" si="7">C210*D210</f>
        <v>0</v>
      </c>
    </row>
    <row r="211" spans="1:5" x14ac:dyDescent="0.2">
      <c r="A211" s="943" t="str">
        <f>$A$126</f>
        <v>AI-2 Área interna (Almoxarifado, Galpões, arquivos )</v>
      </c>
      <c r="B211" s="943"/>
      <c r="C211" s="1">
        <f>$D$130</f>
        <v>0</v>
      </c>
      <c r="D211" s="513">
        <f>'Produt. Postos CBT'!D8</f>
        <v>1396.82</v>
      </c>
      <c r="E211" s="514">
        <f t="shared" si="7"/>
        <v>0</v>
      </c>
    </row>
    <row r="212" spans="1:5" x14ac:dyDescent="0.2">
      <c r="A212" s="943" t="str">
        <f>$A$135</f>
        <v>AI-3 Área interna Espaços Livres (saguão, hall, salão)</v>
      </c>
      <c r="B212" s="943"/>
      <c r="C212" s="1">
        <f>$D$139</f>
        <v>0</v>
      </c>
      <c r="D212" s="513">
        <f>'Produt. Postos CBT'!E8</f>
        <v>0</v>
      </c>
      <c r="E212" s="514">
        <f t="shared" si="7"/>
        <v>0</v>
      </c>
    </row>
    <row r="213" spans="1:5" x14ac:dyDescent="0.2">
      <c r="A213" s="943" t="str">
        <f>$A$144</f>
        <v>AI-4 Área interna  Banheiros</v>
      </c>
      <c r="B213" s="943"/>
      <c r="C213" s="1">
        <f>$D$148</f>
        <v>0</v>
      </c>
      <c r="D213" s="513">
        <f>'Produt. Postos CBT'!F8</f>
        <v>152.38999999999999</v>
      </c>
      <c r="E213" s="514">
        <f t="shared" si="7"/>
        <v>0</v>
      </c>
    </row>
    <row r="214" spans="1:5" x14ac:dyDescent="0.2">
      <c r="A214" s="943" t="str">
        <f>$A$152</f>
        <v>AE-1 Área Externa pisos adjacentes às edificações</v>
      </c>
      <c r="B214" s="943"/>
      <c r="C214" s="1">
        <f>$D$154</f>
        <v>0</v>
      </c>
      <c r="D214" s="513">
        <f>'Produt. Postos CBT'!G8</f>
        <v>5714.19</v>
      </c>
      <c r="E214" s="514">
        <f t="shared" si="7"/>
        <v>0</v>
      </c>
    </row>
    <row r="215" spans="1:5" x14ac:dyDescent="0.2">
      <c r="A215" s="943" t="str">
        <f>A155</f>
        <v>AE-2 Área Externa áreas verdes - coleta de detritos em pátios e áreas verdes com frequência diária</v>
      </c>
      <c r="B215" s="943"/>
      <c r="C215" s="1">
        <f>D157</f>
        <v>0</v>
      </c>
      <c r="D215" s="513">
        <f>'Produt. Postos CBT'!H8</f>
        <v>54.85</v>
      </c>
      <c r="E215" s="514">
        <f t="shared" si="7"/>
        <v>0</v>
      </c>
    </row>
    <row r="216" spans="1:5" x14ac:dyDescent="0.2">
      <c r="A216" s="943" t="str">
        <f>$A$158</f>
        <v>AE-2.1 Área Externa áreas verdes com média frequência - mensal</v>
      </c>
      <c r="B216" s="943"/>
      <c r="C216" s="1">
        <f>$D$160</f>
        <v>0</v>
      </c>
      <c r="D216" s="513">
        <f>'Produt. Postos CBT'!H8</f>
        <v>54.85</v>
      </c>
      <c r="E216" s="514">
        <f t="shared" si="7"/>
        <v>0</v>
      </c>
    </row>
    <row r="217" spans="1:5" x14ac:dyDescent="0.2">
      <c r="A217" s="943" t="str">
        <f>$A$161</f>
        <v>AE-3 Área Externa arruamento, passeios</v>
      </c>
      <c r="B217" s="943"/>
      <c r="C217" s="1">
        <f>$D$163</f>
        <v>0</v>
      </c>
      <c r="D217" s="513">
        <f>'Produt. Postos CBT'!J8</f>
        <v>710</v>
      </c>
      <c r="E217" s="514">
        <f t="shared" si="7"/>
        <v>0</v>
      </c>
    </row>
    <row r="218" spans="1:5" x14ac:dyDescent="0.2">
      <c r="A218" s="943" t="str">
        <f>$A$167</f>
        <v xml:space="preserve">EER Área de Esquadria Face Externa COM exposição a risco </v>
      </c>
      <c r="B218" s="943"/>
      <c r="C218" s="1">
        <f>$D$169</f>
        <v>0</v>
      </c>
      <c r="D218" s="513">
        <f>'Produt. Postos CBT'!K8</f>
        <v>100.25</v>
      </c>
      <c r="E218" s="514">
        <f t="shared" si="7"/>
        <v>0</v>
      </c>
    </row>
    <row r="219" spans="1:5" x14ac:dyDescent="0.2">
      <c r="A219" s="943" t="str">
        <f>$A$170</f>
        <v>EE Área de Esquadria Face Externa SEM exposição a risco</v>
      </c>
      <c r="B219" s="943"/>
      <c r="C219" s="1">
        <f>$D$172</f>
        <v>0</v>
      </c>
      <c r="D219" s="513">
        <f>'Produt. Postos CBT'!L8</f>
        <v>200</v>
      </c>
      <c r="E219" s="514">
        <f t="shared" si="7"/>
        <v>0</v>
      </c>
    </row>
    <row r="220" spans="1:5" x14ac:dyDescent="0.2">
      <c r="A220" s="943" t="str">
        <f>$A$173</f>
        <v>EI Área de Esquadria Face Interna</v>
      </c>
      <c r="B220" s="943"/>
      <c r="C220" s="1">
        <f>$D$175</f>
        <v>0</v>
      </c>
      <c r="D220" s="513">
        <f>'Produt. Postos CBT'!M8</f>
        <v>300.25</v>
      </c>
      <c r="E220" s="515">
        <f t="shared" si="7"/>
        <v>0</v>
      </c>
    </row>
    <row r="221" spans="1:5" x14ac:dyDescent="0.2">
      <c r="E221" s="516">
        <f>SUM(E210:E220)</f>
        <v>0</v>
      </c>
    </row>
    <row r="222" spans="1:5" x14ac:dyDescent="0.2">
      <c r="E222" s="558"/>
    </row>
  </sheetData>
  <mergeCells count="72">
    <mergeCell ref="A219:B219"/>
    <mergeCell ref="A220:B220"/>
    <mergeCell ref="A214:B214"/>
    <mergeCell ref="A215:B215"/>
    <mergeCell ref="A216:B216"/>
    <mergeCell ref="A217:B217"/>
    <mergeCell ref="A218:B21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8:E208"/>
    <mergeCell ref="A197:B197"/>
    <mergeCell ref="A198:B198"/>
    <mergeCell ref="A199:B199"/>
    <mergeCell ref="A200:B200"/>
    <mergeCell ref="A201:B201"/>
    <mergeCell ref="A190:B190"/>
    <mergeCell ref="A193:E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222"/>
  <sheetViews>
    <sheetView topLeftCell="A55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0.7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559" t="s">
        <v>729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Cal'!M21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601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55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559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Cal'!L21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1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730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C114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14.25" customHeight="1" x14ac:dyDescent="0.2">
      <c r="A178" s="941" t="s">
        <v>711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$D$121</f>
        <v>0</v>
      </c>
      <c r="D180" s="513">
        <f>'Produt. Postos CBT'!C4</f>
        <v>150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$D$130</f>
        <v>0</v>
      </c>
      <c r="D181" s="513">
        <f>'Produt. Postos CBT'!D4</f>
        <v>3000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$D$139</f>
        <v>0</v>
      </c>
      <c r="D182" s="513">
        <f>'Produt. Postos CBT'!E4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CBT'!F4</f>
        <v>20.62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CBT'!G4</f>
        <v>774.35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CBT'!H4</f>
        <v>4270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CBT'!I4</f>
        <v>4270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CBT'!J4</f>
        <v>0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CBT'!K4</f>
        <v>48.7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CBT'!L4</f>
        <v>0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CBT'!M4</f>
        <v>48.7</v>
      </c>
      <c r="E190" s="515">
        <f t="shared" si="5"/>
        <v>0</v>
      </c>
    </row>
    <row r="191" spans="1:5" x14ac:dyDescent="0.2">
      <c r="E191" s="516">
        <f>SUM(E180:E190)</f>
        <v>0</v>
      </c>
    </row>
    <row r="193" spans="1:5" x14ac:dyDescent="0.2">
      <c r="A193" s="941" t="s">
        <v>731</v>
      </c>
      <c r="B193" s="941"/>
      <c r="C193" s="941"/>
      <c r="D193" s="941"/>
      <c r="E193" s="941"/>
    </row>
    <row r="194" spans="1:5" ht="25.5" customHeight="1" x14ac:dyDescent="0.2">
      <c r="A194" s="942" t="s">
        <v>703</v>
      </c>
      <c r="B194" s="942"/>
      <c r="C194" s="734" t="s">
        <v>704</v>
      </c>
      <c r="D194" s="734" t="s">
        <v>705</v>
      </c>
      <c r="E194" s="734" t="s">
        <v>706</v>
      </c>
    </row>
    <row r="195" spans="1:5" x14ac:dyDescent="0.2">
      <c r="A195" s="943" t="str">
        <f>$A$117</f>
        <v>AI-1 Área Interna pisos frios</v>
      </c>
      <c r="B195" s="943"/>
      <c r="C195" s="1">
        <f>$D$121</f>
        <v>0</v>
      </c>
      <c r="D195" s="513">
        <f>'Produt. Postos CBT'!C5</f>
        <v>0</v>
      </c>
      <c r="E195" s="514">
        <f t="shared" ref="E195:E205" si="6">C195*D195</f>
        <v>0</v>
      </c>
    </row>
    <row r="196" spans="1:5" x14ac:dyDescent="0.2">
      <c r="A196" s="943" t="str">
        <f>$A$126</f>
        <v>AI-2 Área interna (Almoxarifado, Galpões, arquivos )</v>
      </c>
      <c r="B196" s="943"/>
      <c r="C196" s="1">
        <f>$D$130</f>
        <v>0</v>
      </c>
      <c r="D196" s="513">
        <f>'Produt. Postos CBT'!D5</f>
        <v>2807.4</v>
      </c>
      <c r="E196" s="514">
        <f t="shared" si="6"/>
        <v>0</v>
      </c>
    </row>
    <row r="197" spans="1:5" x14ac:dyDescent="0.2">
      <c r="A197" s="943" t="str">
        <f>$A$135</f>
        <v>AI-3 Área interna Espaços Livres (saguão, hall, salão)</v>
      </c>
      <c r="B197" s="943"/>
      <c r="C197" s="1">
        <f>$D$139</f>
        <v>0</v>
      </c>
      <c r="D197" s="513">
        <f>'Produt. Postos CBT'!E5</f>
        <v>0</v>
      </c>
      <c r="E197" s="514">
        <f t="shared" si="6"/>
        <v>0</v>
      </c>
    </row>
    <row r="198" spans="1:5" x14ac:dyDescent="0.2">
      <c r="A198" s="943" t="str">
        <f>$A$144</f>
        <v>AI-4 Área interna  Banheiros</v>
      </c>
      <c r="B198" s="943"/>
      <c r="C198" s="1">
        <f>$D$148</f>
        <v>0</v>
      </c>
      <c r="D198" s="513">
        <f>'Produt. Postos CBT'!F5</f>
        <v>126</v>
      </c>
      <c r="E198" s="514">
        <f t="shared" si="6"/>
        <v>0</v>
      </c>
    </row>
    <row r="199" spans="1:5" x14ac:dyDescent="0.2">
      <c r="A199" s="943" t="str">
        <f>$A$152</f>
        <v>AE-1 Área Externa pisos adjacentes às edificações</v>
      </c>
      <c r="B199" s="943"/>
      <c r="C199" s="1">
        <f>$D$154</f>
        <v>0</v>
      </c>
      <c r="D199" s="513">
        <f>'Produt. Postos CBT'!G5</f>
        <v>285.35000000000002</v>
      </c>
      <c r="E199" s="514">
        <f t="shared" si="6"/>
        <v>0</v>
      </c>
    </row>
    <row r="200" spans="1:5" x14ac:dyDescent="0.2">
      <c r="A200" s="943" t="str">
        <f>A155</f>
        <v>AE-2 Área Externa áreas verdes - coleta de detritos em pátios e áreas verdes com frequência diária</v>
      </c>
      <c r="B200" s="943"/>
      <c r="C200" s="1">
        <f>D157</f>
        <v>0</v>
      </c>
      <c r="D200" s="513">
        <f>'Produt. Postos CBT'!H5</f>
        <v>42</v>
      </c>
      <c r="E200" s="514">
        <f t="shared" si="6"/>
        <v>0</v>
      </c>
    </row>
    <row r="201" spans="1:5" x14ac:dyDescent="0.2">
      <c r="A201" s="943" t="str">
        <f>$A$158</f>
        <v>AE-2.1 Área Externa áreas verdes com média frequência - mensal</v>
      </c>
      <c r="B201" s="943"/>
      <c r="C201" s="1">
        <f>$D$160</f>
        <v>0</v>
      </c>
      <c r="D201" s="513">
        <f>'Produt. Postos CBT'!I5</f>
        <v>42</v>
      </c>
      <c r="E201" s="514">
        <f t="shared" si="6"/>
        <v>0</v>
      </c>
    </row>
    <row r="202" spans="1:5" x14ac:dyDescent="0.2">
      <c r="A202" s="943" t="str">
        <f>$A$161</f>
        <v>AE-3 Área Externa arruamento, passeios</v>
      </c>
      <c r="B202" s="943"/>
      <c r="C202" s="1">
        <f>$D$163</f>
        <v>0</v>
      </c>
      <c r="D202" s="513">
        <f>'Produt. Postos CBT'!J5</f>
        <v>40</v>
      </c>
      <c r="E202" s="514">
        <f t="shared" si="6"/>
        <v>0</v>
      </c>
    </row>
    <row r="203" spans="1:5" x14ac:dyDescent="0.2">
      <c r="A203" s="943" t="str">
        <f>$A$167</f>
        <v xml:space="preserve">EER Área de Esquadria Face Externa COM exposição a risco </v>
      </c>
      <c r="B203" s="943"/>
      <c r="C203" s="1">
        <f>$D$169</f>
        <v>0</v>
      </c>
      <c r="D203" s="513">
        <f>'Produt. Postos CBT'!K5</f>
        <v>324.45</v>
      </c>
      <c r="E203" s="514">
        <f t="shared" si="6"/>
        <v>0</v>
      </c>
    </row>
    <row r="204" spans="1:5" x14ac:dyDescent="0.2">
      <c r="A204" s="943" t="str">
        <f>$A$170</f>
        <v>EE Área de Esquadria Face Externa SEM exposição a risco</v>
      </c>
      <c r="B204" s="943"/>
      <c r="C204" s="1">
        <f>$D$172</f>
        <v>0</v>
      </c>
      <c r="D204" s="513">
        <f>'Produt. Postos CBT'!L5</f>
        <v>35</v>
      </c>
      <c r="E204" s="514">
        <f t="shared" si="6"/>
        <v>0</v>
      </c>
    </row>
    <row r="205" spans="1:5" x14ac:dyDescent="0.2">
      <c r="A205" s="943" t="str">
        <f>$A$173</f>
        <v>EI Área de Esquadria Face Interna</v>
      </c>
      <c r="B205" s="943"/>
      <c r="C205" s="1">
        <f>$D$175</f>
        <v>0</v>
      </c>
      <c r="D205" s="513">
        <f>'Produt. Postos CBT'!M5</f>
        <v>359.45</v>
      </c>
      <c r="E205" s="515">
        <f t="shared" si="6"/>
        <v>0</v>
      </c>
    </row>
    <row r="206" spans="1:5" x14ac:dyDescent="0.2">
      <c r="E206" s="516">
        <f>SUM(E195:E205)</f>
        <v>0</v>
      </c>
    </row>
    <row r="208" spans="1:5" x14ac:dyDescent="0.2">
      <c r="A208" s="941" t="s">
        <v>732</v>
      </c>
      <c r="B208" s="941"/>
      <c r="C208" s="941"/>
      <c r="D208" s="941"/>
      <c r="E208" s="941"/>
    </row>
    <row r="209" spans="1:6" ht="25.5" customHeight="1" x14ac:dyDescent="0.2">
      <c r="A209" s="942" t="s">
        <v>703</v>
      </c>
      <c r="B209" s="942"/>
      <c r="C209" s="734" t="s">
        <v>704</v>
      </c>
      <c r="D209" s="734" t="s">
        <v>705</v>
      </c>
      <c r="E209" s="734" t="s">
        <v>706</v>
      </c>
    </row>
    <row r="210" spans="1:6" x14ac:dyDescent="0.2">
      <c r="A210" s="943" t="str">
        <f>$A$117</f>
        <v>AI-1 Área Interna pisos frios</v>
      </c>
      <c r="B210" s="943"/>
      <c r="C210" s="1">
        <f>$D$121</f>
        <v>0</v>
      </c>
      <c r="D210" s="513">
        <f>'Produt. Postos CBT'!C7</f>
        <v>661.1</v>
      </c>
      <c r="E210" s="514">
        <f t="shared" ref="E210:E220" si="7">C210*D210</f>
        <v>0</v>
      </c>
    </row>
    <row r="211" spans="1:6" x14ac:dyDescent="0.2">
      <c r="A211" s="943" t="str">
        <f>$A$126</f>
        <v>AI-2 Área interna (Almoxarifado, Galpões, arquivos )</v>
      </c>
      <c r="B211" s="943"/>
      <c r="C211" s="1">
        <f>$D$130</f>
        <v>0</v>
      </c>
      <c r="D211" s="513">
        <f>'Produt. Postos CBT'!D7</f>
        <v>152.5</v>
      </c>
      <c r="E211" s="514">
        <f t="shared" si="7"/>
        <v>0</v>
      </c>
    </row>
    <row r="212" spans="1:6" x14ac:dyDescent="0.2">
      <c r="A212" s="943" t="str">
        <f>$A$135</f>
        <v>AI-3 Área interna Espaços Livres (saguão, hall, salão)</v>
      </c>
      <c r="B212" s="943"/>
      <c r="C212" s="1">
        <f>$D$139</f>
        <v>0</v>
      </c>
      <c r="D212" s="513">
        <f>'Produt. Postos CBT'!E7</f>
        <v>0</v>
      </c>
      <c r="E212" s="514">
        <f t="shared" si="7"/>
        <v>0</v>
      </c>
    </row>
    <row r="213" spans="1:6" x14ac:dyDescent="0.2">
      <c r="A213" s="943" t="str">
        <f>$A$144</f>
        <v>AI-4 Área interna  Banheiros</v>
      </c>
      <c r="B213" s="943"/>
      <c r="C213" s="1">
        <f>$D$148</f>
        <v>0</v>
      </c>
      <c r="D213" s="513">
        <f>'Produt. Postos CBT'!F7</f>
        <v>55.33</v>
      </c>
      <c r="E213" s="514">
        <f t="shared" si="7"/>
        <v>0</v>
      </c>
    </row>
    <row r="214" spans="1:6" x14ac:dyDescent="0.2">
      <c r="A214" s="943" t="str">
        <f>$A$152</f>
        <v>AE-1 Área Externa pisos adjacentes às edificações</v>
      </c>
      <c r="B214" s="943"/>
      <c r="C214" s="1">
        <f>$D$154</f>
        <v>0</v>
      </c>
      <c r="D214" s="513">
        <f>'Produt. Postos CBT'!G7</f>
        <v>250</v>
      </c>
      <c r="E214" s="514">
        <f t="shared" si="7"/>
        <v>0</v>
      </c>
    </row>
    <row r="215" spans="1:6" x14ac:dyDescent="0.2">
      <c r="A215" s="943" t="str">
        <f>A155</f>
        <v>AE-2 Área Externa áreas verdes - coleta de detritos em pátios e áreas verdes com frequência diária</v>
      </c>
      <c r="B215" s="943"/>
      <c r="C215" s="1">
        <f>D157</f>
        <v>0</v>
      </c>
      <c r="D215" s="513">
        <f>'Produt. Postos CBT'!H7</f>
        <v>1748.85</v>
      </c>
      <c r="E215" s="514">
        <f t="shared" si="7"/>
        <v>0</v>
      </c>
    </row>
    <row r="216" spans="1:6" x14ac:dyDescent="0.2">
      <c r="A216" s="943" t="str">
        <f>$A$158</f>
        <v>AE-2.1 Área Externa áreas verdes com média frequência - mensal</v>
      </c>
      <c r="B216" s="943"/>
      <c r="C216" s="1">
        <f>$D$160</f>
        <v>0</v>
      </c>
      <c r="D216" s="513">
        <f>'Produt. Postos CBT'!I7</f>
        <v>1748.85</v>
      </c>
      <c r="E216" s="514">
        <f t="shared" si="7"/>
        <v>0</v>
      </c>
    </row>
    <row r="217" spans="1:6" x14ac:dyDescent="0.2">
      <c r="A217" s="943" t="str">
        <f>$A$161</f>
        <v>AE-3 Área Externa arruamento, passeios</v>
      </c>
      <c r="B217" s="943"/>
      <c r="C217" s="1">
        <f>$D$163</f>
        <v>0</v>
      </c>
      <c r="D217" s="513">
        <f>'Produt. Postos CBT'!J7</f>
        <v>216</v>
      </c>
      <c r="E217" s="514">
        <f t="shared" si="7"/>
        <v>0</v>
      </c>
    </row>
    <row r="218" spans="1:6" x14ac:dyDescent="0.2">
      <c r="A218" s="943" t="str">
        <f>$A$167</f>
        <v xml:space="preserve">EER Área de Esquadria Face Externa COM exposição a risco </v>
      </c>
      <c r="B218" s="943"/>
      <c r="C218" s="1">
        <f>$D$169</f>
        <v>0</v>
      </c>
      <c r="D218" s="513">
        <f>'Produt. Postos CBT'!K7</f>
        <v>0</v>
      </c>
      <c r="E218" s="514">
        <f t="shared" si="7"/>
        <v>0</v>
      </c>
    </row>
    <row r="219" spans="1:6" x14ac:dyDescent="0.2">
      <c r="A219" s="943" t="str">
        <f>$A$170</f>
        <v>EE Área de Esquadria Face Externa SEM exposição a risco</v>
      </c>
      <c r="B219" s="943"/>
      <c r="C219" s="1">
        <f>$D$172</f>
        <v>0</v>
      </c>
      <c r="D219" s="513">
        <f>'Produt. Postos CBT'!L7</f>
        <v>124.35</v>
      </c>
      <c r="E219" s="514">
        <f t="shared" si="7"/>
        <v>0</v>
      </c>
    </row>
    <row r="220" spans="1:6" x14ac:dyDescent="0.2">
      <c r="A220" s="943" t="str">
        <f>$A$173</f>
        <v>EI Área de Esquadria Face Interna</v>
      </c>
      <c r="B220" s="943"/>
      <c r="C220" s="1">
        <f>$D$175</f>
        <v>0</v>
      </c>
      <c r="D220" s="513">
        <f>'Produt. Postos CBT'!M7</f>
        <v>124.35</v>
      </c>
      <c r="E220" s="515">
        <f t="shared" si="7"/>
        <v>0</v>
      </c>
    </row>
    <row r="221" spans="1:6" x14ac:dyDescent="0.2">
      <c r="E221" s="516">
        <f>SUM(E210:E220)</f>
        <v>0</v>
      </c>
    </row>
    <row r="222" spans="1:6" x14ac:dyDescent="0.2">
      <c r="F222" s="558"/>
    </row>
  </sheetData>
  <mergeCells count="72">
    <mergeCell ref="A219:B219"/>
    <mergeCell ref="A220:B220"/>
    <mergeCell ref="A214:B214"/>
    <mergeCell ref="A215:B215"/>
    <mergeCell ref="A216:B216"/>
    <mergeCell ref="A217:B217"/>
    <mergeCell ref="A218:B21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8:E208"/>
    <mergeCell ref="A197:B197"/>
    <mergeCell ref="A198:B198"/>
    <mergeCell ref="A199:B199"/>
    <mergeCell ref="A200:B200"/>
    <mergeCell ref="A201:B201"/>
    <mergeCell ref="A190:B190"/>
    <mergeCell ref="A193:E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46" zoomScaleNormal="100" workbookViewId="0">
      <selection activeCell="J63" sqref="J61:J63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5.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5">
      <c r="A19" s="560" t="s">
        <v>729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Cal'!M27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601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553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5">
      <c r="A90" s="560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Cal'!L27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13" t="s">
        <v>608</v>
      </c>
      <c r="B114" s="913"/>
      <c r="C114" s="480">
        <f>SUM(C112:C113)</f>
        <v>0</v>
      </c>
      <c r="D114" s="480">
        <f>SUM(D112:D113)</f>
        <v>0</v>
      </c>
      <c r="E114" s="481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CBT'!F24</f>
        <v>4.0000000000000001E-3</v>
      </c>
      <c r="C146" s="491">
        <f>C137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C114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30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$A$117</f>
        <v>AI-1 Área Interna pisos frios</v>
      </c>
      <c r="B180" s="943"/>
      <c r="C180" s="1">
        <f>$D$121</f>
        <v>0</v>
      </c>
      <c r="D180" s="513">
        <f>'Produt. Postos CBT'!C9</f>
        <v>825.54</v>
      </c>
      <c r="E180" s="514">
        <f t="shared" ref="E180:E190" si="5">C180*D180</f>
        <v>0</v>
      </c>
    </row>
    <row r="181" spans="1:5" x14ac:dyDescent="0.2">
      <c r="A181" s="943" t="str">
        <f>$A$126</f>
        <v>AI-2 Área interna (Almoxarifado, Galpões, arquivos )</v>
      </c>
      <c r="B181" s="943"/>
      <c r="C181" s="1">
        <f>$D$130</f>
        <v>0</v>
      </c>
      <c r="D181" s="513">
        <f>'Produt. Postos CBT'!D9</f>
        <v>825.54</v>
      </c>
      <c r="E181" s="514">
        <f t="shared" si="5"/>
        <v>0</v>
      </c>
    </row>
    <row r="182" spans="1:5" x14ac:dyDescent="0.2">
      <c r="A182" s="943" t="str">
        <f>$A$135</f>
        <v>AI-3 Área interna Espaços Livres (saguão, hall, salão)</v>
      </c>
      <c r="B182" s="943"/>
      <c r="C182" s="1">
        <f>$D$139</f>
        <v>0</v>
      </c>
      <c r="D182" s="513">
        <f>'Produt. Postos CBT'!E9</f>
        <v>825.54</v>
      </c>
      <c r="E182" s="514">
        <f t="shared" si="5"/>
        <v>0</v>
      </c>
    </row>
    <row r="183" spans="1:5" x14ac:dyDescent="0.2">
      <c r="A183" s="943" t="str">
        <f>$A$144</f>
        <v>AI-4 Área interna  Banheiros</v>
      </c>
      <c r="B183" s="943"/>
      <c r="C183" s="1">
        <f>$D$148</f>
        <v>0</v>
      </c>
      <c r="D183" s="513">
        <f>'Produt. Postos CBT'!F9</f>
        <v>143.30000000000001</v>
      </c>
      <c r="E183" s="514">
        <f t="shared" si="5"/>
        <v>0</v>
      </c>
    </row>
    <row r="184" spans="1:5" x14ac:dyDescent="0.2">
      <c r="A184" s="943" t="str">
        <f>$A$152</f>
        <v>AE-1 Área Externa pisos adjacentes às edificações</v>
      </c>
      <c r="B184" s="943"/>
      <c r="C184" s="1">
        <f>$D$154</f>
        <v>0</v>
      </c>
      <c r="D184" s="513">
        <f>'Produt. Postos CBT'!G9</f>
        <v>479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CBT'!H9</f>
        <v>263</v>
      </c>
      <c r="E185" s="514">
        <f t="shared" si="5"/>
        <v>0</v>
      </c>
    </row>
    <row r="186" spans="1:5" x14ac:dyDescent="0.2">
      <c r="A186" s="943" t="str">
        <f>$A$158</f>
        <v>AE-2.1 Área Externa áreas verdes com média frequência - mensal</v>
      </c>
      <c r="B186" s="943"/>
      <c r="C186" s="1">
        <f>$D$160</f>
        <v>0</v>
      </c>
      <c r="D186" s="513">
        <f>'Produt. Postos CBT'!I9</f>
        <v>263</v>
      </c>
      <c r="E186" s="514">
        <f t="shared" si="5"/>
        <v>0</v>
      </c>
    </row>
    <row r="187" spans="1:5" x14ac:dyDescent="0.2">
      <c r="A187" s="943" t="str">
        <f>$A$161</f>
        <v>AE-3 Área Externa arruamento, passeios</v>
      </c>
      <c r="B187" s="943"/>
      <c r="C187" s="1">
        <f>$D$163</f>
        <v>0</v>
      </c>
      <c r="D187" s="513">
        <f>'Produt. Postos CBT'!J9</f>
        <v>150</v>
      </c>
      <c r="E187" s="514">
        <f t="shared" si="5"/>
        <v>0</v>
      </c>
    </row>
    <row r="188" spans="1:5" x14ac:dyDescent="0.2">
      <c r="A188" s="943" t="str">
        <f>$A$167</f>
        <v xml:space="preserve">EER Área de Esquadria Face Externa COM exposição a risco </v>
      </c>
      <c r="B188" s="943"/>
      <c r="C188" s="1">
        <f>$D$169</f>
        <v>0</v>
      </c>
      <c r="D188" s="513">
        <f>'Produt. Postos CBT'!K9</f>
        <v>746.26</v>
      </c>
      <c r="E188" s="514">
        <f t="shared" si="5"/>
        <v>0</v>
      </c>
    </row>
    <row r="189" spans="1:5" x14ac:dyDescent="0.2">
      <c r="A189" s="943" t="str">
        <f>$A$170</f>
        <v>EE Área de Esquadria Face Externa SEM exposição a risco</v>
      </c>
      <c r="B189" s="943"/>
      <c r="C189" s="1">
        <f>$D$172</f>
        <v>0</v>
      </c>
      <c r="D189" s="513">
        <f>'Produt. Postos CBT'!L9</f>
        <v>373</v>
      </c>
      <c r="E189" s="514">
        <f t="shared" si="5"/>
        <v>0</v>
      </c>
    </row>
    <row r="190" spans="1:5" x14ac:dyDescent="0.2">
      <c r="A190" s="943" t="str">
        <f>$A$173</f>
        <v>EI Área de Esquadria Face Interna</v>
      </c>
      <c r="B190" s="943"/>
      <c r="C190" s="1">
        <f>$D$175</f>
        <v>0</v>
      </c>
      <c r="D190" s="513">
        <f>'Produt. Postos CBT'!M9</f>
        <v>1119.26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H222"/>
  <sheetViews>
    <sheetView showGridLines="0" topLeftCell="A195" zoomScaleNormal="100" workbookViewId="0">
      <selection activeCell="A209" sqref="A209"/>
    </sheetView>
  </sheetViews>
  <sheetFormatPr defaultColWidth="9" defaultRowHeight="14.25" x14ac:dyDescent="0.2"/>
  <cols>
    <col min="1" max="1" width="51.125" style="55" customWidth="1"/>
    <col min="2" max="2" width="15.5" style="55" customWidth="1"/>
    <col min="3" max="4" width="15.625" style="55" customWidth="1"/>
    <col min="5" max="5" width="16.5" style="55" customWidth="1"/>
    <col min="6" max="7" width="15.25" style="55" customWidth="1"/>
    <col min="8" max="8" width="8.5" style="55" customWidth="1"/>
    <col min="9" max="9" width="1.125" style="55" customWidth="1"/>
    <col min="10" max="10" width="104" style="55" customWidth="1"/>
    <col min="11" max="1022" width="9" style="55"/>
  </cols>
  <sheetData>
    <row r="1" spans="1:10" s="56" customFormat="1" ht="20.25" customHeight="1" x14ac:dyDescent="0.2">
      <c r="A1" s="836" t="s">
        <v>128</v>
      </c>
      <c r="B1" s="836"/>
      <c r="C1" s="836"/>
      <c r="D1" s="836"/>
      <c r="E1" s="836"/>
      <c r="F1" s="836"/>
      <c r="G1" s="836"/>
      <c r="H1" s="836"/>
      <c r="J1" s="57" t="s">
        <v>129</v>
      </c>
    </row>
    <row r="2" spans="1:10" ht="35.25" customHeight="1" x14ac:dyDescent="0.2">
      <c r="A2" s="58" t="s">
        <v>130</v>
      </c>
      <c r="B2" s="59" t="s">
        <v>131</v>
      </c>
      <c r="C2" s="59" t="s">
        <v>132</v>
      </c>
      <c r="D2" s="59" t="s">
        <v>133</v>
      </c>
      <c r="E2" s="60" t="s">
        <v>134</v>
      </c>
      <c r="F2" s="61" t="s">
        <v>135</v>
      </c>
      <c r="G2" s="61" t="s">
        <v>136</v>
      </c>
      <c r="H2" s="62" t="s">
        <v>137</v>
      </c>
      <c r="J2" s="63" t="s">
        <v>138</v>
      </c>
    </row>
    <row r="3" spans="1:10" ht="15" customHeight="1" x14ac:dyDescent="0.2">
      <c r="A3" s="64" t="s">
        <v>139</v>
      </c>
      <c r="B3" s="65" t="s">
        <v>140</v>
      </c>
      <c r="C3" s="66">
        <v>4</v>
      </c>
      <c r="D3" s="66">
        <v>8</v>
      </c>
      <c r="E3" s="67">
        <v>0</v>
      </c>
      <c r="F3" s="68">
        <f t="shared" ref="F3:F36" si="0">C3*E3</f>
        <v>0</v>
      </c>
      <c r="G3" s="69">
        <f t="shared" ref="G3:G36" si="1">D3*E3</f>
        <v>0</v>
      </c>
      <c r="H3" s="70" t="s">
        <v>141</v>
      </c>
      <c r="J3" s="63" t="s">
        <v>142</v>
      </c>
    </row>
    <row r="4" spans="1:10" ht="15" customHeight="1" x14ac:dyDescent="0.2">
      <c r="A4" s="71" t="s">
        <v>143</v>
      </c>
      <c r="B4" s="65" t="s">
        <v>144</v>
      </c>
      <c r="C4" s="72">
        <v>47</v>
      </c>
      <c r="D4" s="72">
        <v>150</v>
      </c>
      <c r="E4" s="67">
        <v>0</v>
      </c>
      <c r="F4" s="68">
        <f t="shared" si="0"/>
        <v>0</v>
      </c>
      <c r="G4" s="69">
        <f t="shared" si="1"/>
        <v>0</v>
      </c>
      <c r="H4" s="73" t="s">
        <v>145</v>
      </c>
      <c r="J4" s="63" t="s">
        <v>146</v>
      </c>
    </row>
    <row r="5" spans="1:10" ht="15" customHeight="1" x14ac:dyDescent="0.2">
      <c r="A5" s="71" t="s">
        <v>147</v>
      </c>
      <c r="B5" s="74" t="s">
        <v>148</v>
      </c>
      <c r="C5" s="72">
        <v>18</v>
      </c>
      <c r="D5" s="72">
        <v>17</v>
      </c>
      <c r="E5" s="67">
        <v>0</v>
      </c>
      <c r="F5" s="68">
        <f t="shared" si="0"/>
        <v>0</v>
      </c>
      <c r="G5" s="69">
        <f t="shared" si="1"/>
        <v>0</v>
      </c>
      <c r="H5" s="73" t="s">
        <v>149</v>
      </c>
      <c r="J5" s="63" t="s">
        <v>150</v>
      </c>
    </row>
    <row r="6" spans="1:10" ht="15" customHeight="1" x14ac:dyDescent="0.2">
      <c r="A6" s="71" t="s">
        <v>151</v>
      </c>
      <c r="B6" s="74" t="s">
        <v>140</v>
      </c>
      <c r="C6" s="72">
        <v>70</v>
      </c>
      <c r="D6" s="72">
        <v>140</v>
      </c>
      <c r="E6" s="67">
        <v>0</v>
      </c>
      <c r="F6" s="68">
        <f t="shared" si="0"/>
        <v>0</v>
      </c>
      <c r="G6" s="69">
        <f t="shared" si="1"/>
        <v>0</v>
      </c>
      <c r="H6" s="73" t="s">
        <v>149</v>
      </c>
      <c r="J6" s="75" t="s">
        <v>152</v>
      </c>
    </row>
    <row r="7" spans="1:10" ht="15" customHeight="1" x14ac:dyDescent="0.2">
      <c r="A7" s="71" t="s">
        <v>153</v>
      </c>
      <c r="B7" s="74" t="s">
        <v>154</v>
      </c>
      <c r="C7" s="72">
        <v>30</v>
      </c>
      <c r="D7" s="72">
        <v>126</v>
      </c>
      <c r="E7" s="67">
        <v>0</v>
      </c>
      <c r="F7" s="68">
        <f t="shared" si="0"/>
        <v>0</v>
      </c>
      <c r="G7" s="69">
        <f t="shared" si="1"/>
        <v>0</v>
      </c>
      <c r="H7" s="73" t="s">
        <v>155</v>
      </c>
    </row>
    <row r="8" spans="1:10" ht="15" customHeight="1" x14ac:dyDescent="0.2">
      <c r="A8" s="71" t="s">
        <v>156</v>
      </c>
      <c r="B8" s="74" t="s">
        <v>157</v>
      </c>
      <c r="C8" s="72">
        <v>40</v>
      </c>
      <c r="D8" s="72">
        <v>64</v>
      </c>
      <c r="E8" s="67">
        <v>0</v>
      </c>
      <c r="F8" s="68">
        <f t="shared" si="0"/>
        <v>0</v>
      </c>
      <c r="G8" s="69">
        <f t="shared" si="1"/>
        <v>0</v>
      </c>
      <c r="H8" s="73" t="s">
        <v>158</v>
      </c>
      <c r="J8" s="55" t="s">
        <v>159</v>
      </c>
    </row>
    <row r="9" spans="1:10" ht="15" customHeight="1" x14ac:dyDescent="0.2">
      <c r="A9" s="71" t="s">
        <v>160</v>
      </c>
      <c r="B9" s="74" t="s">
        <v>157</v>
      </c>
      <c r="C9" s="72">
        <v>5</v>
      </c>
      <c r="D9" s="72">
        <v>9</v>
      </c>
      <c r="E9" s="67">
        <v>0</v>
      </c>
      <c r="F9" s="68">
        <f t="shared" si="0"/>
        <v>0</v>
      </c>
      <c r="G9" s="69">
        <f t="shared" si="1"/>
        <v>0</v>
      </c>
      <c r="H9" s="73" t="s">
        <v>161</v>
      </c>
    </row>
    <row r="10" spans="1:10" ht="15" customHeight="1" x14ac:dyDescent="0.2">
      <c r="A10" s="71" t="s">
        <v>162</v>
      </c>
      <c r="B10" s="74" t="s">
        <v>157</v>
      </c>
      <c r="C10" s="72">
        <v>11</v>
      </c>
      <c r="D10" s="72">
        <v>22</v>
      </c>
      <c r="E10" s="67">
        <v>0</v>
      </c>
      <c r="F10" s="68">
        <f t="shared" si="0"/>
        <v>0</v>
      </c>
      <c r="G10" s="69">
        <f t="shared" si="1"/>
        <v>0</v>
      </c>
      <c r="H10" s="73" t="s">
        <v>163</v>
      </c>
    </row>
    <row r="11" spans="1:10" ht="15" customHeight="1" x14ac:dyDescent="0.2">
      <c r="A11" s="71" t="s">
        <v>164</v>
      </c>
      <c r="B11" s="74" t="s">
        <v>148</v>
      </c>
      <c r="C11" s="72">
        <v>35</v>
      </c>
      <c r="D11" s="72">
        <v>65</v>
      </c>
      <c r="E11" s="67">
        <v>0</v>
      </c>
      <c r="F11" s="68">
        <f t="shared" si="0"/>
        <v>0</v>
      </c>
      <c r="G11" s="69">
        <f t="shared" si="1"/>
        <v>0</v>
      </c>
      <c r="H11" s="73" t="s">
        <v>165</v>
      </c>
    </row>
    <row r="12" spans="1:10" ht="15" customHeight="1" x14ac:dyDescent="0.2">
      <c r="A12" s="71" t="s">
        <v>166</v>
      </c>
      <c r="B12" s="74" t="s">
        <v>167</v>
      </c>
      <c r="C12" s="72">
        <v>24</v>
      </c>
      <c r="D12" s="72">
        <v>46</v>
      </c>
      <c r="E12" s="67">
        <v>0</v>
      </c>
      <c r="F12" s="68">
        <f t="shared" si="0"/>
        <v>0</v>
      </c>
      <c r="G12" s="69">
        <f t="shared" si="1"/>
        <v>0</v>
      </c>
      <c r="H12" s="73" t="s">
        <v>168</v>
      </c>
    </row>
    <row r="13" spans="1:10" ht="15" customHeight="1" x14ac:dyDescent="0.2">
      <c r="A13" s="71" t="s">
        <v>169</v>
      </c>
      <c r="B13" s="74" t="s">
        <v>167</v>
      </c>
      <c r="C13" s="72">
        <v>24</v>
      </c>
      <c r="D13" s="72">
        <v>34</v>
      </c>
      <c r="E13" s="67">
        <v>0</v>
      </c>
      <c r="F13" s="68">
        <f t="shared" si="0"/>
        <v>0</v>
      </c>
      <c r="G13" s="69">
        <f t="shared" si="1"/>
        <v>0</v>
      </c>
      <c r="H13" s="73" t="s">
        <v>170</v>
      </c>
    </row>
    <row r="14" spans="1:10" ht="15" customHeight="1" x14ac:dyDescent="0.2">
      <c r="A14" s="71" t="s">
        <v>171</v>
      </c>
      <c r="B14" s="74" t="s">
        <v>167</v>
      </c>
      <c r="C14" s="72">
        <v>48</v>
      </c>
      <c r="D14" s="72">
        <v>98</v>
      </c>
      <c r="E14" s="67">
        <v>0</v>
      </c>
      <c r="F14" s="68">
        <f t="shared" si="0"/>
        <v>0</v>
      </c>
      <c r="G14" s="69">
        <f t="shared" si="1"/>
        <v>0</v>
      </c>
      <c r="H14" s="73" t="s">
        <v>158</v>
      </c>
    </row>
    <row r="15" spans="1:10" ht="15" customHeight="1" x14ac:dyDescent="0.2">
      <c r="A15" s="71" t="s">
        <v>172</v>
      </c>
      <c r="B15" s="74" t="s">
        <v>167</v>
      </c>
      <c r="C15" s="72">
        <v>48</v>
      </c>
      <c r="D15" s="72">
        <v>98</v>
      </c>
      <c r="E15" s="67">
        <v>0</v>
      </c>
      <c r="F15" s="68">
        <f t="shared" si="0"/>
        <v>0</v>
      </c>
      <c r="G15" s="69">
        <f t="shared" si="1"/>
        <v>0</v>
      </c>
      <c r="H15" s="73" t="s">
        <v>173</v>
      </c>
      <c r="J15" s="55">
        <f>4.5*22</f>
        <v>99</v>
      </c>
    </row>
    <row r="16" spans="1:10" ht="15" customHeight="1" x14ac:dyDescent="0.2">
      <c r="A16" s="71" t="s">
        <v>174</v>
      </c>
      <c r="B16" s="74" t="s">
        <v>167</v>
      </c>
      <c r="C16" s="72">
        <v>4</v>
      </c>
      <c r="D16" s="72">
        <v>8</v>
      </c>
      <c r="E16" s="67">
        <v>0</v>
      </c>
      <c r="F16" s="68">
        <f t="shared" si="0"/>
        <v>0</v>
      </c>
      <c r="G16" s="69">
        <f t="shared" si="1"/>
        <v>0</v>
      </c>
      <c r="H16" s="73" t="s">
        <v>175</v>
      </c>
    </row>
    <row r="17" spans="1:10" ht="15" customHeight="1" x14ac:dyDescent="0.2">
      <c r="A17" s="71" t="s">
        <v>176</v>
      </c>
      <c r="B17" s="74" t="s">
        <v>177</v>
      </c>
      <c r="C17" s="72">
        <v>21</v>
      </c>
      <c r="D17" s="72">
        <v>42</v>
      </c>
      <c r="E17" s="67">
        <v>0</v>
      </c>
      <c r="F17" s="68">
        <f t="shared" si="0"/>
        <v>0</v>
      </c>
      <c r="G17" s="69">
        <f t="shared" si="1"/>
        <v>0</v>
      </c>
      <c r="H17" s="73" t="s">
        <v>165</v>
      </c>
    </row>
    <row r="18" spans="1:10" ht="15" customHeight="1" x14ac:dyDescent="0.2">
      <c r="A18" s="71" t="s">
        <v>178</v>
      </c>
      <c r="B18" s="74" t="s">
        <v>148</v>
      </c>
      <c r="C18" s="72">
        <v>4</v>
      </c>
      <c r="D18" s="72">
        <v>8</v>
      </c>
      <c r="E18" s="67">
        <v>0</v>
      </c>
      <c r="F18" s="68">
        <f t="shared" si="0"/>
        <v>0</v>
      </c>
      <c r="G18" s="69">
        <f t="shared" si="1"/>
        <v>0</v>
      </c>
      <c r="H18" s="73" t="s">
        <v>179</v>
      </c>
    </row>
    <row r="19" spans="1:10" ht="15" customHeight="1" x14ac:dyDescent="0.2">
      <c r="A19" s="71" t="s">
        <v>180</v>
      </c>
      <c r="B19" s="74" t="s">
        <v>144</v>
      </c>
      <c r="C19" s="72">
        <v>15</v>
      </c>
      <c r="D19" s="72">
        <v>60</v>
      </c>
      <c r="E19" s="67">
        <v>0</v>
      </c>
      <c r="F19" s="68">
        <f t="shared" si="0"/>
        <v>0</v>
      </c>
      <c r="G19" s="69">
        <f t="shared" si="1"/>
        <v>0</v>
      </c>
      <c r="H19" s="73" t="s">
        <v>181</v>
      </c>
    </row>
    <row r="20" spans="1:10" ht="15" customHeight="1" x14ac:dyDescent="0.2">
      <c r="A20" s="71" t="s">
        <v>182</v>
      </c>
      <c r="B20" s="74" t="s">
        <v>148</v>
      </c>
      <c r="C20" s="72">
        <v>50</v>
      </c>
      <c r="D20" s="72">
        <v>100</v>
      </c>
      <c r="E20" s="67">
        <v>0</v>
      </c>
      <c r="F20" s="68">
        <f t="shared" si="0"/>
        <v>0</v>
      </c>
      <c r="G20" s="69">
        <f t="shared" si="1"/>
        <v>0</v>
      </c>
      <c r="H20" s="73" t="s">
        <v>163</v>
      </c>
    </row>
    <row r="21" spans="1:10" ht="15" customHeight="1" x14ac:dyDescent="0.2">
      <c r="A21" s="71" t="s">
        <v>183</v>
      </c>
      <c r="B21" s="74" t="s">
        <v>184</v>
      </c>
      <c r="C21" s="72">
        <v>4</v>
      </c>
      <c r="D21" s="72">
        <v>17</v>
      </c>
      <c r="E21" s="67">
        <v>0</v>
      </c>
      <c r="F21" s="68">
        <f t="shared" si="0"/>
        <v>0</v>
      </c>
      <c r="G21" s="69">
        <f t="shared" si="1"/>
        <v>0</v>
      </c>
      <c r="H21" s="73" t="s">
        <v>149</v>
      </c>
    </row>
    <row r="22" spans="1:10" ht="15" customHeight="1" x14ac:dyDescent="0.2">
      <c r="A22" s="71" t="s">
        <v>185</v>
      </c>
      <c r="B22" s="74" t="s">
        <v>186</v>
      </c>
      <c r="C22" s="72">
        <v>55</v>
      </c>
      <c r="D22" s="72">
        <v>110</v>
      </c>
      <c r="E22" s="67">
        <v>0</v>
      </c>
      <c r="F22" s="68">
        <f t="shared" si="0"/>
        <v>0</v>
      </c>
      <c r="G22" s="69">
        <f t="shared" si="1"/>
        <v>0</v>
      </c>
      <c r="H22" s="73" t="s">
        <v>163</v>
      </c>
    </row>
    <row r="23" spans="1:10" ht="15" customHeight="1" x14ac:dyDescent="0.2">
      <c r="A23" s="71" t="s">
        <v>187</v>
      </c>
      <c r="B23" s="74" t="s">
        <v>167</v>
      </c>
      <c r="C23" s="72">
        <v>38</v>
      </c>
      <c r="D23" s="72">
        <v>50</v>
      </c>
      <c r="E23" s="67">
        <v>0</v>
      </c>
      <c r="F23" s="68">
        <f t="shared" si="0"/>
        <v>0</v>
      </c>
      <c r="G23" s="69">
        <f t="shared" si="1"/>
        <v>0</v>
      </c>
      <c r="H23" s="73" t="s">
        <v>165</v>
      </c>
    </row>
    <row r="24" spans="1:10" ht="15" customHeight="1" x14ac:dyDescent="0.2">
      <c r="A24" s="71" t="s">
        <v>188</v>
      </c>
      <c r="B24" s="74" t="s">
        <v>167</v>
      </c>
      <c r="C24" s="72">
        <v>80</v>
      </c>
      <c r="D24" s="72">
        <v>157</v>
      </c>
      <c r="E24" s="67">
        <v>0</v>
      </c>
      <c r="F24" s="68">
        <f t="shared" si="0"/>
        <v>0</v>
      </c>
      <c r="G24" s="69">
        <f t="shared" si="1"/>
        <v>0</v>
      </c>
      <c r="H24" s="73" t="s">
        <v>163</v>
      </c>
    </row>
    <row r="25" spans="1:10" ht="15" customHeight="1" x14ac:dyDescent="0.2">
      <c r="A25" s="71" t="s">
        <v>189</v>
      </c>
      <c r="B25" s="74" t="s">
        <v>190</v>
      </c>
      <c r="C25" s="72">
        <f>(24*16)/64</f>
        <v>6</v>
      </c>
      <c r="D25" s="72">
        <v>49</v>
      </c>
      <c r="E25" s="67">
        <v>0</v>
      </c>
      <c r="F25" s="68">
        <f t="shared" si="0"/>
        <v>0</v>
      </c>
      <c r="G25" s="69">
        <f t="shared" si="1"/>
        <v>0</v>
      </c>
      <c r="H25" s="73" t="s">
        <v>165</v>
      </c>
      <c r="J25" s="76"/>
    </row>
    <row r="26" spans="1:10" ht="15" customHeight="1" x14ac:dyDescent="0.2">
      <c r="A26" s="71" t="s">
        <v>191</v>
      </c>
      <c r="B26" s="74" t="s">
        <v>192</v>
      </c>
      <c r="C26" s="72">
        <v>50</v>
      </c>
      <c r="D26" s="72">
        <v>11</v>
      </c>
      <c r="E26" s="67">
        <v>0</v>
      </c>
      <c r="F26" s="68">
        <f t="shared" si="0"/>
        <v>0</v>
      </c>
      <c r="G26" s="69">
        <f t="shared" si="1"/>
        <v>0</v>
      </c>
      <c r="H26" s="73" t="s">
        <v>165</v>
      </c>
    </row>
    <row r="27" spans="1:10" ht="15" customHeight="1" x14ac:dyDescent="0.2">
      <c r="A27" s="71" t="s">
        <v>193</v>
      </c>
      <c r="B27" s="74" t="s">
        <v>194</v>
      </c>
      <c r="C27" s="729">
        <v>170</v>
      </c>
      <c r="D27" s="77">
        <v>340</v>
      </c>
      <c r="E27" s="67">
        <v>0</v>
      </c>
      <c r="F27" s="68">
        <f t="shared" si="0"/>
        <v>0</v>
      </c>
      <c r="G27" s="69">
        <f t="shared" si="1"/>
        <v>0</v>
      </c>
      <c r="H27" s="73" t="s">
        <v>165</v>
      </c>
    </row>
    <row r="28" spans="1:10" ht="15" customHeight="1" x14ac:dyDescent="0.2">
      <c r="A28" s="71" t="s">
        <v>195</v>
      </c>
      <c r="B28" s="74" t="s">
        <v>196</v>
      </c>
      <c r="C28" s="72">
        <v>50</v>
      </c>
      <c r="D28" s="72">
        <v>98</v>
      </c>
      <c r="E28" s="67">
        <v>0</v>
      </c>
      <c r="F28" s="68">
        <f t="shared" si="0"/>
        <v>0</v>
      </c>
      <c r="G28" s="69">
        <f t="shared" si="1"/>
        <v>0</v>
      </c>
      <c r="H28" s="73" t="s">
        <v>165</v>
      </c>
    </row>
    <row r="29" spans="1:10" ht="15" customHeight="1" x14ac:dyDescent="0.2">
      <c r="A29" s="71" t="s">
        <v>197</v>
      </c>
      <c r="B29" s="74" t="s">
        <v>157</v>
      </c>
      <c r="C29" s="72">
        <v>25</v>
      </c>
      <c r="D29" s="72">
        <v>40</v>
      </c>
      <c r="E29" s="67">
        <v>0</v>
      </c>
      <c r="F29" s="68">
        <f t="shared" si="0"/>
        <v>0</v>
      </c>
      <c r="G29" s="69">
        <f t="shared" si="1"/>
        <v>0</v>
      </c>
      <c r="H29" s="73" t="s">
        <v>163</v>
      </c>
    </row>
    <row r="30" spans="1:10" ht="15" customHeight="1" x14ac:dyDescent="0.2">
      <c r="A30" s="71" t="s">
        <v>198</v>
      </c>
      <c r="B30" s="74" t="s">
        <v>167</v>
      </c>
      <c r="C30" s="72">
        <v>25</v>
      </c>
      <c r="D30" s="72">
        <v>45</v>
      </c>
      <c r="E30" s="67">
        <v>0</v>
      </c>
      <c r="F30" s="68">
        <f t="shared" si="0"/>
        <v>0</v>
      </c>
      <c r="G30" s="69">
        <f t="shared" si="1"/>
        <v>0</v>
      </c>
      <c r="H30" s="73" t="s">
        <v>163</v>
      </c>
    </row>
    <row r="31" spans="1:10" ht="15" customHeight="1" x14ac:dyDescent="0.2">
      <c r="A31" s="71" t="s">
        <v>199</v>
      </c>
      <c r="B31" s="74" t="s">
        <v>200</v>
      </c>
      <c r="C31" s="72">
        <v>17</v>
      </c>
      <c r="D31" s="72">
        <v>30</v>
      </c>
      <c r="E31" s="67">
        <v>0</v>
      </c>
      <c r="F31" s="68">
        <f t="shared" si="0"/>
        <v>0</v>
      </c>
      <c r="G31" s="69">
        <f t="shared" si="1"/>
        <v>0</v>
      </c>
      <c r="H31" s="73" t="s">
        <v>163</v>
      </c>
    </row>
    <row r="32" spans="1:10" ht="15" customHeight="1" x14ac:dyDescent="0.2">
      <c r="A32" s="71" t="s">
        <v>201</v>
      </c>
      <c r="B32" s="74" t="s">
        <v>157</v>
      </c>
      <c r="C32" s="72">
        <v>10</v>
      </c>
      <c r="D32" s="72">
        <v>20</v>
      </c>
      <c r="E32" s="67">
        <v>0</v>
      </c>
      <c r="F32" s="68">
        <f t="shared" si="0"/>
        <v>0</v>
      </c>
      <c r="G32" s="69">
        <f t="shared" si="1"/>
        <v>0</v>
      </c>
      <c r="H32" s="73" t="s">
        <v>165</v>
      </c>
    </row>
    <row r="33" spans="1:8" ht="15" customHeight="1" x14ac:dyDescent="0.2">
      <c r="A33" s="71" t="s">
        <v>202</v>
      </c>
      <c r="B33" s="74" t="s">
        <v>167</v>
      </c>
      <c r="C33" s="72">
        <v>22</v>
      </c>
      <c r="D33" s="72">
        <v>53</v>
      </c>
      <c r="E33" s="67">
        <v>0</v>
      </c>
      <c r="F33" s="68">
        <f t="shared" si="0"/>
        <v>0</v>
      </c>
      <c r="G33" s="69">
        <f t="shared" si="1"/>
        <v>0</v>
      </c>
      <c r="H33" s="73" t="s">
        <v>203</v>
      </c>
    </row>
    <row r="34" spans="1:8" ht="15" customHeight="1" x14ac:dyDescent="0.2">
      <c r="A34" s="71" t="s">
        <v>204</v>
      </c>
      <c r="B34" s="74" t="s">
        <v>205</v>
      </c>
      <c r="C34" s="78">
        <v>18</v>
      </c>
      <c r="D34" s="78">
        <v>24</v>
      </c>
      <c r="E34" s="67">
        <v>0</v>
      </c>
      <c r="F34" s="68">
        <f t="shared" si="0"/>
        <v>0</v>
      </c>
      <c r="G34" s="69">
        <f t="shared" si="1"/>
        <v>0</v>
      </c>
      <c r="H34" s="73" t="s">
        <v>206</v>
      </c>
    </row>
    <row r="35" spans="1:8" ht="15" customHeight="1" x14ac:dyDescent="0.2">
      <c r="A35" s="71" t="s">
        <v>207</v>
      </c>
      <c r="B35" s="74" t="s">
        <v>205</v>
      </c>
      <c r="C35" s="72">
        <v>13</v>
      </c>
      <c r="D35" s="72">
        <v>21</v>
      </c>
      <c r="E35" s="67">
        <v>0</v>
      </c>
      <c r="F35" s="68">
        <f t="shared" si="0"/>
        <v>0</v>
      </c>
      <c r="G35" s="69">
        <f t="shared" si="1"/>
        <v>0</v>
      </c>
      <c r="H35" s="73" t="s">
        <v>206</v>
      </c>
    </row>
    <row r="36" spans="1:8" ht="15" customHeight="1" x14ac:dyDescent="0.2">
      <c r="A36" s="79" t="s">
        <v>208</v>
      </c>
      <c r="B36" s="80" t="s">
        <v>205</v>
      </c>
      <c r="C36" s="81">
        <v>18</v>
      </c>
      <c r="D36" s="81">
        <v>27</v>
      </c>
      <c r="E36" s="82">
        <v>0</v>
      </c>
      <c r="F36" s="83">
        <f t="shared" si="0"/>
        <v>0</v>
      </c>
      <c r="G36" s="69">
        <f t="shared" si="1"/>
        <v>0</v>
      </c>
      <c r="H36" s="84" t="s">
        <v>163</v>
      </c>
    </row>
    <row r="37" spans="1:8" ht="20.25" customHeight="1" x14ac:dyDescent="0.2">
      <c r="A37" s="836" t="s">
        <v>209</v>
      </c>
      <c r="B37" s="836"/>
      <c r="C37" s="836"/>
      <c r="D37" s="836"/>
      <c r="E37" s="836"/>
      <c r="F37" s="836"/>
      <c r="G37" s="836"/>
      <c r="H37" s="836"/>
    </row>
    <row r="38" spans="1:8" ht="45.75" customHeight="1" x14ac:dyDescent="0.2">
      <c r="A38" s="58" t="s">
        <v>130</v>
      </c>
      <c r="B38" s="59" t="s">
        <v>131</v>
      </c>
      <c r="C38" s="59" t="s">
        <v>210</v>
      </c>
      <c r="D38" s="59" t="s">
        <v>211</v>
      </c>
      <c r="E38" s="60" t="s">
        <v>134</v>
      </c>
      <c r="F38" s="85" t="s">
        <v>212</v>
      </c>
      <c r="G38" s="85" t="s">
        <v>136</v>
      </c>
      <c r="H38" s="86" t="s">
        <v>137</v>
      </c>
    </row>
    <row r="39" spans="1:8" ht="15" customHeight="1" x14ac:dyDescent="0.2">
      <c r="A39" s="64" t="s">
        <v>213</v>
      </c>
      <c r="B39" s="65" t="s">
        <v>167</v>
      </c>
      <c r="C39" s="66">
        <v>72</v>
      </c>
      <c r="D39" s="66">
        <v>144</v>
      </c>
      <c r="E39" s="67">
        <v>0</v>
      </c>
      <c r="F39" s="87">
        <f t="shared" ref="F39:F56" si="2">C39*E39/12</f>
        <v>0</v>
      </c>
      <c r="G39" s="87">
        <f t="shared" ref="G39:G56" si="3">D39*E39/12</f>
        <v>0</v>
      </c>
      <c r="H39" s="88" t="s">
        <v>163</v>
      </c>
    </row>
    <row r="40" spans="1:8" ht="15" customHeight="1" x14ac:dyDescent="0.2">
      <c r="A40" s="71" t="s">
        <v>214</v>
      </c>
      <c r="B40" s="74" t="s">
        <v>167</v>
      </c>
      <c r="C40" s="72">
        <v>18</v>
      </c>
      <c r="D40" s="66">
        <v>36</v>
      </c>
      <c r="E40" s="67">
        <v>0</v>
      </c>
      <c r="F40" s="87">
        <f t="shared" si="2"/>
        <v>0</v>
      </c>
      <c r="G40" s="87">
        <f t="shared" si="3"/>
        <v>0</v>
      </c>
      <c r="H40" s="89" t="s">
        <v>165</v>
      </c>
    </row>
    <row r="41" spans="1:8" ht="15" customHeight="1" x14ac:dyDescent="0.2">
      <c r="A41" s="71" t="s">
        <v>215</v>
      </c>
      <c r="B41" s="74" t="s">
        <v>167</v>
      </c>
      <c r="C41" s="72">
        <v>18</v>
      </c>
      <c r="D41" s="66">
        <v>36</v>
      </c>
      <c r="E41" s="67">
        <v>0</v>
      </c>
      <c r="F41" s="87">
        <f t="shared" si="2"/>
        <v>0</v>
      </c>
      <c r="G41" s="87">
        <f t="shared" si="3"/>
        <v>0</v>
      </c>
      <c r="H41" s="89" t="s">
        <v>165</v>
      </c>
    </row>
    <row r="42" spans="1:8" ht="15" customHeight="1" x14ac:dyDescent="0.2">
      <c r="A42" s="71" t="s">
        <v>216</v>
      </c>
      <c r="B42" s="74" t="s">
        <v>167</v>
      </c>
      <c r="C42" s="72">
        <v>48</v>
      </c>
      <c r="D42" s="66">
        <v>115</v>
      </c>
      <c r="E42" s="67">
        <v>0</v>
      </c>
      <c r="F42" s="87">
        <f t="shared" si="2"/>
        <v>0</v>
      </c>
      <c r="G42" s="87">
        <f t="shared" si="3"/>
        <v>0</v>
      </c>
      <c r="H42" s="89" t="s">
        <v>163</v>
      </c>
    </row>
    <row r="43" spans="1:8" ht="15" customHeight="1" x14ac:dyDescent="0.2">
      <c r="A43" s="71" t="s">
        <v>217</v>
      </c>
      <c r="B43" s="74" t="s">
        <v>167</v>
      </c>
      <c r="C43" s="72">
        <v>72</v>
      </c>
      <c r="D43" s="66">
        <f>144</f>
        <v>144</v>
      </c>
      <c r="E43" s="67">
        <v>0</v>
      </c>
      <c r="F43" s="87">
        <f t="shared" si="2"/>
        <v>0</v>
      </c>
      <c r="G43" s="87">
        <f t="shared" si="3"/>
        <v>0</v>
      </c>
      <c r="H43" s="89" t="s">
        <v>165</v>
      </c>
    </row>
    <row r="44" spans="1:8" ht="15" customHeight="1" x14ac:dyDescent="0.2">
      <c r="A44" s="71" t="s">
        <v>218</v>
      </c>
      <c r="B44" s="74" t="s">
        <v>167</v>
      </c>
      <c r="C44" s="72">
        <v>18</v>
      </c>
      <c r="D44" s="66">
        <v>16</v>
      </c>
      <c r="E44" s="67">
        <v>0</v>
      </c>
      <c r="F44" s="87">
        <f t="shared" si="2"/>
        <v>0</v>
      </c>
      <c r="G44" s="87">
        <f t="shared" si="3"/>
        <v>0</v>
      </c>
      <c r="H44" s="89" t="s">
        <v>163</v>
      </c>
    </row>
    <row r="45" spans="1:8" ht="15" customHeight="1" x14ac:dyDescent="0.2">
      <c r="A45" s="71" t="s">
        <v>219</v>
      </c>
      <c r="B45" s="74" t="s">
        <v>167</v>
      </c>
      <c r="C45" s="72">
        <f>24/12*18</f>
        <v>36</v>
      </c>
      <c r="D45" s="66">
        <v>36</v>
      </c>
      <c r="E45" s="67">
        <v>0</v>
      </c>
      <c r="F45" s="87">
        <f t="shared" si="2"/>
        <v>0</v>
      </c>
      <c r="G45" s="87">
        <f t="shared" si="3"/>
        <v>0</v>
      </c>
      <c r="H45" s="89" t="s">
        <v>203</v>
      </c>
    </row>
    <row r="46" spans="1:8" ht="15" customHeight="1" x14ac:dyDescent="0.2">
      <c r="A46" s="71" t="s">
        <v>220</v>
      </c>
      <c r="B46" s="74" t="s">
        <v>167</v>
      </c>
      <c r="C46" s="72">
        <v>24</v>
      </c>
      <c r="D46" s="66">
        <v>48</v>
      </c>
      <c r="E46" s="67">
        <v>0</v>
      </c>
      <c r="F46" s="87">
        <f t="shared" si="2"/>
        <v>0</v>
      </c>
      <c r="G46" s="87">
        <f t="shared" si="3"/>
        <v>0</v>
      </c>
      <c r="H46" s="89" t="s">
        <v>163</v>
      </c>
    </row>
    <row r="47" spans="1:8" ht="15" customHeight="1" x14ac:dyDescent="0.2">
      <c r="A47" s="71" t="s">
        <v>221</v>
      </c>
      <c r="B47" s="74" t="s">
        <v>167</v>
      </c>
      <c r="C47" s="72">
        <v>24</v>
      </c>
      <c r="D47" s="66">
        <v>48</v>
      </c>
      <c r="E47" s="67">
        <v>0</v>
      </c>
      <c r="F47" s="87">
        <f t="shared" si="2"/>
        <v>0</v>
      </c>
      <c r="G47" s="87">
        <f t="shared" si="3"/>
        <v>0</v>
      </c>
      <c r="H47" s="89" t="s">
        <v>206</v>
      </c>
    </row>
    <row r="48" spans="1:8" ht="15" customHeight="1" x14ac:dyDescent="0.2">
      <c r="A48" s="71" t="s">
        <v>222</v>
      </c>
      <c r="B48" s="74" t="s">
        <v>167</v>
      </c>
      <c r="C48" s="72">
        <f>24*5</f>
        <v>120</v>
      </c>
      <c r="D48" s="66">
        <v>240</v>
      </c>
      <c r="E48" s="67">
        <v>0</v>
      </c>
      <c r="F48" s="87">
        <f t="shared" si="2"/>
        <v>0</v>
      </c>
      <c r="G48" s="87">
        <f t="shared" si="3"/>
        <v>0</v>
      </c>
      <c r="H48" s="89" t="s">
        <v>206</v>
      </c>
    </row>
    <row r="49" spans="1:8" ht="15" customHeight="1" x14ac:dyDescent="0.2">
      <c r="A49" s="71" t="s">
        <v>223</v>
      </c>
      <c r="B49" s="74" t="s">
        <v>167</v>
      </c>
      <c r="C49" s="72">
        <v>24</v>
      </c>
      <c r="D49" s="66">
        <v>48</v>
      </c>
      <c r="E49" s="67">
        <v>0</v>
      </c>
      <c r="F49" s="87">
        <f t="shared" si="2"/>
        <v>0</v>
      </c>
      <c r="G49" s="87">
        <f t="shared" si="3"/>
        <v>0</v>
      </c>
      <c r="H49" s="89" t="s">
        <v>163</v>
      </c>
    </row>
    <row r="50" spans="1:8" ht="15" customHeight="1" x14ac:dyDescent="0.2">
      <c r="A50" s="71" t="s">
        <v>224</v>
      </c>
      <c r="B50" s="74" t="s">
        <v>167</v>
      </c>
      <c r="C50" s="72">
        <v>24</v>
      </c>
      <c r="D50" s="66">
        <v>60</v>
      </c>
      <c r="E50" s="67">
        <v>0</v>
      </c>
      <c r="F50" s="87">
        <f t="shared" si="2"/>
        <v>0</v>
      </c>
      <c r="G50" s="87">
        <f t="shared" si="3"/>
        <v>0</v>
      </c>
      <c r="H50" s="89" t="s">
        <v>181</v>
      </c>
    </row>
    <row r="51" spans="1:8" ht="15" customHeight="1" x14ac:dyDescent="0.2">
      <c r="A51" s="71" t="s">
        <v>225</v>
      </c>
      <c r="B51" s="74" t="s">
        <v>167</v>
      </c>
      <c r="C51" s="72">
        <f>60/12*18</f>
        <v>90</v>
      </c>
      <c r="D51" s="66">
        <v>168</v>
      </c>
      <c r="E51" s="67">
        <v>0</v>
      </c>
      <c r="F51" s="87">
        <f t="shared" si="2"/>
        <v>0</v>
      </c>
      <c r="G51" s="87">
        <f t="shared" si="3"/>
        <v>0</v>
      </c>
      <c r="H51" s="89" t="s">
        <v>206</v>
      </c>
    </row>
    <row r="52" spans="1:8" ht="15" customHeight="1" x14ac:dyDescent="0.2">
      <c r="A52" s="71" t="s">
        <v>226</v>
      </c>
      <c r="B52" s="74" t="s">
        <v>227</v>
      </c>
      <c r="C52" s="72">
        <v>18</v>
      </c>
      <c r="D52" s="66">
        <v>17</v>
      </c>
      <c r="E52" s="67">
        <v>0</v>
      </c>
      <c r="F52" s="87">
        <f t="shared" si="2"/>
        <v>0</v>
      </c>
      <c r="G52" s="87">
        <f t="shared" si="3"/>
        <v>0</v>
      </c>
      <c r="H52" s="89" t="s">
        <v>163</v>
      </c>
    </row>
    <row r="53" spans="1:8" ht="15" customHeight="1" x14ac:dyDescent="0.2">
      <c r="A53" s="71" t="s">
        <v>228</v>
      </c>
      <c r="B53" s="74" t="s">
        <v>167</v>
      </c>
      <c r="C53" s="72">
        <v>28</v>
      </c>
      <c r="D53" s="66">
        <v>60</v>
      </c>
      <c r="E53" s="67">
        <v>0</v>
      </c>
      <c r="F53" s="87">
        <f t="shared" si="2"/>
        <v>0</v>
      </c>
      <c r="G53" s="87">
        <f t="shared" si="3"/>
        <v>0</v>
      </c>
      <c r="H53" s="89" t="s">
        <v>229</v>
      </c>
    </row>
    <row r="54" spans="1:8" ht="15" customHeight="1" x14ac:dyDescent="0.2">
      <c r="A54" s="71" t="s">
        <v>230</v>
      </c>
      <c r="B54" s="74" t="s">
        <v>167</v>
      </c>
      <c r="C54" s="72">
        <v>18</v>
      </c>
      <c r="D54" s="66">
        <v>28</v>
      </c>
      <c r="E54" s="67">
        <v>0</v>
      </c>
      <c r="F54" s="87">
        <f t="shared" si="2"/>
        <v>0</v>
      </c>
      <c r="G54" s="87">
        <f t="shared" si="3"/>
        <v>0</v>
      </c>
      <c r="H54" s="89" t="s">
        <v>231</v>
      </c>
    </row>
    <row r="55" spans="1:8" ht="15" customHeight="1" x14ac:dyDescent="0.2">
      <c r="A55" s="71" t="s">
        <v>232</v>
      </c>
      <c r="B55" s="74" t="s">
        <v>167</v>
      </c>
      <c r="C55" s="72">
        <f>60/12*18</f>
        <v>90</v>
      </c>
      <c r="D55" s="66">
        <v>180</v>
      </c>
      <c r="E55" s="67">
        <v>0</v>
      </c>
      <c r="F55" s="87">
        <f t="shared" si="2"/>
        <v>0</v>
      </c>
      <c r="G55" s="87">
        <f t="shared" si="3"/>
        <v>0</v>
      </c>
      <c r="H55" s="89" t="s">
        <v>233</v>
      </c>
    </row>
    <row r="56" spans="1:8" ht="15" customHeight="1" x14ac:dyDescent="0.2">
      <c r="A56" s="79" t="s">
        <v>234</v>
      </c>
      <c r="B56" s="80" t="s">
        <v>167</v>
      </c>
      <c r="C56" s="81">
        <v>28</v>
      </c>
      <c r="D56" s="66">
        <v>160</v>
      </c>
      <c r="E56" s="82">
        <v>0</v>
      </c>
      <c r="F56" s="90">
        <f t="shared" si="2"/>
        <v>0</v>
      </c>
      <c r="G56" s="87">
        <f t="shared" si="3"/>
        <v>0</v>
      </c>
      <c r="H56" s="91" t="s">
        <v>163</v>
      </c>
    </row>
    <row r="57" spans="1:8" ht="20.25" customHeight="1" x14ac:dyDescent="0.2">
      <c r="A57" s="837" t="s">
        <v>235</v>
      </c>
      <c r="B57" s="838"/>
      <c r="C57" s="838"/>
      <c r="D57" s="838"/>
      <c r="E57" s="839"/>
      <c r="F57" s="92">
        <f>SUM(F3:F36,F39:F56)</f>
        <v>0</v>
      </c>
      <c r="G57" s="92">
        <f>SUM(G3:G36,G39:G56)</f>
        <v>0</v>
      </c>
      <c r="H57" s="93"/>
    </row>
    <row r="58" spans="1:8" ht="20.25" customHeight="1" x14ac:dyDescent="0.2">
      <c r="A58" s="837" t="s">
        <v>236</v>
      </c>
      <c r="B58" s="838"/>
      <c r="C58" s="838"/>
      <c r="D58" s="838"/>
      <c r="E58" s="839"/>
      <c r="F58" s="94">
        <f>F57/'Produt. Postos PGR'!N21</f>
        <v>0</v>
      </c>
      <c r="G58" s="94">
        <f>G57/'Produt. Postos CBT'!O20</f>
        <v>0</v>
      </c>
      <c r="H58" s="95"/>
    </row>
    <row r="59" spans="1:8" x14ac:dyDescent="0.2">
      <c r="A59" s="96"/>
      <c r="B59" s="97"/>
      <c r="C59" s="97"/>
      <c r="D59" s="97"/>
      <c r="E59" s="97"/>
      <c r="F59" s="98"/>
      <c r="G59" s="98"/>
      <c r="H59" s="95"/>
    </row>
    <row r="60" spans="1:8" ht="20.25" customHeight="1" x14ac:dyDescent="0.2">
      <c r="A60" s="836" t="s">
        <v>237</v>
      </c>
      <c r="B60" s="836"/>
      <c r="C60" s="836"/>
      <c r="D60" s="836"/>
      <c r="E60" s="836"/>
      <c r="F60" s="836"/>
      <c r="G60" s="836"/>
      <c r="H60" s="836"/>
    </row>
    <row r="61" spans="1:8" ht="35.25" customHeight="1" x14ac:dyDescent="0.2">
      <c r="A61" s="99" t="s">
        <v>130</v>
      </c>
      <c r="B61" s="100" t="s">
        <v>131</v>
      </c>
      <c r="C61" s="100" t="s">
        <v>238</v>
      </c>
      <c r="D61" s="100" t="s">
        <v>239</v>
      </c>
      <c r="E61" s="60" t="s">
        <v>134</v>
      </c>
      <c r="F61" s="61" t="s">
        <v>212</v>
      </c>
      <c r="G61" s="61" t="s">
        <v>136</v>
      </c>
      <c r="H61" s="101" t="s">
        <v>137</v>
      </c>
    </row>
    <row r="62" spans="1:8" ht="15" customHeight="1" x14ac:dyDescent="0.2">
      <c r="A62" s="71" t="s">
        <v>240</v>
      </c>
      <c r="B62" s="74" t="s">
        <v>140</v>
      </c>
      <c r="C62" s="102">
        <f>('Produt. Postos PGR'!T21*0.1*22)</f>
        <v>17.600000000000001</v>
      </c>
      <c r="D62" s="74">
        <f>'Produt. Postos CBT'!V20*0.1*22</f>
        <v>33</v>
      </c>
      <c r="E62" s="67">
        <v>0</v>
      </c>
      <c r="F62" s="68">
        <f>C62*E62</f>
        <v>0</v>
      </c>
      <c r="G62" s="69">
        <f>D62*E62</f>
        <v>0</v>
      </c>
      <c r="H62" s="73" t="s">
        <v>241</v>
      </c>
    </row>
    <row r="63" spans="1:8" ht="15" customHeight="1" x14ac:dyDescent="0.2">
      <c r="A63" s="71" t="s">
        <v>151</v>
      </c>
      <c r="B63" s="74" t="s">
        <v>140</v>
      </c>
      <c r="C63" s="103">
        <f>('Produt. Postos PGR'!T21*0.5*22)</f>
        <v>88</v>
      </c>
      <c r="D63" s="74">
        <f>('Produt. Postos CBT'!V20*0.5*22)</f>
        <v>165</v>
      </c>
      <c r="E63" s="67">
        <v>0</v>
      </c>
      <c r="F63" s="68">
        <f>C63*E63</f>
        <v>0</v>
      </c>
      <c r="G63" s="69">
        <f>D63*E63</f>
        <v>0</v>
      </c>
      <c r="H63" s="73" t="s">
        <v>149</v>
      </c>
    </row>
    <row r="64" spans="1:8" ht="15" customHeight="1" x14ac:dyDescent="0.2">
      <c r="A64" s="79" t="s">
        <v>172</v>
      </c>
      <c r="B64" s="80" t="s">
        <v>167</v>
      </c>
      <c r="C64" s="80">
        <f>(4*'Produt. Postos PGR'!T21)</f>
        <v>32</v>
      </c>
      <c r="D64" s="80">
        <f>(4*'Produt. Postos CBT'!V20)</f>
        <v>60</v>
      </c>
      <c r="E64" s="67">
        <v>0</v>
      </c>
      <c r="F64" s="68">
        <f>C64*E64</f>
        <v>0</v>
      </c>
      <c r="G64" s="69">
        <f>D64*E64</f>
        <v>0</v>
      </c>
      <c r="H64" s="84" t="s">
        <v>242</v>
      </c>
    </row>
    <row r="65" spans="1:8" ht="15" customHeight="1" x14ac:dyDescent="0.2">
      <c r="A65" s="79" t="s">
        <v>243</v>
      </c>
      <c r="B65" s="74" t="s">
        <v>205</v>
      </c>
      <c r="C65" s="80">
        <f>(2*4*'Produt. Postos PGR'!T21*22)</f>
        <v>1408</v>
      </c>
      <c r="D65" s="80">
        <f>(2*4*'Produt. Postos CBT'!V20*22)</f>
        <v>2640</v>
      </c>
      <c r="E65" s="67">
        <v>0</v>
      </c>
      <c r="F65" s="68">
        <f>C65*E65</f>
        <v>0</v>
      </c>
      <c r="G65" s="69">
        <f>D65*E65</f>
        <v>0</v>
      </c>
      <c r="H65" s="84" t="s">
        <v>244</v>
      </c>
    </row>
    <row r="66" spans="1:8" ht="35.25" customHeight="1" x14ac:dyDescent="0.2">
      <c r="A66" s="99" t="s">
        <v>130</v>
      </c>
      <c r="B66" s="100" t="s">
        <v>131</v>
      </c>
      <c r="C66" s="100" t="s">
        <v>245</v>
      </c>
      <c r="D66" s="100"/>
      <c r="E66" s="104" t="s">
        <v>134</v>
      </c>
      <c r="F66" s="61" t="s">
        <v>212</v>
      </c>
      <c r="G66" s="61" t="s">
        <v>246</v>
      </c>
      <c r="H66" s="101" t="s">
        <v>137</v>
      </c>
    </row>
    <row r="67" spans="1:8" ht="15" customHeight="1" x14ac:dyDescent="0.2">
      <c r="A67" s="64" t="s">
        <v>247</v>
      </c>
      <c r="B67" s="65" t="s">
        <v>167</v>
      </c>
      <c r="C67" s="65">
        <f>(2*'Produt. Postos PGR'!T21*4)</f>
        <v>64</v>
      </c>
      <c r="D67" s="65">
        <f>(2*'Produt. Postos CBT'!V20*4)</f>
        <v>120</v>
      </c>
      <c r="E67" s="67">
        <v>0</v>
      </c>
      <c r="F67" s="90">
        <f>C67*E67/12</f>
        <v>0</v>
      </c>
      <c r="G67" s="90">
        <f>D67*E67/12</f>
        <v>0</v>
      </c>
      <c r="H67" s="91" t="s">
        <v>244</v>
      </c>
    </row>
    <row r="68" spans="1:8" ht="20.25" customHeight="1" x14ac:dyDescent="0.2">
      <c r="A68" s="837" t="s">
        <v>235</v>
      </c>
      <c r="B68" s="838"/>
      <c r="C68" s="838"/>
      <c r="D68" s="838"/>
      <c r="E68" s="839"/>
      <c r="F68" s="92">
        <f>SUM(F62:F65,F67)</f>
        <v>0</v>
      </c>
      <c r="G68" s="92">
        <f>SUM(G62:G65,G67)</f>
        <v>0</v>
      </c>
      <c r="H68" s="95"/>
    </row>
    <row r="69" spans="1:8" ht="20.25" customHeight="1" x14ac:dyDescent="0.2">
      <c r="A69" s="837" t="s">
        <v>248</v>
      </c>
      <c r="B69" s="838"/>
      <c r="C69" s="838"/>
      <c r="D69" s="838"/>
      <c r="E69" s="839"/>
      <c r="F69" s="94">
        <f>F68/'Produt. Postos PGR'!T21</f>
        <v>0</v>
      </c>
      <c r="G69" s="94">
        <f>G68/'Produt. Postos CBT'!V20</f>
        <v>0</v>
      </c>
      <c r="H69" s="95"/>
    </row>
    <row r="70" spans="1:8" x14ac:dyDescent="0.2">
      <c r="A70" s="96"/>
      <c r="B70" s="97"/>
      <c r="C70" s="97"/>
      <c r="D70" s="97"/>
      <c r="E70" s="97"/>
      <c r="F70" s="97"/>
      <c r="G70" s="97"/>
      <c r="H70" s="95"/>
    </row>
    <row r="71" spans="1:8" x14ac:dyDescent="0.2">
      <c r="A71" s="97" t="s">
        <v>249</v>
      </c>
      <c r="B71" s="97"/>
      <c r="C71" s="97"/>
      <c r="D71" s="97"/>
      <c r="E71" s="97"/>
      <c r="F71" s="98"/>
      <c r="G71" s="98"/>
      <c r="H71" s="95"/>
    </row>
    <row r="72" spans="1:8" x14ac:dyDescent="0.2">
      <c r="A72" s="97"/>
      <c r="B72" s="97"/>
      <c r="C72" s="97"/>
      <c r="D72" s="97"/>
      <c r="E72" s="105"/>
      <c r="F72" s="98"/>
      <c r="G72" s="98"/>
      <c r="H72" s="95"/>
    </row>
    <row r="73" spans="1:8" x14ac:dyDescent="0.2">
      <c r="A73" s="97" t="s">
        <v>250</v>
      </c>
      <c r="B73" s="97"/>
      <c r="C73" s="97"/>
      <c r="D73" s="97"/>
      <c r="E73" s="97"/>
      <c r="F73" s="97"/>
      <c r="G73" s="97"/>
      <c r="H73" s="95"/>
    </row>
    <row r="74" spans="1:8" x14ac:dyDescent="0.2">
      <c r="A74" s="97" t="s">
        <v>251</v>
      </c>
      <c r="B74" s="97"/>
      <c r="C74" s="97"/>
      <c r="D74" s="97"/>
      <c r="E74" s="97"/>
      <c r="F74" s="105"/>
      <c r="G74" s="105"/>
      <c r="H74" s="95"/>
    </row>
    <row r="75" spans="1:8" x14ac:dyDescent="0.2">
      <c r="A75" s="97" t="s">
        <v>252</v>
      </c>
      <c r="B75" s="97"/>
      <c r="C75" s="97"/>
      <c r="D75" s="97"/>
      <c r="E75" s="97"/>
      <c r="F75" s="106"/>
      <c r="G75" s="106"/>
      <c r="H75" s="95"/>
    </row>
    <row r="76" spans="1:8" x14ac:dyDescent="0.2">
      <c r="A76" s="97" t="s">
        <v>253</v>
      </c>
      <c r="B76" s="97"/>
      <c r="C76" s="97"/>
      <c r="D76" s="97"/>
      <c r="E76" s="97"/>
      <c r="F76" s="105"/>
      <c r="G76" s="105"/>
      <c r="H76" s="95"/>
    </row>
    <row r="77" spans="1:8" x14ac:dyDescent="0.2">
      <c r="A77" s="97" t="s">
        <v>254</v>
      </c>
      <c r="B77" s="97"/>
      <c r="C77" s="97"/>
      <c r="D77" s="97"/>
      <c r="E77" s="97"/>
      <c r="F77" s="97"/>
      <c r="G77" s="97"/>
      <c r="H77" s="95"/>
    </row>
    <row r="78" spans="1:8" x14ac:dyDescent="0.2">
      <c r="A78" s="97" t="s">
        <v>255</v>
      </c>
      <c r="B78" s="97"/>
      <c r="C78" s="97"/>
      <c r="D78" s="97"/>
      <c r="E78" s="97"/>
      <c r="F78" s="97"/>
      <c r="G78" s="97"/>
      <c r="H78" s="95"/>
    </row>
    <row r="79" spans="1:8" x14ac:dyDescent="0.2">
      <c r="A79" s="97" t="s">
        <v>256</v>
      </c>
      <c r="B79" s="97"/>
      <c r="C79" s="97"/>
      <c r="D79" s="97"/>
      <c r="E79" s="97"/>
      <c r="F79" s="97"/>
      <c r="G79" s="97"/>
      <c r="H79" s="95"/>
    </row>
    <row r="80" spans="1:8" x14ac:dyDescent="0.2">
      <c r="A80" s="97" t="s">
        <v>257</v>
      </c>
      <c r="B80" s="97"/>
      <c r="C80" s="97"/>
      <c r="D80" s="97"/>
      <c r="E80" s="97"/>
      <c r="F80" s="97"/>
      <c r="G80" s="97"/>
      <c r="H80" s="95"/>
    </row>
    <row r="81" spans="1:8" x14ac:dyDescent="0.2">
      <c r="A81" s="97" t="s">
        <v>258</v>
      </c>
      <c r="B81" s="97"/>
      <c r="C81" s="97"/>
      <c r="D81" s="97"/>
      <c r="E81" s="97"/>
      <c r="F81" s="97"/>
      <c r="G81" s="97"/>
      <c r="H81" s="95"/>
    </row>
    <row r="82" spans="1:8" x14ac:dyDescent="0.2">
      <c r="A82" s="97" t="s">
        <v>259</v>
      </c>
      <c r="B82" s="97"/>
      <c r="C82" s="97"/>
      <c r="D82" s="97"/>
      <c r="E82" s="97"/>
      <c r="F82" s="97"/>
      <c r="G82" s="97"/>
      <c r="H82" s="95"/>
    </row>
    <row r="83" spans="1:8" x14ac:dyDescent="0.2">
      <c r="A83" s="96"/>
      <c r="B83" s="97"/>
      <c r="C83" s="97"/>
      <c r="D83" s="97"/>
      <c r="E83" s="97"/>
      <c r="F83" s="97"/>
      <c r="G83" s="97"/>
      <c r="H83" s="95"/>
    </row>
    <row r="84" spans="1:8" x14ac:dyDescent="0.2">
      <c r="A84" s="96"/>
      <c r="B84" s="97"/>
      <c r="C84" s="97"/>
      <c r="D84" s="97"/>
      <c r="E84" s="97"/>
      <c r="F84" s="97"/>
      <c r="G84" s="97"/>
      <c r="H84" s="95"/>
    </row>
    <row r="85" spans="1:8" ht="20.25" customHeight="1" x14ac:dyDescent="0.2">
      <c r="A85" s="840" t="s">
        <v>260</v>
      </c>
      <c r="B85" s="840"/>
      <c r="C85" s="840"/>
      <c r="D85" s="840"/>
      <c r="E85" s="840"/>
      <c r="F85" s="840"/>
      <c r="G85" s="840"/>
      <c r="H85" s="95"/>
    </row>
    <row r="86" spans="1:8" s="111" customFormat="1" ht="48" x14ac:dyDescent="0.2">
      <c r="A86" s="107" t="s">
        <v>130</v>
      </c>
      <c r="B86" s="108" t="s">
        <v>131</v>
      </c>
      <c r="C86" s="108" t="s">
        <v>261</v>
      </c>
      <c r="D86" s="108" t="s">
        <v>262</v>
      </c>
      <c r="E86" s="730" t="s">
        <v>134</v>
      </c>
      <c r="F86" s="109" t="s">
        <v>263</v>
      </c>
      <c r="G86" s="109" t="s">
        <v>264</v>
      </c>
      <c r="H86" s="110"/>
    </row>
    <row r="87" spans="1:8" ht="15" customHeight="1" x14ac:dyDescent="0.2">
      <c r="A87" s="64" t="s">
        <v>265</v>
      </c>
      <c r="B87" s="65" t="s">
        <v>167</v>
      </c>
      <c r="C87" s="65">
        <v>18</v>
      </c>
      <c r="D87" s="65">
        <v>18</v>
      </c>
      <c r="E87" s="67">
        <v>0</v>
      </c>
      <c r="F87" s="68">
        <f t="shared" ref="F87:F103" si="4">(C87*E87)</f>
        <v>0</v>
      </c>
      <c r="G87" s="68">
        <f t="shared" ref="G87:G103" si="5">D87*E87</f>
        <v>0</v>
      </c>
      <c r="H87" s="95"/>
    </row>
    <row r="88" spans="1:8" ht="15" customHeight="1" x14ac:dyDescent="0.2">
      <c r="A88" s="71" t="s">
        <v>266</v>
      </c>
      <c r="B88" s="74" t="s">
        <v>167</v>
      </c>
      <c r="C88" s="112">
        <v>18</v>
      </c>
      <c r="D88" s="112">
        <v>23</v>
      </c>
      <c r="E88" s="67">
        <v>0</v>
      </c>
      <c r="F88" s="68">
        <f t="shared" si="4"/>
        <v>0</v>
      </c>
      <c r="G88" s="68">
        <f t="shared" si="5"/>
        <v>0</v>
      </c>
      <c r="H88" s="95"/>
    </row>
    <row r="89" spans="1:8" ht="15" customHeight="1" x14ac:dyDescent="0.2">
      <c r="A89" s="71" t="s">
        <v>267</v>
      </c>
      <c r="B89" s="74" t="s">
        <v>167</v>
      </c>
      <c r="C89" s="74">
        <v>18</v>
      </c>
      <c r="D89" s="74">
        <v>18</v>
      </c>
      <c r="E89" s="67">
        <v>0</v>
      </c>
      <c r="F89" s="68">
        <f t="shared" si="4"/>
        <v>0</v>
      </c>
      <c r="G89" s="68">
        <f t="shared" si="5"/>
        <v>0</v>
      </c>
      <c r="H89" s="95"/>
    </row>
    <row r="90" spans="1:8" ht="15" customHeight="1" x14ac:dyDescent="0.2">
      <c r="A90" s="71" t="s">
        <v>268</v>
      </c>
      <c r="B90" s="74" t="s">
        <v>167</v>
      </c>
      <c r="C90" s="74">
        <v>0</v>
      </c>
      <c r="D90" s="74">
        <v>10</v>
      </c>
      <c r="E90" s="67">
        <v>0</v>
      </c>
      <c r="F90" s="68">
        <f t="shared" si="4"/>
        <v>0</v>
      </c>
      <c r="G90" s="68">
        <f t="shared" si="5"/>
        <v>0</v>
      </c>
      <c r="H90" s="95"/>
    </row>
    <row r="91" spans="1:8" ht="15" customHeight="1" x14ac:dyDescent="0.2">
      <c r="A91" s="71" t="s">
        <v>269</v>
      </c>
      <c r="B91" s="74" t="s">
        <v>167</v>
      </c>
      <c r="C91" s="74">
        <v>77</v>
      </c>
      <c r="D91" s="74">
        <v>40</v>
      </c>
      <c r="E91" s="67">
        <v>0</v>
      </c>
      <c r="F91" s="68">
        <f t="shared" si="4"/>
        <v>0</v>
      </c>
      <c r="G91" s="68">
        <f t="shared" si="5"/>
        <v>0</v>
      </c>
      <c r="H91" s="95"/>
    </row>
    <row r="92" spans="1:8" ht="15" customHeight="1" x14ac:dyDescent="0.2">
      <c r="A92" s="71" t="s">
        <v>270</v>
      </c>
      <c r="B92" s="74" t="s">
        <v>167</v>
      </c>
      <c r="C92" s="74">
        <v>77</v>
      </c>
      <c r="D92" s="74">
        <v>40</v>
      </c>
      <c r="E92" s="67">
        <v>0</v>
      </c>
      <c r="F92" s="68">
        <f t="shared" si="4"/>
        <v>0</v>
      </c>
      <c r="G92" s="68">
        <f t="shared" si="5"/>
        <v>0</v>
      </c>
      <c r="H92" s="95"/>
    </row>
    <row r="93" spans="1:8" ht="15" customHeight="1" x14ac:dyDescent="0.2">
      <c r="A93" s="71" t="s">
        <v>271</v>
      </c>
      <c r="B93" s="74" t="s">
        <v>167</v>
      </c>
      <c r="C93" s="112">
        <v>17</v>
      </c>
      <c r="D93" s="112">
        <v>18</v>
      </c>
      <c r="E93" s="67">
        <v>0</v>
      </c>
      <c r="F93" s="68">
        <f t="shared" si="4"/>
        <v>0</v>
      </c>
      <c r="G93" s="68">
        <f t="shared" si="5"/>
        <v>0</v>
      </c>
      <c r="H93" s="95"/>
    </row>
    <row r="94" spans="1:8" ht="15" customHeight="1" x14ac:dyDescent="0.2">
      <c r="A94" s="71" t="s">
        <v>272</v>
      </c>
      <c r="B94" s="74" t="s">
        <v>167</v>
      </c>
      <c r="C94" s="74">
        <v>0</v>
      </c>
      <c r="D94" s="74">
        <v>10</v>
      </c>
      <c r="E94" s="67">
        <v>0</v>
      </c>
      <c r="F94" s="68">
        <f t="shared" si="4"/>
        <v>0</v>
      </c>
      <c r="G94" s="68">
        <f t="shared" si="5"/>
        <v>0</v>
      </c>
      <c r="H94" s="95"/>
    </row>
    <row r="95" spans="1:8" ht="15" customHeight="1" x14ac:dyDescent="0.2">
      <c r="A95" s="71" t="s">
        <v>273</v>
      </c>
      <c r="B95" s="74" t="s">
        <v>167</v>
      </c>
      <c r="C95" s="112">
        <v>18</v>
      </c>
      <c r="D95" s="112">
        <v>18</v>
      </c>
      <c r="E95" s="67">
        <v>0</v>
      </c>
      <c r="F95" s="68">
        <f t="shared" si="4"/>
        <v>0</v>
      </c>
      <c r="G95" s="68">
        <f t="shared" si="5"/>
        <v>0</v>
      </c>
      <c r="H95" s="93"/>
    </row>
    <row r="96" spans="1:8" ht="15" customHeight="1" x14ac:dyDescent="0.2">
      <c r="A96" s="71" t="s">
        <v>274</v>
      </c>
      <c r="B96" s="74" t="s">
        <v>167</v>
      </c>
      <c r="C96" s="112">
        <v>18</v>
      </c>
      <c r="D96" s="112">
        <v>18</v>
      </c>
      <c r="E96" s="67">
        <v>0</v>
      </c>
      <c r="F96" s="68">
        <f t="shared" si="4"/>
        <v>0</v>
      </c>
      <c r="G96" s="68">
        <f t="shared" si="5"/>
        <v>0</v>
      </c>
      <c r="H96" s="93"/>
    </row>
    <row r="97" spans="1:8" ht="15" customHeight="1" x14ac:dyDescent="0.2">
      <c r="A97" s="71" t="s">
        <v>275</v>
      </c>
      <c r="B97" s="74" t="s">
        <v>167</v>
      </c>
      <c r="C97" s="74">
        <v>18</v>
      </c>
      <c r="D97" s="74">
        <v>17</v>
      </c>
      <c r="E97" s="67">
        <v>0</v>
      </c>
      <c r="F97" s="68">
        <f t="shared" si="4"/>
        <v>0</v>
      </c>
      <c r="G97" s="68">
        <f t="shared" si="5"/>
        <v>0</v>
      </c>
      <c r="H97" s="95"/>
    </row>
    <row r="98" spans="1:8" ht="15" customHeight="1" x14ac:dyDescent="0.2">
      <c r="A98" s="71" t="s">
        <v>276</v>
      </c>
      <c r="B98" s="74" t="s">
        <v>167</v>
      </c>
      <c r="C98" s="112">
        <v>17</v>
      </c>
      <c r="D98" s="112">
        <v>17</v>
      </c>
      <c r="E98" s="67">
        <v>0</v>
      </c>
      <c r="F98" s="68">
        <f t="shared" si="4"/>
        <v>0</v>
      </c>
      <c r="G98" s="68">
        <f t="shared" si="5"/>
        <v>0</v>
      </c>
      <c r="H98" s="95"/>
    </row>
    <row r="99" spans="1:8" ht="15" customHeight="1" x14ac:dyDescent="0.2">
      <c r="A99" s="71" t="s">
        <v>277</v>
      </c>
      <c r="B99" s="74" t="s">
        <v>167</v>
      </c>
      <c r="C99" s="112">
        <v>25</v>
      </c>
      <c r="D99" s="112">
        <v>40</v>
      </c>
      <c r="E99" s="67">
        <v>0</v>
      </c>
      <c r="F99" s="68">
        <f t="shared" si="4"/>
        <v>0</v>
      </c>
      <c r="G99" s="68">
        <f t="shared" si="5"/>
        <v>0</v>
      </c>
      <c r="H99" s="95"/>
    </row>
    <row r="100" spans="1:8" ht="15" customHeight="1" x14ac:dyDescent="0.2">
      <c r="A100" s="71" t="s">
        <v>278</v>
      </c>
      <c r="B100" s="74" t="s">
        <v>167</v>
      </c>
      <c r="C100" s="74">
        <v>40</v>
      </c>
      <c r="D100" s="74">
        <v>40</v>
      </c>
      <c r="E100" s="67">
        <v>0</v>
      </c>
      <c r="F100" s="68">
        <f t="shared" si="4"/>
        <v>0</v>
      </c>
      <c r="G100" s="68">
        <f t="shared" si="5"/>
        <v>0</v>
      </c>
      <c r="H100" s="95"/>
    </row>
    <row r="101" spans="1:8" ht="15" customHeight="1" x14ac:dyDescent="0.2">
      <c r="A101" s="79" t="s">
        <v>279</v>
      </c>
      <c r="B101" s="80" t="s">
        <v>167</v>
      </c>
      <c r="C101" s="80">
        <v>77</v>
      </c>
      <c r="D101" s="80">
        <v>77</v>
      </c>
      <c r="E101" s="67">
        <v>0</v>
      </c>
      <c r="F101" s="68">
        <f t="shared" si="4"/>
        <v>0</v>
      </c>
      <c r="G101" s="68">
        <f t="shared" si="5"/>
        <v>0</v>
      </c>
      <c r="H101" s="95"/>
    </row>
    <row r="102" spans="1:8" ht="15" customHeight="1" x14ac:dyDescent="0.2">
      <c r="A102" s="71" t="s">
        <v>280</v>
      </c>
      <c r="B102" s="74" t="s">
        <v>167</v>
      </c>
      <c r="C102" s="74">
        <v>0</v>
      </c>
      <c r="D102" s="74">
        <v>10</v>
      </c>
      <c r="E102" s="67">
        <v>0</v>
      </c>
      <c r="F102" s="68">
        <f t="shared" si="4"/>
        <v>0</v>
      </c>
      <c r="G102" s="68">
        <f t="shared" si="5"/>
        <v>0</v>
      </c>
      <c r="H102" s="95"/>
    </row>
    <row r="103" spans="1:8" ht="15" customHeight="1" x14ac:dyDescent="0.2">
      <c r="A103" s="113" t="s">
        <v>281</v>
      </c>
      <c r="B103" s="74" t="s">
        <v>167</v>
      </c>
      <c r="C103" s="112">
        <v>0</v>
      </c>
      <c r="D103" s="112">
        <v>10</v>
      </c>
      <c r="E103" s="67">
        <v>0</v>
      </c>
      <c r="F103" s="68">
        <f t="shared" si="4"/>
        <v>0</v>
      </c>
      <c r="G103" s="68">
        <f t="shared" si="5"/>
        <v>0</v>
      </c>
      <c r="H103" s="95"/>
    </row>
    <row r="104" spans="1:8" ht="20.25" customHeight="1" x14ac:dyDescent="0.2">
      <c r="A104" s="841" t="s">
        <v>282</v>
      </c>
      <c r="B104" s="842"/>
      <c r="C104" s="842"/>
      <c r="D104" s="842"/>
      <c r="E104" s="843"/>
      <c r="F104" s="114">
        <f>SUM(F87:F103)</f>
        <v>0</v>
      </c>
      <c r="G104" s="115">
        <f>SUM(G87:G103)</f>
        <v>0</v>
      </c>
      <c r="H104" s="93"/>
    </row>
    <row r="105" spans="1:8" ht="20.25" customHeight="1" x14ac:dyDescent="0.2">
      <c r="A105" s="844" t="s">
        <v>283</v>
      </c>
      <c r="B105" s="845"/>
      <c r="C105" s="845"/>
      <c r="D105" s="845"/>
      <c r="E105" s="794">
        <v>0.1</v>
      </c>
      <c r="F105" s="116">
        <f>(F104*E1053)/12</f>
        <v>0</v>
      </c>
      <c r="G105" s="116">
        <f>(G104*E105)/12</f>
        <v>0</v>
      </c>
      <c r="H105" s="93"/>
    </row>
    <row r="106" spans="1:8" ht="20.25" customHeight="1" x14ac:dyDescent="0.2">
      <c r="A106" s="841" t="s">
        <v>236</v>
      </c>
      <c r="B106" s="842"/>
      <c r="C106" s="842"/>
      <c r="D106" s="842"/>
      <c r="E106" s="843"/>
      <c r="F106" s="115">
        <f>F105/'Produt. Postos PGR'!N21</f>
        <v>0</v>
      </c>
      <c r="G106" s="115">
        <f>G105/'Produt. Postos CBT'!O20</f>
        <v>0</v>
      </c>
      <c r="H106" s="93"/>
    </row>
    <row r="107" spans="1:8" x14ac:dyDescent="0.2">
      <c r="A107" s="96"/>
      <c r="B107" s="97"/>
      <c r="C107" s="97"/>
      <c r="D107" s="97"/>
      <c r="E107" s="97"/>
      <c r="F107" s="97"/>
      <c r="G107" s="97"/>
      <c r="H107" s="95"/>
    </row>
    <row r="108" spans="1:8" x14ac:dyDescent="0.2">
      <c r="A108" s="96"/>
      <c r="B108" s="97"/>
      <c r="C108" s="97"/>
      <c r="D108" s="97"/>
      <c r="E108" s="97"/>
      <c r="F108" s="97"/>
      <c r="G108" s="97"/>
      <c r="H108" s="95"/>
    </row>
    <row r="109" spans="1:8" x14ac:dyDescent="0.2">
      <c r="A109" s="96"/>
      <c r="B109" s="97"/>
      <c r="C109" s="97"/>
      <c r="D109" s="97"/>
      <c r="E109" s="97"/>
      <c r="F109" s="97"/>
      <c r="G109" s="97"/>
      <c r="H109" s="95"/>
    </row>
    <row r="110" spans="1:8" ht="20.25" customHeight="1" x14ac:dyDescent="0.2">
      <c r="A110" s="846" t="s">
        <v>284</v>
      </c>
      <c r="B110" s="846"/>
      <c r="C110" s="846"/>
      <c r="D110" s="846"/>
      <c r="E110" s="846"/>
      <c r="F110" s="846"/>
      <c r="G110" s="846"/>
      <c r="H110" s="95"/>
    </row>
    <row r="111" spans="1:8" s="111" customFormat="1" ht="35.25" customHeight="1" x14ac:dyDescent="0.2">
      <c r="A111" s="117" t="s">
        <v>130</v>
      </c>
      <c r="B111" s="118" t="s">
        <v>131</v>
      </c>
      <c r="C111" s="118" t="s">
        <v>210</v>
      </c>
      <c r="D111" s="118" t="s">
        <v>285</v>
      </c>
      <c r="E111" s="119" t="s">
        <v>286</v>
      </c>
      <c r="F111" s="120" t="s">
        <v>287</v>
      </c>
      <c r="G111" s="120" t="s">
        <v>288</v>
      </c>
      <c r="H111" s="110"/>
    </row>
    <row r="112" spans="1:8" ht="20.25" customHeight="1" x14ac:dyDescent="0.2">
      <c r="A112" s="847" t="s">
        <v>289</v>
      </c>
      <c r="B112" s="848"/>
      <c r="C112" s="848"/>
      <c r="D112" s="848"/>
      <c r="E112" s="849"/>
      <c r="F112" s="121">
        <f>SUM(F113:F118)</f>
        <v>0</v>
      </c>
      <c r="G112" s="121">
        <f>SUM(G113:G118)</f>
        <v>0</v>
      </c>
      <c r="H112" s="95"/>
    </row>
    <row r="113" spans="1:8" ht="15" customHeight="1" x14ac:dyDescent="0.2">
      <c r="A113" s="64" t="s">
        <v>290</v>
      </c>
      <c r="B113" s="65" t="s">
        <v>167</v>
      </c>
      <c r="C113" s="65">
        <v>2</v>
      </c>
      <c r="D113" s="65">
        <v>2</v>
      </c>
      <c r="E113" s="67">
        <v>0</v>
      </c>
      <c r="F113" s="68">
        <f t="shared" ref="F113:F118" si="6">(C113*E113)/12</f>
        <v>0</v>
      </c>
      <c r="G113" s="68">
        <f t="shared" ref="G113:G118" si="7">D113*E113/12</f>
        <v>0</v>
      </c>
      <c r="H113" s="95"/>
    </row>
    <row r="114" spans="1:8" ht="15" customHeight="1" x14ac:dyDescent="0.2">
      <c r="A114" s="71" t="s">
        <v>291</v>
      </c>
      <c r="B114" s="74" t="s">
        <v>167</v>
      </c>
      <c r="C114" s="74">
        <v>1</v>
      </c>
      <c r="D114" s="74">
        <v>1</v>
      </c>
      <c r="E114" s="67">
        <v>0</v>
      </c>
      <c r="F114" s="68">
        <f t="shared" si="6"/>
        <v>0</v>
      </c>
      <c r="G114" s="68">
        <f t="shared" si="7"/>
        <v>0</v>
      </c>
      <c r="H114" s="95"/>
    </row>
    <row r="115" spans="1:8" ht="15" customHeight="1" x14ac:dyDescent="0.2">
      <c r="A115" s="71" t="s">
        <v>292</v>
      </c>
      <c r="B115" s="74" t="s">
        <v>167</v>
      </c>
      <c r="C115" s="74">
        <v>2</v>
      </c>
      <c r="D115" s="74">
        <v>2</v>
      </c>
      <c r="E115" s="67">
        <v>0</v>
      </c>
      <c r="F115" s="68">
        <f t="shared" si="6"/>
        <v>0</v>
      </c>
      <c r="G115" s="68">
        <f t="shared" si="7"/>
        <v>0</v>
      </c>
      <c r="H115" s="122"/>
    </row>
    <row r="116" spans="1:8" ht="15" customHeight="1" x14ac:dyDescent="0.2">
      <c r="A116" s="71" t="s">
        <v>293</v>
      </c>
      <c r="B116" s="74" t="s">
        <v>167</v>
      </c>
      <c r="C116" s="74">
        <v>2</v>
      </c>
      <c r="D116" s="74">
        <v>2</v>
      </c>
      <c r="E116" s="67">
        <v>0</v>
      </c>
      <c r="F116" s="68">
        <f t="shared" si="6"/>
        <v>0</v>
      </c>
      <c r="G116" s="68">
        <f t="shared" si="7"/>
        <v>0</v>
      </c>
      <c r="H116" s="95"/>
    </row>
    <row r="117" spans="1:8" ht="15" customHeight="1" x14ac:dyDescent="0.2">
      <c r="A117" s="79" t="s">
        <v>294</v>
      </c>
      <c r="B117" s="80" t="s">
        <v>167</v>
      </c>
      <c r="C117" s="80">
        <v>1</v>
      </c>
      <c r="D117" s="80">
        <v>1</v>
      </c>
      <c r="E117" s="67">
        <v>0</v>
      </c>
      <c r="F117" s="68">
        <f t="shared" si="6"/>
        <v>0</v>
      </c>
      <c r="G117" s="68">
        <f t="shared" si="7"/>
        <v>0</v>
      </c>
      <c r="H117" s="95"/>
    </row>
    <row r="118" spans="1:8" ht="15" customHeight="1" x14ac:dyDescent="0.2">
      <c r="A118" s="123" t="s">
        <v>774</v>
      </c>
      <c r="B118" s="124" t="s">
        <v>167</v>
      </c>
      <c r="C118" s="124">
        <v>1</v>
      </c>
      <c r="D118" s="124">
        <v>1</v>
      </c>
      <c r="E118" s="125">
        <v>0</v>
      </c>
      <c r="F118" s="68">
        <f t="shared" si="6"/>
        <v>0</v>
      </c>
      <c r="G118" s="68">
        <f t="shared" si="7"/>
        <v>0</v>
      </c>
      <c r="H118" s="95"/>
    </row>
    <row r="119" spans="1:8" ht="20.25" customHeight="1" x14ac:dyDescent="0.2">
      <c r="A119" s="847" t="s">
        <v>295</v>
      </c>
      <c r="B119" s="848"/>
      <c r="C119" s="848"/>
      <c r="D119" s="848"/>
      <c r="E119" s="849"/>
      <c r="F119" s="121">
        <f>SUM(F120:F123)</f>
        <v>0</v>
      </c>
      <c r="G119" s="121">
        <f>SUM(G120:G123)</f>
        <v>0</v>
      </c>
      <c r="H119" s="95"/>
    </row>
    <row r="120" spans="1:8" ht="15" customHeight="1" x14ac:dyDescent="0.2">
      <c r="A120" s="64" t="s">
        <v>775</v>
      </c>
      <c r="B120" s="65" t="s">
        <v>167</v>
      </c>
      <c r="C120" s="65">
        <v>2</v>
      </c>
      <c r="D120" s="65">
        <v>2</v>
      </c>
      <c r="E120" s="67">
        <v>0</v>
      </c>
      <c r="F120" s="68">
        <f>(C120*E120)/12</f>
        <v>0</v>
      </c>
      <c r="G120" s="68">
        <f>(D120*E120)/12</f>
        <v>0</v>
      </c>
      <c r="H120" s="95"/>
    </row>
    <row r="121" spans="1:8" ht="15" customHeight="1" x14ac:dyDescent="0.2">
      <c r="A121" s="71" t="s">
        <v>776</v>
      </c>
      <c r="B121" s="74" t="s">
        <v>167</v>
      </c>
      <c r="C121" s="74">
        <v>2</v>
      </c>
      <c r="D121" s="74">
        <v>2</v>
      </c>
      <c r="E121" s="67">
        <v>0</v>
      </c>
      <c r="F121" s="68">
        <f>(C121*E121)/12</f>
        <v>0</v>
      </c>
      <c r="G121" s="68">
        <f>(D121*E121)/12</f>
        <v>0</v>
      </c>
      <c r="H121" s="95"/>
    </row>
    <row r="122" spans="1:8" ht="15" customHeight="1" x14ac:dyDescent="0.2">
      <c r="A122" s="71" t="s">
        <v>296</v>
      </c>
      <c r="B122" s="74" t="s">
        <v>167</v>
      </c>
      <c r="C122" s="74">
        <v>1</v>
      </c>
      <c r="D122" s="74">
        <v>1</v>
      </c>
      <c r="E122" s="67">
        <v>0</v>
      </c>
      <c r="F122" s="68">
        <f>(C122*E122)/12</f>
        <v>0</v>
      </c>
      <c r="G122" s="68">
        <f>(D122*E122)/12</f>
        <v>0</v>
      </c>
      <c r="H122" s="95"/>
    </row>
    <row r="123" spans="1:8" ht="15" customHeight="1" x14ac:dyDescent="0.2">
      <c r="A123" s="79" t="s">
        <v>297</v>
      </c>
      <c r="B123" s="80" t="s">
        <v>186</v>
      </c>
      <c r="C123" s="80">
        <v>2</v>
      </c>
      <c r="D123" s="80">
        <v>2</v>
      </c>
      <c r="E123" s="67">
        <v>0</v>
      </c>
      <c r="F123" s="68">
        <f>(C123*E123)/12</f>
        <v>0</v>
      </c>
      <c r="G123" s="68">
        <f>(D123*E123)/12</f>
        <v>0</v>
      </c>
      <c r="H123" s="95"/>
    </row>
    <row r="124" spans="1:8" ht="20.25" customHeight="1" x14ac:dyDescent="0.2">
      <c r="A124" s="850" t="s">
        <v>298</v>
      </c>
      <c r="B124" s="851"/>
      <c r="C124" s="851"/>
      <c r="D124" s="851"/>
      <c r="E124" s="852"/>
      <c r="F124" s="126">
        <f>F112</f>
        <v>0</v>
      </c>
      <c r="G124" s="127">
        <f>G112</f>
        <v>0</v>
      </c>
      <c r="H124" s="95"/>
    </row>
    <row r="125" spans="1:8" ht="20.25" customHeight="1" x14ac:dyDescent="0.2">
      <c r="A125" s="850" t="s">
        <v>299</v>
      </c>
      <c r="B125" s="851"/>
      <c r="C125" s="851"/>
      <c r="D125" s="851"/>
      <c r="E125" s="852"/>
      <c r="F125" s="126">
        <f>F119</f>
        <v>0</v>
      </c>
      <c r="G125" s="127">
        <f>G119</f>
        <v>0</v>
      </c>
      <c r="H125" s="95"/>
    </row>
    <row r="126" spans="1:8" x14ac:dyDescent="0.2">
      <c r="A126" s="96"/>
      <c r="B126" s="97"/>
      <c r="C126" s="97"/>
      <c r="D126" s="97"/>
      <c r="E126" s="97"/>
      <c r="F126" s="97"/>
      <c r="G126" s="97"/>
      <c r="H126" s="95"/>
    </row>
    <row r="127" spans="1:8" ht="20.25" customHeight="1" x14ac:dyDescent="0.2">
      <c r="A127" s="853" t="s">
        <v>300</v>
      </c>
      <c r="B127" s="853"/>
      <c r="C127" s="853"/>
      <c r="D127" s="853"/>
      <c r="E127" s="853"/>
      <c r="F127" s="853"/>
      <c r="G127" s="853"/>
      <c r="H127" s="95"/>
    </row>
    <row r="128" spans="1:8" s="111" customFormat="1" ht="35.25" customHeight="1" x14ac:dyDescent="0.2">
      <c r="A128" s="128" t="s">
        <v>130</v>
      </c>
      <c r="B128" s="129" t="s">
        <v>131</v>
      </c>
      <c r="C128" s="129" t="s">
        <v>301</v>
      </c>
      <c r="D128" s="129" t="s">
        <v>302</v>
      </c>
      <c r="E128" s="130" t="s">
        <v>286</v>
      </c>
      <c r="F128" s="131" t="s">
        <v>303</v>
      </c>
      <c r="G128" s="131" t="s">
        <v>304</v>
      </c>
      <c r="H128" s="110"/>
    </row>
    <row r="129" spans="1:10" ht="20.25" customHeight="1" x14ac:dyDescent="0.2">
      <c r="A129" s="854" t="s">
        <v>305</v>
      </c>
      <c r="B129" s="855"/>
      <c r="C129" s="855"/>
      <c r="D129" s="855"/>
      <c r="E129" s="856"/>
      <c r="F129" s="132">
        <f>SUM(F130:F134)</f>
        <v>0</v>
      </c>
      <c r="G129" s="133">
        <f>SUM(G130:G134)</f>
        <v>0</v>
      </c>
      <c r="H129" s="95"/>
    </row>
    <row r="130" spans="1:10" ht="15" customHeight="1" x14ac:dyDescent="0.2">
      <c r="A130" s="134" t="s">
        <v>306</v>
      </c>
      <c r="B130" s="135" t="s">
        <v>167</v>
      </c>
      <c r="C130" s="135">
        <f>(1*'Produt. Postos PGR'!T21*22)</f>
        <v>176</v>
      </c>
      <c r="D130" s="135">
        <f>(1*'Produt. Postos CBT'!V20*22)</f>
        <v>330</v>
      </c>
      <c r="E130" s="136">
        <v>0</v>
      </c>
      <c r="F130" s="137">
        <f>C130*E130</f>
        <v>0</v>
      </c>
      <c r="G130" s="137">
        <f>D130*E130</f>
        <v>0</v>
      </c>
      <c r="H130" s="95"/>
    </row>
    <row r="131" spans="1:10" ht="15" customHeight="1" x14ac:dyDescent="0.2">
      <c r="A131" s="71" t="s">
        <v>307</v>
      </c>
      <c r="B131" s="74" t="s">
        <v>167</v>
      </c>
      <c r="C131" s="138">
        <f>(1*'Produt. Postos PGR'!T21)/6</f>
        <v>1.3333333333333333</v>
      </c>
      <c r="D131" s="138">
        <f>(1*'Produt. Postos CBT'!V20)/6</f>
        <v>2.5</v>
      </c>
      <c r="E131" s="140">
        <v>0</v>
      </c>
      <c r="F131" s="141">
        <f>C131*E131</f>
        <v>0</v>
      </c>
      <c r="G131" s="141">
        <f>D131*E131</f>
        <v>0</v>
      </c>
      <c r="H131" s="95"/>
    </row>
    <row r="132" spans="1:10" ht="15" customHeight="1" x14ac:dyDescent="0.2">
      <c r="A132" s="71" t="s">
        <v>308</v>
      </c>
      <c r="B132" s="74" t="s">
        <v>186</v>
      </c>
      <c r="C132" s="74">
        <f>(2*'Produt. Postos PGR'!T21*22)</f>
        <v>352</v>
      </c>
      <c r="D132" s="74">
        <f>(2*'Produt. Postos CBT'!V20*22)</f>
        <v>660</v>
      </c>
      <c r="E132" s="140">
        <v>0</v>
      </c>
      <c r="F132" s="141">
        <f>C132*E132</f>
        <v>0</v>
      </c>
      <c r="G132" s="141">
        <f>D132*E132</f>
        <v>0</v>
      </c>
      <c r="H132" s="95"/>
      <c r="J132" s="142"/>
    </row>
    <row r="133" spans="1:10" ht="15" customHeight="1" x14ac:dyDescent="0.2">
      <c r="A133" s="71" t="s">
        <v>309</v>
      </c>
      <c r="B133" s="74" t="s">
        <v>167</v>
      </c>
      <c r="C133" s="74">
        <f>(2*'Produt. Postos PGR'!T21*22)</f>
        <v>352</v>
      </c>
      <c r="D133" s="74">
        <f>(2*'Produt. Postos CBT'!V20*22)</f>
        <v>660</v>
      </c>
      <c r="E133" s="140">
        <v>0</v>
      </c>
      <c r="F133" s="141">
        <f>C133*E133</f>
        <v>0</v>
      </c>
      <c r="G133" s="141">
        <f>D133*E133</f>
        <v>0</v>
      </c>
      <c r="H133" s="95"/>
    </row>
    <row r="134" spans="1:10" ht="15" customHeight="1" x14ac:dyDescent="0.2">
      <c r="A134" s="79" t="s">
        <v>310</v>
      </c>
      <c r="B134" s="80" t="s">
        <v>167</v>
      </c>
      <c r="C134" s="80">
        <f>'Produt. Postos PGR'!T21*22</f>
        <v>176</v>
      </c>
      <c r="D134" s="80">
        <f>1*'Produt. Postos CBT'!V20*22</f>
        <v>330</v>
      </c>
      <c r="E134" s="143">
        <v>0</v>
      </c>
      <c r="F134" s="144">
        <f>C134*E134</f>
        <v>0</v>
      </c>
      <c r="G134" s="144">
        <f>D134*E134</f>
        <v>0</v>
      </c>
      <c r="H134" s="95"/>
    </row>
    <row r="135" spans="1:10" s="111" customFormat="1" ht="35.25" customHeight="1" x14ac:dyDescent="0.2">
      <c r="A135" s="145" t="s">
        <v>130</v>
      </c>
      <c r="B135" s="146" t="s">
        <v>131</v>
      </c>
      <c r="C135" s="146" t="s">
        <v>311</v>
      </c>
      <c r="D135" s="146" t="s">
        <v>312</v>
      </c>
      <c r="E135" s="147" t="s">
        <v>286</v>
      </c>
      <c r="F135" s="148" t="s">
        <v>303</v>
      </c>
      <c r="G135" s="148" t="s">
        <v>304</v>
      </c>
      <c r="H135" s="110"/>
    </row>
    <row r="136" spans="1:10" ht="20.25" customHeight="1" x14ac:dyDescent="0.2">
      <c r="A136" s="854" t="s">
        <v>313</v>
      </c>
      <c r="B136" s="855"/>
      <c r="C136" s="855"/>
      <c r="D136" s="855"/>
      <c r="E136" s="856"/>
      <c r="F136" s="149">
        <f>SUM(F137:F140)</f>
        <v>0</v>
      </c>
      <c r="G136" s="594">
        <f>SUM(G137:G140)</f>
        <v>0</v>
      </c>
      <c r="H136" s="95"/>
    </row>
    <row r="137" spans="1:10" ht="15" customHeight="1" x14ac:dyDescent="0.2">
      <c r="A137" s="64" t="s">
        <v>314</v>
      </c>
      <c r="B137" s="65" t="s">
        <v>167</v>
      </c>
      <c r="C137" s="150">
        <f>'Produt. Postos PGR'!N21</f>
        <v>24</v>
      </c>
      <c r="D137" s="150">
        <f>'Produt. Postos CBT'!O20</f>
        <v>48</v>
      </c>
      <c r="E137" s="67">
        <v>0</v>
      </c>
      <c r="F137" s="151">
        <f>(C137*E137)/12</f>
        <v>0</v>
      </c>
      <c r="G137" s="151">
        <f>(D137*E137)/12</f>
        <v>0</v>
      </c>
      <c r="H137" s="95"/>
    </row>
    <row r="138" spans="1:10" ht="15" customHeight="1" x14ac:dyDescent="0.2">
      <c r="A138" s="71" t="s">
        <v>315</v>
      </c>
      <c r="B138" s="74" t="s">
        <v>186</v>
      </c>
      <c r="C138" s="138">
        <f>'Produt. Postos PGR'!N21</f>
        <v>24</v>
      </c>
      <c r="D138" s="138">
        <f>'Produt. Postos CBT'!O20</f>
        <v>48</v>
      </c>
      <c r="E138" s="140">
        <v>0</v>
      </c>
      <c r="F138" s="151">
        <f>(C138*E138)/12</f>
        <v>0</v>
      </c>
      <c r="G138" s="151">
        <f>(D138*E138)/12</f>
        <v>0</v>
      </c>
      <c r="H138" s="95"/>
    </row>
    <row r="139" spans="1:10" ht="15" customHeight="1" x14ac:dyDescent="0.2">
      <c r="A139" s="71" t="s">
        <v>309</v>
      </c>
      <c r="B139" s="74" t="s">
        <v>167</v>
      </c>
      <c r="C139" s="74">
        <f>((2*'Produt. Postos PGR'!N21*22))*12</f>
        <v>12672</v>
      </c>
      <c r="D139" s="74">
        <f>((2*'Produt. Postos CBT'!O20*22))*12</f>
        <v>25344</v>
      </c>
      <c r="E139" s="140">
        <v>0</v>
      </c>
      <c r="F139" s="151">
        <f>(C139*E139)/12</f>
        <v>0</v>
      </c>
      <c r="G139" s="151">
        <f>(D139*E139)/12</f>
        <v>0</v>
      </c>
      <c r="H139" s="95"/>
    </row>
    <row r="140" spans="1:10" ht="15" customHeight="1" x14ac:dyDescent="0.2">
      <c r="A140" s="71" t="s">
        <v>316</v>
      </c>
      <c r="B140" s="74" t="s">
        <v>167</v>
      </c>
      <c r="C140" s="138">
        <f>'Produt. Postos PGR'!N21</f>
        <v>24</v>
      </c>
      <c r="D140" s="138">
        <f>'Produt. Postos CBT'!O20</f>
        <v>48</v>
      </c>
      <c r="E140" s="140">
        <v>0</v>
      </c>
      <c r="F140" s="152">
        <f>(C140*E140)/12</f>
        <v>0</v>
      </c>
      <c r="G140" s="152">
        <f>(D140*E140)/12</f>
        <v>0</v>
      </c>
      <c r="H140" s="95"/>
    </row>
    <row r="141" spans="1:10" ht="20.25" customHeight="1" x14ac:dyDescent="0.2">
      <c r="A141" s="857" t="s">
        <v>235</v>
      </c>
      <c r="B141" s="858"/>
      <c r="C141" s="858"/>
      <c r="D141" s="858"/>
      <c r="E141" s="859"/>
      <c r="F141" s="153">
        <f>F136+F129</f>
        <v>0</v>
      </c>
      <c r="G141" s="154">
        <f>G129+G136</f>
        <v>0</v>
      </c>
      <c r="H141" s="95"/>
      <c r="J141" s="155"/>
    </row>
    <row r="142" spans="1:10" ht="20.25" customHeight="1" x14ac:dyDescent="0.2">
      <c r="A142" s="857" t="s">
        <v>317</v>
      </c>
      <c r="B142" s="858"/>
      <c r="C142" s="858"/>
      <c r="D142" s="858"/>
      <c r="E142" s="859"/>
      <c r="F142" s="156">
        <f>F129/'Produt. Postos PGR'!T21</f>
        <v>0</v>
      </c>
      <c r="G142" s="153">
        <f>G129/'Produt. Postos CBT'!V20</f>
        <v>0</v>
      </c>
      <c r="H142" s="95"/>
      <c r="J142" s="155"/>
    </row>
    <row r="143" spans="1:10" ht="20.25" customHeight="1" x14ac:dyDescent="0.2">
      <c r="A143" s="857" t="s">
        <v>318</v>
      </c>
      <c r="B143" s="858"/>
      <c r="C143" s="858"/>
      <c r="D143" s="858"/>
      <c r="E143" s="859"/>
      <c r="F143" s="156">
        <f>F136/'Produt. Postos PGR'!N21</f>
        <v>0</v>
      </c>
      <c r="G143" s="153">
        <f>G136/'Produt. Postos CBT'!O20</f>
        <v>0</v>
      </c>
      <c r="H143" s="95"/>
    </row>
    <row r="144" spans="1:10" x14ac:dyDescent="0.2">
      <c r="A144" s="96"/>
      <c r="B144" s="97"/>
      <c r="C144" s="97"/>
      <c r="D144" s="97"/>
      <c r="E144" s="97"/>
      <c r="F144" s="97"/>
      <c r="G144" s="97"/>
      <c r="H144" s="95"/>
    </row>
    <row r="145" spans="1:10" ht="12.75" customHeight="1" x14ac:dyDescent="0.2">
      <c r="A145" s="863" t="s">
        <v>319</v>
      </c>
      <c r="B145" s="864"/>
      <c r="C145" s="864"/>
      <c r="D145" s="864"/>
      <c r="E145" s="864"/>
      <c r="F145" s="864"/>
      <c r="G145" s="97"/>
      <c r="H145" s="95"/>
    </row>
    <row r="146" spans="1:10" ht="12.75" customHeight="1" x14ac:dyDescent="0.2">
      <c r="A146" s="157" t="s">
        <v>306</v>
      </c>
      <c r="B146" s="860" t="s">
        <v>320</v>
      </c>
      <c r="C146" s="861"/>
      <c r="D146" s="862"/>
      <c r="E146" s="797"/>
      <c r="F146" s="97"/>
      <c r="G146" s="97"/>
      <c r="H146" s="95"/>
    </row>
    <row r="147" spans="1:10" ht="12.75" customHeight="1" x14ac:dyDescent="0.2">
      <c r="A147" s="157" t="s">
        <v>307</v>
      </c>
      <c r="B147" s="795" t="s">
        <v>321</v>
      </c>
      <c r="C147" s="796"/>
      <c r="D147" s="798"/>
      <c r="E147" s="97"/>
      <c r="F147" s="97"/>
      <c r="G147" s="97"/>
      <c r="H147" s="95"/>
    </row>
    <row r="148" spans="1:10" ht="12.75" customHeight="1" x14ac:dyDescent="0.2">
      <c r="A148" s="157" t="s">
        <v>308</v>
      </c>
      <c r="B148" s="860" t="s">
        <v>322</v>
      </c>
      <c r="C148" s="861"/>
      <c r="D148" s="862"/>
      <c r="E148" s="97"/>
      <c r="F148" s="98"/>
      <c r="G148" s="97"/>
      <c r="H148" s="95"/>
    </row>
    <row r="149" spans="1:10" ht="12.75" customHeight="1" x14ac:dyDescent="0.2">
      <c r="A149" s="157" t="s">
        <v>309</v>
      </c>
      <c r="B149" s="860" t="s">
        <v>323</v>
      </c>
      <c r="C149" s="861"/>
      <c r="D149" s="862"/>
      <c r="E149" s="97"/>
      <c r="F149" s="98"/>
      <c r="G149" s="97"/>
      <c r="H149" s="95"/>
    </row>
    <row r="150" spans="1:10" ht="12.75" customHeight="1" x14ac:dyDescent="0.2">
      <c r="A150" s="157" t="s">
        <v>310</v>
      </c>
      <c r="B150" s="860" t="s">
        <v>320</v>
      </c>
      <c r="C150" s="861"/>
      <c r="D150" s="862"/>
      <c r="E150" s="97"/>
      <c r="F150" s="97"/>
      <c r="G150" s="97"/>
      <c r="H150" s="95"/>
    </row>
    <row r="151" spans="1:10" ht="12.75" customHeight="1" x14ac:dyDescent="0.2">
      <c r="A151" s="157" t="s">
        <v>324</v>
      </c>
      <c r="B151" s="860" t="s">
        <v>325</v>
      </c>
      <c r="C151" s="861"/>
      <c r="D151" s="862"/>
      <c r="E151" s="97"/>
      <c r="F151" s="97"/>
      <c r="G151" s="97"/>
      <c r="H151" s="95"/>
    </row>
    <row r="152" spans="1:10" ht="12.75" customHeight="1" x14ac:dyDescent="0.2">
      <c r="A152" s="157" t="s">
        <v>326</v>
      </c>
      <c r="B152" s="860" t="s">
        <v>327</v>
      </c>
      <c r="C152" s="861"/>
      <c r="D152" s="862"/>
      <c r="E152" s="97"/>
      <c r="F152" s="97"/>
      <c r="G152" s="97"/>
      <c r="H152" s="95"/>
    </row>
    <row r="153" spans="1:10" ht="12.75" customHeight="1" x14ac:dyDescent="0.2">
      <c r="A153" s="157" t="s">
        <v>328</v>
      </c>
      <c r="B153" s="860" t="s">
        <v>329</v>
      </c>
      <c r="C153" s="861"/>
      <c r="D153" s="862"/>
      <c r="E153" s="97"/>
      <c r="F153" s="97"/>
      <c r="G153" s="97"/>
      <c r="H153" s="95"/>
    </row>
    <row r="154" spans="1:10" x14ac:dyDescent="0.2">
      <c r="A154" s="96"/>
      <c r="B154" s="97"/>
      <c r="C154" s="97"/>
      <c r="D154" s="97"/>
      <c r="E154" s="97"/>
      <c r="F154" s="97"/>
      <c r="G154" s="97"/>
      <c r="H154" s="95"/>
    </row>
    <row r="155" spans="1:10" ht="20.25" customHeight="1" x14ac:dyDescent="0.2">
      <c r="A155" s="865" t="s">
        <v>330</v>
      </c>
      <c r="B155" s="866"/>
      <c r="C155" s="866"/>
      <c r="D155" s="866"/>
      <c r="E155" s="866"/>
      <c r="F155" s="867"/>
      <c r="G155" s="158"/>
      <c r="H155" s="95"/>
    </row>
    <row r="156" spans="1:10" s="111" customFormat="1" ht="35.25" customHeight="1" x14ac:dyDescent="0.2">
      <c r="A156" s="159" t="s">
        <v>130</v>
      </c>
      <c r="B156" s="160" t="s">
        <v>131</v>
      </c>
      <c r="C156" s="160" t="s">
        <v>331</v>
      </c>
      <c r="D156" s="161"/>
      <c r="E156" s="775"/>
      <c r="F156" s="162" t="s">
        <v>332</v>
      </c>
      <c r="G156" s="163"/>
      <c r="H156" s="110"/>
    </row>
    <row r="157" spans="1:10" ht="20.25" customHeight="1" x14ac:dyDescent="0.2">
      <c r="A157" s="865" t="s">
        <v>333</v>
      </c>
      <c r="B157" s="866"/>
      <c r="C157" s="866"/>
      <c r="D157" s="866"/>
      <c r="E157" s="867"/>
      <c r="F157" s="164">
        <f>SUM(F158:F172)</f>
        <v>0</v>
      </c>
      <c r="G157" s="165"/>
      <c r="H157" s="95"/>
    </row>
    <row r="158" spans="1:10" ht="15" customHeight="1" x14ac:dyDescent="0.2">
      <c r="A158" s="166" t="s">
        <v>334</v>
      </c>
      <c r="B158" s="66" t="s">
        <v>335</v>
      </c>
      <c r="C158" s="66">
        <v>2</v>
      </c>
      <c r="D158" s="733"/>
      <c r="E158" s="776"/>
      <c r="F158" s="167">
        <v>0</v>
      </c>
      <c r="G158" s="168"/>
      <c r="H158" s="95"/>
    </row>
    <row r="159" spans="1:10" ht="15" customHeight="1" x14ac:dyDescent="0.2">
      <c r="A159" s="166" t="s">
        <v>336</v>
      </c>
      <c r="B159" s="66" t="s">
        <v>335</v>
      </c>
      <c r="C159" s="72">
        <v>2</v>
      </c>
      <c r="D159" s="731"/>
      <c r="E159" s="777"/>
      <c r="F159" s="167">
        <v>0</v>
      </c>
      <c r="G159" s="168"/>
      <c r="H159" s="122"/>
    </row>
    <row r="160" spans="1:10" ht="15" customHeight="1" x14ac:dyDescent="0.2">
      <c r="A160" s="166" t="s">
        <v>337</v>
      </c>
      <c r="B160" s="66" t="s">
        <v>335</v>
      </c>
      <c r="C160" s="72">
        <v>2</v>
      </c>
      <c r="D160" s="731"/>
      <c r="E160" s="777"/>
      <c r="F160" s="167">
        <v>0</v>
      </c>
      <c r="G160" s="168"/>
      <c r="H160" s="122"/>
      <c r="J160" s="169"/>
    </row>
    <row r="161" spans="1:8" ht="15" customHeight="1" x14ac:dyDescent="0.2">
      <c r="A161" s="166" t="s">
        <v>338</v>
      </c>
      <c r="B161" s="66" t="s">
        <v>335</v>
      </c>
      <c r="C161" s="72">
        <v>2</v>
      </c>
      <c r="D161" s="731"/>
      <c r="E161" s="777"/>
      <c r="F161" s="167">
        <v>0</v>
      </c>
      <c r="G161" s="168"/>
      <c r="H161" s="95"/>
    </row>
    <row r="162" spans="1:8" ht="15" customHeight="1" x14ac:dyDescent="0.2">
      <c r="A162" s="166" t="s">
        <v>339</v>
      </c>
      <c r="B162" s="66" t="s">
        <v>335</v>
      </c>
      <c r="C162" s="81">
        <v>2</v>
      </c>
      <c r="D162" s="170"/>
      <c r="E162" s="777"/>
      <c r="F162" s="167">
        <v>0</v>
      </c>
      <c r="G162" s="168"/>
      <c r="H162" s="95"/>
    </row>
    <row r="163" spans="1:8" ht="15" customHeight="1" x14ac:dyDescent="0.2">
      <c r="A163" s="166" t="s">
        <v>340</v>
      </c>
      <c r="B163" s="66" t="s">
        <v>341</v>
      </c>
      <c r="C163" s="81">
        <v>2</v>
      </c>
      <c r="D163" s="170"/>
      <c r="E163" s="777"/>
      <c r="F163" s="167">
        <v>0</v>
      </c>
      <c r="G163" s="168"/>
      <c r="H163" s="95"/>
    </row>
    <row r="164" spans="1:8" ht="15" customHeight="1" x14ac:dyDescent="0.2">
      <c r="A164" s="166" t="s">
        <v>342</v>
      </c>
      <c r="B164" s="66" t="s">
        <v>341</v>
      </c>
      <c r="C164" s="81">
        <v>2</v>
      </c>
      <c r="D164" s="170"/>
      <c r="E164" s="777"/>
      <c r="F164" s="167">
        <v>0</v>
      </c>
      <c r="G164" s="168"/>
      <c r="H164" s="95"/>
    </row>
    <row r="165" spans="1:8" ht="15" customHeight="1" x14ac:dyDescent="0.2">
      <c r="A165" s="166" t="s">
        <v>343</v>
      </c>
      <c r="B165" s="66" t="s">
        <v>341</v>
      </c>
      <c r="C165" s="81">
        <v>2</v>
      </c>
      <c r="D165" s="170"/>
      <c r="E165" s="777"/>
      <c r="F165" s="167">
        <v>0</v>
      </c>
      <c r="G165" s="168"/>
      <c r="H165" s="122"/>
    </row>
    <row r="166" spans="1:8" ht="15" customHeight="1" x14ac:dyDescent="0.2">
      <c r="A166" s="166" t="s">
        <v>344</v>
      </c>
      <c r="B166" s="66" t="s">
        <v>341</v>
      </c>
      <c r="C166" s="81">
        <v>2</v>
      </c>
      <c r="D166" s="170"/>
      <c r="E166" s="777"/>
      <c r="F166" s="167">
        <v>0</v>
      </c>
      <c r="G166" s="168"/>
      <c r="H166" s="122"/>
    </row>
    <row r="167" spans="1:8" ht="15" customHeight="1" x14ac:dyDescent="0.2">
      <c r="A167" s="166" t="s">
        <v>345</v>
      </c>
      <c r="B167" s="66" t="s">
        <v>341</v>
      </c>
      <c r="C167" s="81">
        <v>2</v>
      </c>
      <c r="D167" s="170"/>
      <c r="E167" s="777"/>
      <c r="F167" s="167">
        <v>0</v>
      </c>
      <c r="G167" s="168"/>
      <c r="H167" s="122"/>
    </row>
    <row r="168" spans="1:8" ht="15" customHeight="1" x14ac:dyDescent="0.2">
      <c r="A168" s="166" t="s">
        <v>346</v>
      </c>
      <c r="B168" s="66" t="s">
        <v>341</v>
      </c>
      <c r="C168" s="81">
        <v>2</v>
      </c>
      <c r="D168" s="170"/>
      <c r="E168" s="777"/>
      <c r="F168" s="167">
        <v>0</v>
      </c>
      <c r="G168" s="168"/>
      <c r="H168" s="122"/>
    </row>
    <row r="169" spans="1:8" ht="15" customHeight="1" x14ac:dyDescent="0.2">
      <c r="A169" s="166" t="s">
        <v>347</v>
      </c>
      <c r="B169" s="66" t="s">
        <v>341</v>
      </c>
      <c r="C169" s="81">
        <v>2</v>
      </c>
      <c r="D169" s="170"/>
      <c r="E169" s="777"/>
      <c r="F169" s="167">
        <v>0</v>
      </c>
      <c r="G169" s="168"/>
      <c r="H169" s="122"/>
    </row>
    <row r="170" spans="1:8" ht="15" customHeight="1" x14ac:dyDescent="0.2">
      <c r="A170" s="166" t="s">
        <v>348</v>
      </c>
      <c r="B170" s="66" t="s">
        <v>341</v>
      </c>
      <c r="C170" s="81">
        <v>2</v>
      </c>
      <c r="D170" s="170"/>
      <c r="E170" s="777"/>
      <c r="F170" s="167">
        <v>0</v>
      </c>
      <c r="G170" s="168"/>
      <c r="H170" s="122"/>
    </row>
    <row r="171" spans="1:8" ht="15" customHeight="1" x14ac:dyDescent="0.2">
      <c r="A171" s="166" t="s">
        <v>349</v>
      </c>
      <c r="B171" s="66" t="s">
        <v>341</v>
      </c>
      <c r="C171" s="81">
        <v>2</v>
      </c>
      <c r="D171" s="170"/>
      <c r="E171" s="777"/>
      <c r="F171" s="167">
        <v>0</v>
      </c>
      <c r="G171" s="168"/>
      <c r="H171" s="122"/>
    </row>
    <row r="172" spans="1:8" ht="15" customHeight="1" x14ac:dyDescent="0.2">
      <c r="A172" s="166" t="s">
        <v>350</v>
      </c>
      <c r="B172" s="66" t="s">
        <v>335</v>
      </c>
      <c r="C172" s="171">
        <v>2</v>
      </c>
      <c r="D172" s="732"/>
      <c r="E172" s="778"/>
      <c r="F172" s="167">
        <v>0</v>
      </c>
      <c r="G172" s="168"/>
      <c r="H172" s="95"/>
    </row>
    <row r="173" spans="1:8" ht="15" customHeight="1" x14ac:dyDescent="0.2">
      <c r="A173" s="865" t="s">
        <v>330</v>
      </c>
      <c r="B173" s="866"/>
      <c r="C173" s="866"/>
      <c r="D173" s="866"/>
      <c r="E173" s="866"/>
      <c r="F173" s="867"/>
      <c r="G173" s="172"/>
      <c r="H173" s="95"/>
    </row>
    <row r="174" spans="1:8" ht="42.75" customHeight="1" x14ac:dyDescent="0.2">
      <c r="A174" s="159" t="s">
        <v>130</v>
      </c>
      <c r="B174" s="160" t="s">
        <v>131</v>
      </c>
      <c r="C174" s="160" t="s">
        <v>331</v>
      </c>
      <c r="D174" s="161"/>
      <c r="E174" s="775"/>
      <c r="F174" s="173" t="s">
        <v>332</v>
      </c>
      <c r="G174" s="163"/>
      <c r="H174" s="95"/>
    </row>
    <row r="175" spans="1:8" ht="15" customHeight="1" x14ac:dyDescent="0.2">
      <c r="A175" s="865" t="s">
        <v>351</v>
      </c>
      <c r="B175" s="866"/>
      <c r="C175" s="866"/>
      <c r="D175" s="866"/>
      <c r="E175" s="867"/>
      <c r="F175" s="164">
        <f>SUM(F176:F185)</f>
        <v>0</v>
      </c>
      <c r="G175" s="165"/>
      <c r="H175" s="95"/>
    </row>
    <row r="176" spans="1:8" ht="15" customHeight="1" x14ac:dyDescent="0.2">
      <c r="A176" s="64" t="s">
        <v>352</v>
      </c>
      <c r="B176" s="66" t="s">
        <v>335</v>
      </c>
      <c r="C176" s="66">
        <v>2</v>
      </c>
      <c r="D176" s="733"/>
      <c r="E176" s="776"/>
      <c r="F176" s="167">
        <v>0</v>
      </c>
      <c r="G176" s="168"/>
      <c r="H176" s="95"/>
    </row>
    <row r="177" spans="1:8" ht="15" customHeight="1" x14ac:dyDescent="0.2">
      <c r="A177" s="64" t="s">
        <v>353</v>
      </c>
      <c r="B177" s="66" t="s">
        <v>335</v>
      </c>
      <c r="C177" s="72">
        <v>2</v>
      </c>
      <c r="D177" s="731"/>
      <c r="E177" s="777"/>
      <c r="F177" s="167">
        <v>0</v>
      </c>
      <c r="G177" s="168"/>
      <c r="H177" s="95"/>
    </row>
    <row r="178" spans="1:8" ht="15" customHeight="1" x14ac:dyDescent="0.2">
      <c r="A178" s="64" t="s">
        <v>354</v>
      </c>
      <c r="B178" s="66" t="s">
        <v>335</v>
      </c>
      <c r="C178" s="72">
        <v>2</v>
      </c>
      <c r="D178" s="731"/>
      <c r="E178" s="777"/>
      <c r="F178" s="167">
        <v>0</v>
      </c>
      <c r="G178" s="168"/>
      <c r="H178" s="95"/>
    </row>
    <row r="179" spans="1:8" ht="15" customHeight="1" x14ac:dyDescent="0.2">
      <c r="A179" s="64" t="s">
        <v>355</v>
      </c>
      <c r="B179" s="66" t="s">
        <v>335</v>
      </c>
      <c r="C179" s="72">
        <v>2</v>
      </c>
      <c r="D179" s="731"/>
      <c r="E179" s="777"/>
      <c r="F179" s="167">
        <v>0</v>
      </c>
      <c r="G179" s="168"/>
      <c r="H179" s="95"/>
    </row>
    <row r="180" spans="1:8" ht="15" customHeight="1" x14ac:dyDescent="0.2">
      <c r="A180" s="64" t="s">
        <v>356</v>
      </c>
      <c r="B180" s="66" t="s">
        <v>335</v>
      </c>
      <c r="C180" s="81">
        <v>2</v>
      </c>
      <c r="D180" s="170"/>
      <c r="E180" s="777"/>
      <c r="F180" s="167">
        <v>0</v>
      </c>
      <c r="G180" s="168"/>
      <c r="H180" s="95"/>
    </row>
    <row r="181" spans="1:8" ht="15" customHeight="1" x14ac:dyDescent="0.2">
      <c r="A181" s="64" t="s">
        <v>357</v>
      </c>
      <c r="B181" s="66" t="s">
        <v>341</v>
      </c>
      <c r="C181" s="81">
        <v>2</v>
      </c>
      <c r="D181" s="170"/>
      <c r="E181" s="777"/>
      <c r="F181" s="167">
        <v>0</v>
      </c>
      <c r="G181" s="168"/>
      <c r="H181" s="95"/>
    </row>
    <row r="182" spans="1:8" ht="15" customHeight="1" x14ac:dyDescent="0.2">
      <c r="A182" s="64" t="s">
        <v>358</v>
      </c>
      <c r="B182" s="66" t="s">
        <v>341</v>
      </c>
      <c r="C182" s="81">
        <v>2</v>
      </c>
      <c r="D182" s="170"/>
      <c r="E182" s="777"/>
      <c r="F182" s="167">
        <v>0</v>
      </c>
      <c r="G182" s="168"/>
      <c r="H182" s="95"/>
    </row>
    <row r="183" spans="1:8" ht="15" customHeight="1" x14ac:dyDescent="0.2">
      <c r="A183" s="64" t="s">
        <v>359</v>
      </c>
      <c r="B183" s="66" t="s">
        <v>341</v>
      </c>
      <c r="C183" s="81">
        <v>2</v>
      </c>
      <c r="D183" s="170"/>
      <c r="E183" s="777"/>
      <c r="F183" s="167">
        <v>0</v>
      </c>
      <c r="G183" s="168"/>
      <c r="H183" s="95"/>
    </row>
    <row r="184" spans="1:8" ht="15" customHeight="1" x14ac:dyDescent="0.2">
      <c r="A184" s="64" t="s">
        <v>360</v>
      </c>
      <c r="B184" s="66" t="s">
        <v>341</v>
      </c>
      <c r="C184" s="81">
        <v>2</v>
      </c>
      <c r="D184" s="170"/>
      <c r="E184" s="777"/>
      <c r="F184" s="167">
        <v>0</v>
      </c>
      <c r="G184" s="168"/>
      <c r="H184" s="95"/>
    </row>
    <row r="185" spans="1:8" ht="15" customHeight="1" x14ac:dyDescent="0.2">
      <c r="A185" s="64" t="s">
        <v>361</v>
      </c>
      <c r="B185" s="66" t="s">
        <v>335</v>
      </c>
      <c r="C185" s="171">
        <v>2</v>
      </c>
      <c r="D185" s="732"/>
      <c r="E185" s="778"/>
      <c r="F185" s="167">
        <v>0</v>
      </c>
      <c r="G185" s="168"/>
      <c r="H185" s="95"/>
    </row>
    <row r="186" spans="1:8" ht="20.25" customHeight="1" x14ac:dyDescent="0.2">
      <c r="A186" s="865" t="s">
        <v>362</v>
      </c>
      <c r="B186" s="866"/>
      <c r="C186" s="866"/>
      <c r="D186" s="866"/>
      <c r="E186" s="867"/>
      <c r="F186" s="174">
        <f>SUM(F187:F187)</f>
        <v>0</v>
      </c>
      <c r="G186" s="165"/>
      <c r="H186" s="95"/>
    </row>
    <row r="187" spans="1:8" ht="15" customHeight="1" x14ac:dyDescent="0.2">
      <c r="A187" s="175" t="s">
        <v>363</v>
      </c>
      <c r="B187" s="176" t="s">
        <v>167</v>
      </c>
      <c r="C187" s="176">
        <v>1</v>
      </c>
      <c r="D187" s="177"/>
      <c r="E187" s="178">
        <v>0</v>
      </c>
      <c r="F187" s="179">
        <f>E187</f>
        <v>0</v>
      </c>
      <c r="G187" s="180"/>
      <c r="H187" s="181"/>
    </row>
    <row r="189" spans="1:8" x14ac:dyDescent="0.2">
      <c r="A189" s="868" t="s">
        <v>364</v>
      </c>
      <c r="B189" s="869"/>
      <c r="C189" s="869"/>
      <c r="D189" s="870"/>
      <c r="E189" s="869"/>
      <c r="F189" s="869"/>
      <c r="G189" s="871"/>
      <c r="H189" s="582"/>
    </row>
    <row r="190" spans="1:8" ht="48" x14ac:dyDescent="0.2">
      <c r="A190" s="583" t="s">
        <v>130</v>
      </c>
      <c r="B190" s="108" t="s">
        <v>131</v>
      </c>
      <c r="C190" s="730" t="s">
        <v>365</v>
      </c>
      <c r="D190" s="786" t="s">
        <v>366</v>
      </c>
      <c r="E190" s="730" t="s">
        <v>134</v>
      </c>
      <c r="F190" s="572" t="s">
        <v>263</v>
      </c>
      <c r="G190" s="572" t="s">
        <v>264</v>
      </c>
      <c r="H190" s="584"/>
    </row>
    <row r="191" spans="1:8" x14ac:dyDescent="0.2">
      <c r="A191" s="581" t="s">
        <v>367</v>
      </c>
      <c r="B191" s="65" t="s">
        <v>167</v>
      </c>
      <c r="C191" s="747">
        <v>1</v>
      </c>
      <c r="D191" s="788">
        <v>1</v>
      </c>
      <c r="E191" s="67">
        <v>0</v>
      </c>
      <c r="F191" s="573">
        <f>(C191*E191)</f>
        <v>0</v>
      </c>
      <c r="G191" s="573">
        <f>E191*D191</f>
        <v>0</v>
      </c>
      <c r="H191" s="584"/>
    </row>
    <row r="192" spans="1:8" x14ac:dyDescent="0.2">
      <c r="A192" s="581" t="s">
        <v>368</v>
      </c>
      <c r="B192" s="65"/>
      <c r="C192" s="731">
        <v>1</v>
      </c>
      <c r="D192" s="789">
        <v>1</v>
      </c>
      <c r="E192" s="67">
        <v>0</v>
      </c>
      <c r="F192" s="573">
        <f>(C192*E192)</f>
        <v>0</v>
      </c>
      <c r="G192" s="573">
        <f>E192*D192</f>
        <v>0</v>
      </c>
      <c r="H192" s="584"/>
    </row>
    <row r="193" spans="1:8" x14ac:dyDescent="0.2">
      <c r="A193" s="581" t="s">
        <v>369</v>
      </c>
      <c r="B193" s="74" t="s">
        <v>167</v>
      </c>
      <c r="C193" s="731">
        <v>1</v>
      </c>
      <c r="D193" s="789">
        <v>2</v>
      </c>
      <c r="E193" s="67">
        <v>0</v>
      </c>
      <c r="F193" s="573">
        <f>(C193*E193)</f>
        <v>0</v>
      </c>
      <c r="G193" s="573">
        <f>E193*D193</f>
        <v>0</v>
      </c>
      <c r="H193" s="584"/>
    </row>
    <row r="194" spans="1:8" ht="39" thickBot="1" x14ac:dyDescent="0.25">
      <c r="A194" s="585" t="s">
        <v>370</v>
      </c>
      <c r="B194" s="74" t="s">
        <v>167</v>
      </c>
      <c r="C194" s="732">
        <v>1</v>
      </c>
      <c r="D194" s="815">
        <v>2</v>
      </c>
      <c r="E194" s="67">
        <v>0</v>
      </c>
      <c r="F194" s="573">
        <f>(C194*E194)</f>
        <v>0</v>
      </c>
      <c r="G194" s="573">
        <f>E194*D194</f>
        <v>0</v>
      </c>
      <c r="H194" s="584"/>
    </row>
    <row r="195" spans="1:8" ht="15" thickBot="1" x14ac:dyDescent="0.25">
      <c r="A195" s="882" t="s">
        <v>282</v>
      </c>
      <c r="B195" s="842"/>
      <c r="C195" s="842"/>
      <c r="D195" s="883"/>
      <c r="E195" s="884"/>
      <c r="F195" s="574">
        <f>SUM(F191:F194)</f>
        <v>0</v>
      </c>
      <c r="G195" s="574">
        <f>SUM(G191:G194)</f>
        <v>0</v>
      </c>
      <c r="H195" s="584"/>
    </row>
    <row r="196" spans="1:8" x14ac:dyDescent="0.2">
      <c r="A196" s="885" t="s">
        <v>283</v>
      </c>
      <c r="B196" s="845"/>
      <c r="C196" s="845"/>
      <c r="D196" s="845"/>
      <c r="E196" s="794">
        <v>0.1</v>
      </c>
      <c r="F196" s="574">
        <f>(F195*E196)/12</f>
        <v>0</v>
      </c>
      <c r="G196" s="574">
        <f>(G195*E196)/12</f>
        <v>0</v>
      </c>
      <c r="H196" s="584"/>
    </row>
    <row r="197" spans="1:8" x14ac:dyDescent="0.2">
      <c r="A197" s="882" t="s">
        <v>371</v>
      </c>
      <c r="B197" s="842"/>
      <c r="C197" s="842"/>
      <c r="D197" s="842"/>
      <c r="E197" s="884"/>
      <c r="F197" s="575">
        <f>F196/1</f>
        <v>0</v>
      </c>
      <c r="G197" s="575">
        <f>G196/2</f>
        <v>0</v>
      </c>
      <c r="H197" s="584"/>
    </row>
    <row r="198" spans="1:8" x14ac:dyDescent="0.2">
      <c r="A198" s="586"/>
      <c r="H198" s="584"/>
    </row>
    <row r="199" spans="1:8" x14ac:dyDescent="0.2">
      <c r="A199" s="874" t="s">
        <v>372</v>
      </c>
      <c r="B199" s="875"/>
      <c r="C199" s="875"/>
      <c r="D199" s="875"/>
      <c r="E199" s="875"/>
      <c r="F199" s="876"/>
      <c r="G199" s="569"/>
      <c r="H199" s="584"/>
    </row>
    <row r="200" spans="1:8" ht="44.25" customHeight="1" x14ac:dyDescent="0.2">
      <c r="A200" s="790" t="s">
        <v>130</v>
      </c>
      <c r="B200" s="791" t="s">
        <v>131</v>
      </c>
      <c r="C200" s="880" t="s">
        <v>373</v>
      </c>
      <c r="D200" s="881"/>
      <c r="E200" s="792" t="s">
        <v>286</v>
      </c>
      <c r="F200" s="793" t="s">
        <v>374</v>
      </c>
      <c r="G200" s="570"/>
      <c r="H200" s="584"/>
    </row>
    <row r="201" spans="1:8" x14ac:dyDescent="0.2">
      <c r="A201" s="596" t="s">
        <v>375</v>
      </c>
      <c r="B201" s="65" t="s">
        <v>167</v>
      </c>
      <c r="C201" s="780">
        <v>2</v>
      </c>
      <c r="D201" s="781"/>
      <c r="E201" s="67">
        <v>0</v>
      </c>
      <c r="F201" s="573">
        <f>(E201*C201)/12</f>
        <v>0</v>
      </c>
      <c r="G201" s="571"/>
      <c r="H201" s="584"/>
    </row>
    <row r="202" spans="1:8" x14ac:dyDescent="0.2">
      <c r="A202" s="587" t="s">
        <v>773</v>
      </c>
      <c r="B202" s="74" t="s">
        <v>167</v>
      </c>
      <c r="C202" s="782">
        <v>2</v>
      </c>
      <c r="D202" s="783"/>
      <c r="E202" s="67">
        <v>0</v>
      </c>
      <c r="F202" s="573">
        <f>(E202*C202)/12</f>
        <v>0</v>
      </c>
      <c r="G202" s="571"/>
      <c r="H202" s="584"/>
    </row>
    <row r="203" spans="1:8" x14ac:dyDescent="0.2">
      <c r="A203" s="588" t="s">
        <v>294</v>
      </c>
      <c r="B203" s="80" t="s">
        <v>167</v>
      </c>
      <c r="C203" s="782">
        <v>1</v>
      </c>
      <c r="D203" s="783"/>
      <c r="E203" s="67">
        <v>0</v>
      </c>
      <c r="F203" s="573">
        <f>(E203*C203)/12</f>
        <v>0</v>
      </c>
      <c r="G203" s="571"/>
      <c r="H203" s="584"/>
    </row>
    <row r="204" spans="1:8" x14ac:dyDescent="0.2">
      <c r="A204" s="589" t="s">
        <v>376</v>
      </c>
      <c r="B204" s="124" t="s">
        <v>167</v>
      </c>
      <c r="C204" s="784">
        <v>2</v>
      </c>
      <c r="D204" s="785"/>
      <c r="E204" s="125">
        <v>0</v>
      </c>
      <c r="F204" s="573">
        <f>(E204*C204)/12</f>
        <v>0</v>
      </c>
      <c r="G204" s="571"/>
      <c r="H204" s="584"/>
    </row>
    <row r="205" spans="1:8" x14ac:dyDescent="0.2">
      <c r="A205" s="872" t="s">
        <v>377</v>
      </c>
      <c r="B205" s="851"/>
      <c r="C205" s="851"/>
      <c r="D205" s="851"/>
      <c r="E205" s="873"/>
      <c r="F205" s="580">
        <f>SUM(F201:F204)</f>
        <v>0</v>
      </c>
      <c r="G205" s="576"/>
      <c r="H205" s="584"/>
    </row>
    <row r="206" spans="1:8" x14ac:dyDescent="0.2">
      <c r="A206" s="590"/>
      <c r="B206" s="97"/>
      <c r="C206" s="97"/>
      <c r="D206" s="97"/>
      <c r="E206" s="97"/>
      <c r="F206" s="97"/>
      <c r="G206" s="577"/>
      <c r="H206" s="584"/>
    </row>
    <row r="207" spans="1:8" x14ac:dyDescent="0.2">
      <c r="A207" s="877" t="s">
        <v>378</v>
      </c>
      <c r="B207" s="878"/>
      <c r="C207" s="878"/>
      <c r="D207" s="878"/>
      <c r="E207" s="878"/>
      <c r="F207" s="879"/>
      <c r="G207" s="578"/>
      <c r="H207" s="584"/>
    </row>
    <row r="208" spans="1:8" ht="48" x14ac:dyDescent="0.2">
      <c r="A208" s="779" t="s">
        <v>130</v>
      </c>
      <c r="B208" s="600" t="s">
        <v>131</v>
      </c>
      <c r="C208" s="889" t="s">
        <v>379</v>
      </c>
      <c r="D208" s="890"/>
      <c r="E208" s="779" t="s">
        <v>286</v>
      </c>
      <c r="F208" s="600" t="s">
        <v>380</v>
      </c>
      <c r="G208" s="570"/>
      <c r="H208" s="584"/>
    </row>
    <row r="209" spans="1:8" x14ac:dyDescent="0.2">
      <c r="A209" s="596" t="s">
        <v>381</v>
      </c>
      <c r="B209" s="595" t="s">
        <v>167</v>
      </c>
      <c r="C209" s="891">
        <v>1</v>
      </c>
      <c r="D209" s="892"/>
      <c r="E209" s="67">
        <v>0</v>
      </c>
      <c r="F209" s="573">
        <f>(C209*E209)/12</f>
        <v>0</v>
      </c>
      <c r="G209" s="579"/>
      <c r="H209" s="584"/>
    </row>
    <row r="210" spans="1:8" x14ac:dyDescent="0.2">
      <c r="A210" s="587" t="s">
        <v>382</v>
      </c>
      <c r="B210" s="595" t="s">
        <v>167</v>
      </c>
      <c r="C210" s="893">
        <v>1</v>
      </c>
      <c r="D210" s="894"/>
      <c r="E210" s="67">
        <v>0</v>
      </c>
      <c r="F210" s="573">
        <f>(C210*E210)/12</f>
        <v>0</v>
      </c>
      <c r="G210" s="579"/>
      <c r="H210" s="584"/>
    </row>
    <row r="211" spans="1:8" x14ac:dyDescent="0.2">
      <c r="A211" s="596" t="s">
        <v>383</v>
      </c>
      <c r="B211" s="139" t="s">
        <v>186</v>
      </c>
      <c r="C211" s="893">
        <v>1</v>
      </c>
      <c r="D211" s="894"/>
      <c r="E211" s="140">
        <v>0</v>
      </c>
      <c r="F211" s="597">
        <f>(C211*E211)/12</f>
        <v>0</v>
      </c>
      <c r="G211" s="579"/>
      <c r="H211" s="584"/>
    </row>
    <row r="212" spans="1:8" x14ac:dyDescent="0.2">
      <c r="A212" s="587" t="s">
        <v>384</v>
      </c>
      <c r="B212" s="139" t="s">
        <v>385</v>
      </c>
      <c r="C212" s="893">
        <v>1</v>
      </c>
      <c r="D212" s="894"/>
      <c r="E212" s="140">
        <v>0</v>
      </c>
      <c r="F212" s="597">
        <f>(C212*E212)/12</f>
        <v>0</v>
      </c>
      <c r="G212" s="579"/>
      <c r="H212" s="584"/>
    </row>
    <row r="213" spans="1:8" x14ac:dyDescent="0.2">
      <c r="A213" s="581" t="s">
        <v>309</v>
      </c>
      <c r="B213" s="139" t="s">
        <v>167</v>
      </c>
      <c r="C213" s="895">
        <f>3*22*12</f>
        <v>792</v>
      </c>
      <c r="D213" s="896"/>
      <c r="E213" s="140">
        <v>0</v>
      </c>
      <c r="F213" s="598">
        <f>(C213*E213)/12</f>
        <v>0</v>
      </c>
      <c r="G213" s="579"/>
      <c r="H213" s="584"/>
    </row>
    <row r="214" spans="1:8" x14ac:dyDescent="0.2">
      <c r="A214" s="886" t="s">
        <v>377</v>
      </c>
      <c r="B214" s="887"/>
      <c r="C214" s="887"/>
      <c r="D214" s="887"/>
      <c r="E214" s="888"/>
      <c r="F214" s="599">
        <f>SUM(F209:F213)</f>
        <v>0</v>
      </c>
      <c r="G214" s="591"/>
      <c r="H214" s="592"/>
    </row>
    <row r="216" spans="1:8" x14ac:dyDescent="0.2">
      <c r="A216" s="741" t="s">
        <v>386</v>
      </c>
      <c r="B216" s="742"/>
      <c r="C216" s="742"/>
      <c r="D216" s="742"/>
      <c r="E216" s="743" t="s">
        <v>770</v>
      </c>
      <c r="F216" s="744" t="s">
        <v>387</v>
      </c>
    </row>
    <row r="217" spans="1:8" x14ac:dyDescent="0.2">
      <c r="A217" s="736" t="s">
        <v>388</v>
      </c>
      <c r="B217" s="737"/>
      <c r="C217" s="737"/>
      <c r="D217" s="737"/>
      <c r="E217" s="738">
        <f>AVERAGE(F158:F172)</f>
        <v>0</v>
      </c>
      <c r="F217" s="739">
        <f>E217*6</f>
        <v>0</v>
      </c>
      <c r="G217" s="711"/>
    </row>
    <row r="218" spans="1:8" x14ac:dyDescent="0.2">
      <c r="A218" s="736" t="s">
        <v>389</v>
      </c>
      <c r="B218" s="737"/>
      <c r="C218" s="737"/>
      <c r="D218" s="737"/>
      <c r="E218" s="740">
        <f>'M. Cal'!F4*'M. Cal'!C9</f>
        <v>0</v>
      </c>
      <c r="F218" s="739">
        <f>E218*6</f>
        <v>0</v>
      </c>
    </row>
    <row r="220" spans="1:8" x14ac:dyDescent="0.2">
      <c r="A220" s="741" t="s">
        <v>390</v>
      </c>
      <c r="B220" s="742"/>
      <c r="C220" s="742"/>
      <c r="D220" s="742"/>
      <c r="E220" s="743" t="s">
        <v>771</v>
      </c>
      <c r="F220" s="744" t="s">
        <v>387</v>
      </c>
    </row>
    <row r="221" spans="1:8" x14ac:dyDescent="0.2">
      <c r="A221" s="736" t="s">
        <v>388</v>
      </c>
      <c r="B221" s="737"/>
      <c r="C221" s="737"/>
      <c r="D221" s="737"/>
      <c r="E221" s="738">
        <f>AVERAGE(F176:F185)</f>
        <v>0</v>
      </c>
      <c r="F221" s="739">
        <f>E221*6</f>
        <v>0</v>
      </c>
    </row>
    <row r="222" spans="1:8" x14ac:dyDescent="0.2">
      <c r="A222" s="736" t="s">
        <v>389</v>
      </c>
      <c r="B222" s="737"/>
      <c r="C222" s="737"/>
      <c r="D222" s="737"/>
      <c r="E222" s="740">
        <f>'M. Cal'!F4*'M. Cal'!C9</f>
        <v>0</v>
      </c>
      <c r="F222" s="739">
        <f>E222*6</f>
        <v>0</v>
      </c>
    </row>
  </sheetData>
  <mergeCells count="50">
    <mergeCell ref="A214:E214"/>
    <mergeCell ref="C208:D208"/>
    <mergeCell ref="C209:D209"/>
    <mergeCell ref="C211:D211"/>
    <mergeCell ref="C212:D212"/>
    <mergeCell ref="C213:D213"/>
    <mergeCell ref="C210:D210"/>
    <mergeCell ref="A205:E205"/>
    <mergeCell ref="A199:F199"/>
    <mergeCell ref="A207:F207"/>
    <mergeCell ref="C200:D200"/>
    <mergeCell ref="A195:E195"/>
    <mergeCell ref="A196:D196"/>
    <mergeCell ref="A197:E197"/>
    <mergeCell ref="A155:F155"/>
    <mergeCell ref="A157:E157"/>
    <mergeCell ref="A173:F173"/>
    <mergeCell ref="A175:E175"/>
    <mergeCell ref="A189:G189"/>
    <mergeCell ref="A186:E186"/>
    <mergeCell ref="B149:D149"/>
    <mergeCell ref="B150:D150"/>
    <mergeCell ref="B151:D151"/>
    <mergeCell ref="B152:D152"/>
    <mergeCell ref="B153:D153"/>
    <mergeCell ref="A142:E142"/>
    <mergeCell ref="A143:E143"/>
    <mergeCell ref="B146:D146"/>
    <mergeCell ref="A145:F145"/>
    <mergeCell ref="B148:D148"/>
    <mergeCell ref="A125:E125"/>
    <mergeCell ref="A127:G127"/>
    <mergeCell ref="A129:E129"/>
    <mergeCell ref="A136:E136"/>
    <mergeCell ref="A141:E141"/>
    <mergeCell ref="A106:E106"/>
    <mergeCell ref="A110:G110"/>
    <mergeCell ref="A112:E112"/>
    <mergeCell ref="A119:E119"/>
    <mergeCell ref="A124:E124"/>
    <mergeCell ref="A68:E68"/>
    <mergeCell ref="A69:E69"/>
    <mergeCell ref="A85:G85"/>
    <mergeCell ref="A104:E104"/>
    <mergeCell ref="A105:D105"/>
    <mergeCell ref="A1:H1"/>
    <mergeCell ref="A37:H37"/>
    <mergeCell ref="A57:E57"/>
    <mergeCell ref="A58:E58"/>
    <mergeCell ref="A60:H60"/>
  </mergeCells>
  <conditionalFormatting sqref="G198:H214 H189:H197">
    <cfRule type="colorScale" priority="3">
      <colorScale>
        <cfvo type="min"/>
        <cfvo type="max"/>
        <color rgb="FF63BE7B"/>
        <color rgb="FFFFEF9C"/>
      </colorScale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46" zoomScaleNormal="100" workbookViewId="0">
      <selection activeCell="G59" sqref="G59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8.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559" t="s">
        <v>729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Cal'!M28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55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Cal'!L28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7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CBT'!C10</f>
        <v>475.66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CBT'!D10</f>
        <v>0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CBT'!E10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CBT'!F10</f>
        <v>20.21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CBT'!G10</f>
        <v>18.600000000000001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CBT'!H10</f>
        <v>0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CBT'!I10</f>
        <v>0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CBT'!J10</f>
        <v>436.74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CBT'!K10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CBT'!L10</f>
        <v>60.08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CBT'!M10</f>
        <v>60.08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53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3.2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672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561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562" t="s">
        <v>509</v>
      </c>
      <c r="B19" s="563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564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Cal'!M29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601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553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4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5">
      <c r="A90" s="560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Cal'!L29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1.7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3" t="str">
        <f>E10</f>
        <v>Servente 40h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CBT'!C11</f>
        <v>578.01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CBT'!D11</f>
        <v>289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CBT'!E11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CBT'!F11</f>
        <v>31.02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CBT'!G11</f>
        <v>24.46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CBT'!H11</f>
        <v>0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CBT'!I11</f>
        <v>0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CBT'!J11</f>
        <v>37.5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CBT'!K11</f>
        <v>35.950000000000003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CBT'!L11</f>
        <v>35.950000000000003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CBT'!M11</f>
        <v>71.900000000000006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49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6.2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Cal'!M30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Cal'!L30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6.75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CBT'!C12</f>
        <v>757.45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CBT'!D12</f>
        <v>0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CBT'!E12</f>
        <v>60.69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CBT'!F12</f>
        <v>44.12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CBT'!G12</f>
        <v>258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CBT'!H12</f>
        <v>0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D160</f>
        <v>0</v>
      </c>
      <c r="D186" s="513">
        <f>'Produt. Postos CBT'!H12</f>
        <v>0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CBT'!J12</f>
        <v>0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CBT'!K12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CBT'!L12</f>
        <v>62.03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CBT'!M12</f>
        <v>62.03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52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5.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Cal'!M31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Cal'!L31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7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CBT'!C13</f>
        <v>567.87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CBT'!D13</f>
        <v>0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CBT'!E13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CBT'!F13</f>
        <v>39.869999999999997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CBT'!G13</f>
        <v>446.83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CBT'!H13</f>
        <v>128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CBT'!I13</f>
        <v>128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CBT'!J13</f>
        <v>45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CBT'!K13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CBT'!L13</f>
        <v>89.12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CBT'!M13</f>
        <v>89.12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55" zoomScaleNormal="100" workbookViewId="0">
      <selection activeCell="I68" sqref="I65:I68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9.2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Cal'!M32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Cal'!L32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C152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CBT'!C14</f>
        <v>432.68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CBT'!D14</f>
        <v>0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CBT'!E14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CBT'!F14</f>
        <v>21.48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CBT'!G14</f>
        <v>75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CBT'!H14</f>
        <v>0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CBT'!I14</f>
        <v>0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CBT'!J14</f>
        <v>30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CBT'!K14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CBT'!L14</f>
        <v>49.56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CBT'!M14</f>
        <v>49.56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49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5.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Cal'!M33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601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Cal'!L33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730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CBT'!C15</f>
        <v>289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CBT'!D15</f>
        <v>21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CBT'!E15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CBT'!F15</f>
        <v>24.4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CBT'!G15</f>
        <v>603.35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CBT'!H15</f>
        <v>261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CBT'!I15</f>
        <v>261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CBT'!J15</f>
        <v>40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CBT'!K15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CBT'!L15</f>
        <v>84.6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CBT'!M15</f>
        <v>84.6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41" zoomScaleNormal="100" workbookViewId="0">
      <selection activeCell="I56" sqref="I56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0.7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Cal'!M35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Cal'!L35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7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730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730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CBT'!C17</f>
        <v>289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CBT'!D17</f>
        <v>21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CBT'!E17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CBT'!F17</f>
        <v>24.4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CBT'!G17</f>
        <v>394.5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CBT'!H17</f>
        <v>471.1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CBT'!I17</f>
        <v>471.1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CBT'!J17</f>
        <v>120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CBT'!K17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CBT'!L17</f>
        <v>84.6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CBT'!M17</f>
        <v>84.6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48" zoomScaleNormal="100" workbookViewId="0">
      <selection activeCell="H61" sqref="H61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10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10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10" ht="15.75" x14ac:dyDescent="0.2">
      <c r="A3" s="936"/>
      <c r="B3" s="936"/>
      <c r="C3" s="936"/>
      <c r="D3" s="936"/>
      <c r="E3" s="936"/>
      <c r="F3" s="392"/>
      <c r="G3" s="392"/>
      <c r="H3" s="392"/>
    </row>
    <row r="4" spans="1:10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10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10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10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10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10" x14ac:dyDescent="0.2">
      <c r="A9" s="905"/>
      <c r="B9" s="905"/>
      <c r="C9" s="905"/>
      <c r="D9" s="905"/>
      <c r="E9" s="905"/>
      <c r="F9" s="392"/>
      <c r="G9" s="392"/>
      <c r="H9" s="392"/>
    </row>
    <row r="10" spans="1:10" ht="60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  <c r="J10" s="300" t="s">
        <v>733</v>
      </c>
    </row>
    <row r="11" spans="1:10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10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10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10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10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10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Cal'!M36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777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Cal'!L36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60.75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730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CBT'!C18</f>
        <v>289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CBT'!D18</f>
        <v>21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CBT'!E18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CBT'!F18</f>
        <v>24.4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CBT'!G18</f>
        <v>613.6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CBT'!H18</f>
        <v>402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CBT'!I18</f>
        <v>402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CBT'!J18</f>
        <v>30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CBT'!K18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CBT'!L18</f>
        <v>84.6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CBT'!M18</f>
        <v>84.6</v>
      </c>
      <c r="E190" s="514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I191"/>
  <sheetViews>
    <sheetView topLeftCell="A37" zoomScaleNormal="100" workbookViewId="0">
      <selection activeCell="A62" sqref="A62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Cal'!D1</f>
        <v>44228</v>
      </c>
      <c r="D6" s="404">
        <f>'M. Cal'!D1</f>
        <v>44228</v>
      </c>
      <c r="E6" s="405">
        <f>'M. Cal'!D1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Cal'!C1</f>
        <v>PR000326/2021</v>
      </c>
      <c r="D7" s="404" t="str">
        <f>'M. Cal'!C1</f>
        <v>PR000326/2021</v>
      </c>
      <c r="E7" s="402" t="str">
        <f>'M. Cal'!C1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57.75" customHeight="1" x14ac:dyDescent="0.2">
      <c r="A10" s="409" t="s">
        <v>494</v>
      </c>
      <c r="B10" s="410" t="s">
        <v>669</v>
      </c>
      <c r="C10" s="410" t="s">
        <v>708</v>
      </c>
      <c r="D10" s="410" t="s">
        <v>671</v>
      </c>
      <c r="E10" s="411" t="s">
        <v>709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710</v>
      </c>
      <c r="B13" s="416"/>
      <c r="C13" s="417">
        <f>E5</f>
        <v>0</v>
      </c>
      <c r="D13" s="417">
        <f>D5</f>
        <v>0</v>
      </c>
      <c r="E13" s="418">
        <f>E5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Cal'!M37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39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553" t="s">
        <v>533</v>
      </c>
      <c r="B44" s="438">
        <f>'M. Cal'!I7</f>
        <v>0</v>
      </c>
      <c r="C44" s="417">
        <f>B44</f>
        <v>0</v>
      </c>
      <c r="D44" s="417">
        <f>B44</f>
        <v>0</v>
      </c>
      <c r="E44" s="418">
        <f>B44</f>
        <v>0</v>
      </c>
      <c r="F44" s="392"/>
      <c r="G44" s="392"/>
      <c r="H44" s="392"/>
    </row>
    <row r="45" spans="1:8" ht="15.75" customHeight="1" x14ac:dyDescent="0.2">
      <c r="A45" s="554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554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7.75" x14ac:dyDescent="0.2">
      <c r="A61" s="817" t="s">
        <v>779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Insumos!G124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555"/>
      <c r="C87" s="417">
        <f>Insumos!G58</f>
        <v>0</v>
      </c>
      <c r="D87" s="417"/>
      <c r="E87" s="418">
        <f>Insumos!G69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Insumos!G106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Insumos!G143</f>
        <v>0</v>
      </c>
      <c r="D89" s="417"/>
      <c r="E89" s="418">
        <f>Insumos!G142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556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f>'M. Cal'!I10</f>
        <v>0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Cal'!L37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4" customHeight="1" x14ac:dyDescent="0.2">
      <c r="A105" s="910" t="s">
        <v>582</v>
      </c>
      <c r="B105" s="910"/>
      <c r="C105" s="472" t="str">
        <f>C10</f>
        <v>Servente 30h</v>
      </c>
      <c r="D105" s="472" t="str">
        <f>D10</f>
        <v>Servente 40h - limpeza de esquadrias com Risco</v>
      </c>
      <c r="E105" s="473" t="str">
        <f>E10</f>
        <v>Servente 30h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44" t="s">
        <v>608</v>
      </c>
      <c r="B114" s="944"/>
      <c r="C114" s="462">
        <f>SUM(C112:C113)</f>
        <v>0</v>
      </c>
      <c r="D114" s="462">
        <f>SUM(D112:D113)</f>
        <v>0</v>
      </c>
      <c r="E114" s="520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722</v>
      </c>
      <c r="B119" s="490">
        <f>'Produt. Postos CBT'!C24</f>
        <v>1.1111109999999999E-3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CBT'!C25</f>
        <v>2.314814583333333E-5</v>
      </c>
      <c r="C120" s="491">
        <f>'Encar PGR e CTB'!E112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723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722</v>
      </c>
      <c r="B122" s="490">
        <f>'Produt. Postos CBT'!C24</f>
        <v>1.1111109999999999E-3</v>
      </c>
      <c r="C122" s="491"/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CBT'!C25</f>
        <v>2.314814583333333E-5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723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722</v>
      </c>
      <c r="B128" s="496">
        <f>'Produt. Postos CBT'!$D$24</f>
        <v>6.6666700000000002E-4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CBT'!$D$25</f>
        <v>1.3888895833333334E-5</v>
      </c>
      <c r="C129" s="491">
        <f>'Encar PGR e CTB'!E112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722</v>
      </c>
      <c r="B131" s="496">
        <f>B128</f>
        <v>6.6666700000000002E-4</v>
      </c>
      <c r="C131" s="491"/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1.3888895833333334E-5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723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4.25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722</v>
      </c>
      <c r="B137" s="496">
        <f>'Produt. Postos CBT'!$E$24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CBT'!$E$25</f>
        <v>1.3888895833333334E-5</v>
      </c>
      <c r="C138" s="491">
        <f>'Encar PGR e CTB'!E112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722</v>
      </c>
      <c r="B140" s="496">
        <f>B137</f>
        <v>6.6666700000000002E-4</v>
      </c>
      <c r="C140" s="491"/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1.3888895833333334E-5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723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722</v>
      </c>
      <c r="B146" s="496">
        <f>'Produt. Postos CBT'!F24</f>
        <v>4.0000000000000001E-3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CBT'!F25</f>
        <v>8.3333333333333331E-5</v>
      </c>
      <c r="C147" s="491">
        <f>'Encar PGR e CTB'!E112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4.25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CBT'!G24</f>
        <v>5.5555600000000002E-4</v>
      </c>
      <c r="C152" s="491">
        <f>C146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CBT'!G25</f>
        <v>1.1574083333333333E-5</v>
      </c>
      <c r="C153" s="491">
        <f>'Encar PGR e CTB'!E112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tr">
        <f>'CRB 40h'!A155</f>
        <v>AE-2 Área Externa áreas verdes - coleta de detritos em pátios e áreas verdes com frequência diária</v>
      </c>
      <c r="B155" s="496">
        <f>'Produt. Postos CBT'!H24</f>
        <v>1.0000000000000001E-5</v>
      </c>
      <c r="C155" s="491">
        <f>C152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CBT'!H25</f>
        <v>2.0830000000000001E-7</v>
      </c>
      <c r="C156" s="491">
        <f>'Encar PGR e CTB'!E112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tr">
        <f>'CRB 40h'!A158</f>
        <v>AE-2.1 Área Externa áreas verdes com média frequência - mensal</v>
      </c>
      <c r="B158" s="496">
        <f>'Produt. Postos CBT'!I24</f>
        <v>3.7037000000000002E-4</v>
      </c>
      <c r="C158" s="491">
        <f>C152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CBT'!I25</f>
        <v>7.7160416666666671E-6</v>
      </c>
      <c r="C159" s="491">
        <f>'Encar PGR e CTB'!E112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726</v>
      </c>
      <c r="B160" s="505"/>
      <c r="C160" s="502"/>
      <c r="D160" s="503">
        <f>SUM(D158:D159)</f>
        <v>0</v>
      </c>
      <c r="E160" s="504"/>
    </row>
    <row r="161" spans="1:7" x14ac:dyDescent="0.2">
      <c r="A161" s="489" t="s">
        <v>693</v>
      </c>
      <c r="B161" s="496">
        <f>'Produt. Postos CBT'!J24</f>
        <v>1.11111E-4</v>
      </c>
      <c r="C161" s="491">
        <f>C158</f>
        <v>0</v>
      </c>
      <c r="D161" s="491">
        <f>C161*B161</f>
        <v>0</v>
      </c>
      <c r="E161" s="491">
        <f>D161*C161</f>
        <v>0</v>
      </c>
    </row>
    <row r="162" spans="1:7" x14ac:dyDescent="0.2">
      <c r="A162" s="492" t="s">
        <v>680</v>
      </c>
      <c r="B162" s="496">
        <f>'Produt. Postos CBT'!J25</f>
        <v>2.3148124999999999E-6</v>
      </c>
      <c r="C162" s="491">
        <f>'Encar PGR e CTB'!E112</f>
        <v>0</v>
      </c>
      <c r="D162" s="491">
        <f>C162*B162</f>
        <v>0</v>
      </c>
      <c r="E162" s="491">
        <f>D162*C162</f>
        <v>0</v>
      </c>
    </row>
    <row r="163" spans="1:7" x14ac:dyDescent="0.2">
      <c r="A163" s="500" t="s">
        <v>694</v>
      </c>
      <c r="B163" s="505"/>
      <c r="C163" s="502"/>
      <c r="D163" s="503">
        <f>SUM(D161:D162)</f>
        <v>0</v>
      </c>
      <c r="E163" s="504"/>
    </row>
    <row r="164" spans="1:7" x14ac:dyDescent="0.2">
      <c r="A164" s="482"/>
      <c r="B164" s="498"/>
      <c r="C164" s="498"/>
      <c r="D164" s="498"/>
      <c r="E164" s="498"/>
    </row>
    <row r="165" spans="1:7" ht="14.25" customHeight="1" x14ac:dyDescent="0.2">
      <c r="A165" s="940" t="s">
        <v>695</v>
      </c>
      <c r="B165" s="940"/>
      <c r="C165" s="940"/>
      <c r="D165" s="940"/>
      <c r="E165" s="940"/>
    </row>
    <row r="166" spans="1:7" ht="38.25" x14ac:dyDescent="0.2">
      <c r="A166" s="487" t="s">
        <v>675</v>
      </c>
      <c r="B166" s="488" t="s">
        <v>676</v>
      </c>
      <c r="C166" s="488" t="s">
        <v>677</v>
      </c>
      <c r="D166" s="488" t="s">
        <v>678</v>
      </c>
      <c r="E166" s="488" t="s">
        <v>678</v>
      </c>
    </row>
    <row r="167" spans="1:7" x14ac:dyDescent="0.2">
      <c r="A167" s="506" t="s">
        <v>696</v>
      </c>
      <c r="B167" s="496">
        <f>'Produt. Postos CBT'!K24</f>
        <v>4.8611111111111115E-5</v>
      </c>
      <c r="C167" s="491">
        <f>D114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CBT'!K25</f>
        <v>1.2152777777777779E-5</v>
      </c>
      <c r="C168" s="491">
        <f>'Encar PGR e CTB'!E112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697</v>
      </c>
      <c r="B169" s="508"/>
      <c r="C169" s="509"/>
      <c r="D169" s="510">
        <f>SUM(D167:D168)</f>
        <v>0</v>
      </c>
      <c r="E169" s="511"/>
    </row>
    <row r="170" spans="1:7" x14ac:dyDescent="0.2">
      <c r="A170" s="506" t="s">
        <v>698</v>
      </c>
      <c r="B170" s="496">
        <f>'Produt. Postos CBT'!L24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CBT'!L25</f>
        <v>5.1169590643274858E-6</v>
      </c>
      <c r="C171" s="491">
        <f>'Encar PGR e CTB'!E112</f>
        <v>0</v>
      </c>
      <c r="D171" s="491">
        <f>C171*B171</f>
        <v>0</v>
      </c>
      <c r="E171" s="491">
        <f>D171*C171</f>
        <v>0</v>
      </c>
    </row>
    <row r="172" spans="1:7" x14ac:dyDescent="0.2">
      <c r="A172" s="507" t="s">
        <v>699</v>
      </c>
      <c r="B172" s="508"/>
      <c r="C172" s="509"/>
      <c r="D172" s="510">
        <f>SUM(D170:D171)</f>
        <v>0</v>
      </c>
      <c r="E172" s="511"/>
    </row>
    <row r="173" spans="1:7" x14ac:dyDescent="0.2">
      <c r="A173" s="489" t="s">
        <v>700</v>
      </c>
      <c r="B173" s="496">
        <f>'Produt. Postos CBT'!M24</f>
        <v>2.4561403508771931E-4</v>
      </c>
      <c r="C173" s="491">
        <f>C114</f>
        <v>0</v>
      </c>
      <c r="D173" s="491">
        <f>C173*B173</f>
        <v>0</v>
      </c>
      <c r="E173" s="491">
        <f>D173*C173</f>
        <v>0</v>
      </c>
    </row>
    <row r="174" spans="1:7" x14ac:dyDescent="0.2">
      <c r="A174" s="492" t="s">
        <v>680</v>
      </c>
      <c r="B174" s="496">
        <f>'Produt. Postos CBT'!M25</f>
        <v>5.1169590643274858E-6</v>
      </c>
      <c r="C174" s="491">
        <f>'Encar PGR e CTB'!E112</f>
        <v>0</v>
      </c>
      <c r="D174" s="491">
        <f>C174*B174</f>
        <v>0</v>
      </c>
      <c r="E174" s="491">
        <f>D174*C174</f>
        <v>0</v>
      </c>
      <c r="G174" s="512"/>
    </row>
    <row r="175" spans="1:7" x14ac:dyDescent="0.2">
      <c r="A175" s="507" t="s">
        <v>701</v>
      </c>
      <c r="B175" s="508"/>
      <c r="C175" s="509"/>
      <c r="D175" s="510">
        <f>SUM(D173:D174)</f>
        <v>0</v>
      </c>
      <c r="E175" s="511"/>
    </row>
    <row r="176" spans="1:7" ht="14.25" customHeight="1" x14ac:dyDescent="0.2"/>
    <row r="178" spans="1:5" ht="27.75" customHeight="1" x14ac:dyDescent="0.2">
      <c r="A178" s="941" t="s">
        <v>712</v>
      </c>
      <c r="B178" s="941"/>
      <c r="C178" s="941"/>
      <c r="D178" s="941"/>
      <c r="E178" s="941"/>
    </row>
    <row r="179" spans="1:5" ht="25.5" customHeight="1" x14ac:dyDescent="0.2">
      <c r="A179" s="942" t="s">
        <v>703</v>
      </c>
      <c r="B179" s="942"/>
      <c r="C179" s="734" t="s">
        <v>704</v>
      </c>
      <c r="D179" s="734" t="s">
        <v>705</v>
      </c>
      <c r="E179" s="734" t="s">
        <v>706</v>
      </c>
    </row>
    <row r="180" spans="1:5" x14ac:dyDescent="0.2">
      <c r="A180" s="943" t="str">
        <f>A117</f>
        <v>AI-1 Área Interna pisos frios</v>
      </c>
      <c r="B180" s="943"/>
      <c r="C180" s="1">
        <f>D121</f>
        <v>0</v>
      </c>
      <c r="D180" s="513">
        <f>'Produt. Postos CBT'!C19</f>
        <v>289</v>
      </c>
      <c r="E180" s="514">
        <f t="shared" ref="E180:E190" si="5">C180*D180</f>
        <v>0</v>
      </c>
    </row>
    <row r="181" spans="1:5" x14ac:dyDescent="0.2">
      <c r="A181" s="943" t="str">
        <f>A126</f>
        <v>AI-2 Área interna (Almoxarifado, Galpões, arquivos )</v>
      </c>
      <c r="B181" s="943"/>
      <c r="C181" s="1">
        <f>D130</f>
        <v>0</v>
      </c>
      <c r="D181" s="513">
        <f>'Produt. Postos CBT'!D19</f>
        <v>21</v>
      </c>
      <c r="E181" s="514">
        <f t="shared" si="5"/>
        <v>0</v>
      </c>
    </row>
    <row r="182" spans="1:5" x14ac:dyDescent="0.2">
      <c r="A182" s="943" t="str">
        <f>A135</f>
        <v>AI-3 Área interna Espaços Livres (saguão, hall, salão)</v>
      </c>
      <c r="B182" s="943"/>
      <c r="C182" s="1">
        <f>D139</f>
        <v>0</v>
      </c>
      <c r="D182" s="513">
        <f>'Produt. Postos CBT'!E19</f>
        <v>0</v>
      </c>
      <c r="E182" s="514">
        <f t="shared" si="5"/>
        <v>0</v>
      </c>
    </row>
    <row r="183" spans="1:5" x14ac:dyDescent="0.2">
      <c r="A183" s="943" t="str">
        <f>A144</f>
        <v>AI-4 Área interna  Banheiros</v>
      </c>
      <c r="B183" s="943"/>
      <c r="C183" s="1">
        <f>$D$148</f>
        <v>0</v>
      </c>
      <c r="D183" s="513">
        <f>'Produt. Postos CBT'!F19</f>
        <v>24.4</v>
      </c>
      <c r="E183" s="514">
        <f t="shared" si="5"/>
        <v>0</v>
      </c>
    </row>
    <row r="184" spans="1:5" x14ac:dyDescent="0.2">
      <c r="A184" s="943" t="str">
        <f>A152</f>
        <v>AE-1 Área Externa pisos adjacentes às edificações</v>
      </c>
      <c r="B184" s="943"/>
      <c r="C184" s="1">
        <f>$D$154</f>
        <v>0</v>
      </c>
      <c r="D184" s="513">
        <f>'Produt. Postos CBT'!G19</f>
        <v>505.1</v>
      </c>
      <c r="E184" s="514">
        <f t="shared" si="5"/>
        <v>0</v>
      </c>
    </row>
    <row r="185" spans="1:5" x14ac:dyDescent="0.2">
      <c r="A185" s="943" t="str">
        <f>A155</f>
        <v>AE-2 Área Externa áreas verdes - coleta de detritos em pátios e áreas verdes com frequência diária</v>
      </c>
      <c r="B185" s="943"/>
      <c r="C185" s="1">
        <f>D157</f>
        <v>0</v>
      </c>
      <c r="D185" s="513">
        <f>'Produt. Postos CBT'!H19</f>
        <v>210.5</v>
      </c>
      <c r="E185" s="514">
        <f t="shared" si="5"/>
        <v>0</v>
      </c>
    </row>
    <row r="186" spans="1:5" x14ac:dyDescent="0.2">
      <c r="A186" s="943" t="str">
        <f>A158</f>
        <v>AE-2.1 Área Externa áreas verdes com média frequência - mensal</v>
      </c>
      <c r="B186" s="943"/>
      <c r="C186" s="1">
        <f>$D$160</f>
        <v>0</v>
      </c>
      <c r="D186" s="513">
        <f>'Produt. Postos CBT'!I19</f>
        <v>210.5</v>
      </c>
      <c r="E186" s="514">
        <f t="shared" si="5"/>
        <v>0</v>
      </c>
    </row>
    <row r="187" spans="1:5" x14ac:dyDescent="0.2">
      <c r="A187" s="943" t="str">
        <f>A161</f>
        <v>AE-3 Área Externa arruamento, passeios</v>
      </c>
      <c r="B187" s="943"/>
      <c r="C187" s="1">
        <f>$D$163</f>
        <v>0</v>
      </c>
      <c r="D187" s="513">
        <f>'Produt. Postos CBT'!J19</f>
        <v>45</v>
      </c>
      <c r="E187" s="514">
        <f t="shared" si="5"/>
        <v>0</v>
      </c>
    </row>
    <row r="188" spans="1:5" x14ac:dyDescent="0.2">
      <c r="A188" s="943" t="str">
        <f>A167</f>
        <v xml:space="preserve">EER Área de Esquadria Face Externa COM exposição a risco </v>
      </c>
      <c r="B188" s="943"/>
      <c r="C188" s="1">
        <f>$D$169</f>
        <v>0</v>
      </c>
      <c r="D188" s="513">
        <f>'Produt. Postos CBT'!K19</f>
        <v>0</v>
      </c>
      <c r="E188" s="514">
        <f t="shared" si="5"/>
        <v>0</v>
      </c>
    </row>
    <row r="189" spans="1:5" x14ac:dyDescent="0.2">
      <c r="A189" s="943" t="str">
        <f>A170</f>
        <v>EE Área de Esquadria Face Externa SEM exposição a risco</v>
      </c>
      <c r="B189" s="943"/>
      <c r="C189" s="1">
        <f>$D$172</f>
        <v>0</v>
      </c>
      <c r="D189" s="513">
        <f>'Produt. Postos CBT'!L19</f>
        <v>84.6</v>
      </c>
      <c r="E189" s="514">
        <f t="shared" si="5"/>
        <v>0</v>
      </c>
    </row>
    <row r="190" spans="1:5" x14ac:dyDescent="0.2">
      <c r="A190" s="943" t="str">
        <f>A173</f>
        <v>EI Área de Esquadria Face Interna</v>
      </c>
      <c r="B190" s="943"/>
      <c r="C190" s="1">
        <f>$D$175</f>
        <v>0</v>
      </c>
      <c r="D190" s="513">
        <f>'Produt. Postos CBT'!M19</f>
        <v>84.6</v>
      </c>
      <c r="E190" s="515">
        <f t="shared" si="5"/>
        <v>0</v>
      </c>
    </row>
    <row r="191" spans="1:5" x14ac:dyDescent="0.2">
      <c r="E191" s="516">
        <f>SUM(E180:E190)</f>
        <v>0</v>
      </c>
    </row>
  </sheetData>
  <mergeCells count="46">
    <mergeCell ref="A190:B190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44:E144"/>
    <mergeCell ref="A150:E150"/>
    <mergeCell ref="A165:E165"/>
    <mergeCell ref="A178:E178"/>
    <mergeCell ref="A179:B179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K49"/>
  <sheetViews>
    <sheetView topLeftCell="A37" zoomScale="90" zoomScaleNormal="90" workbookViewId="0">
      <pane xSplit="1" topLeftCell="B1" activePane="topRight" state="frozen"/>
      <selection pane="topRight" activeCell="K42" sqref="K42"/>
    </sheetView>
  </sheetViews>
  <sheetFormatPr defaultColWidth="8.625" defaultRowHeight="14.25" x14ac:dyDescent="0.2"/>
  <cols>
    <col min="1" max="1" width="29.25" customWidth="1"/>
    <col min="2" max="2" width="10.375" customWidth="1"/>
    <col min="3" max="3" width="12.75" customWidth="1"/>
    <col min="4" max="4" width="13.375" bestFit="1" customWidth="1"/>
    <col min="5" max="5" width="10.5" customWidth="1"/>
    <col min="6" max="6" width="12.25" bestFit="1" customWidth="1"/>
    <col min="7" max="7" width="0.75" customWidth="1"/>
    <col min="8" max="8" width="12.125" customWidth="1"/>
    <col min="9" max="9" width="11.5" customWidth="1"/>
    <col min="10" max="10" width="15.625" customWidth="1"/>
    <col min="11" max="11" width="17.625" customWidth="1"/>
  </cols>
  <sheetData>
    <row r="1" spans="1:9" x14ac:dyDescent="0.2">
      <c r="A1" s="653"/>
      <c r="B1" s="897" t="s">
        <v>391</v>
      </c>
      <c r="C1" s="898"/>
      <c r="D1" s="899"/>
      <c r="E1" s="705" t="s">
        <v>392</v>
      </c>
      <c r="F1" s="654" t="s">
        <v>393</v>
      </c>
      <c r="G1" s="660"/>
      <c r="H1" s="900" t="s">
        <v>394</v>
      </c>
      <c r="I1" s="900"/>
    </row>
    <row r="2" spans="1:9" ht="128.25" customHeight="1" x14ac:dyDescent="0.2">
      <c r="A2" s="194" t="s">
        <v>395</v>
      </c>
      <c r="B2" s="632" t="s">
        <v>396</v>
      </c>
      <c r="C2" s="633" t="s">
        <v>397</v>
      </c>
      <c r="D2" s="631" t="s">
        <v>398</v>
      </c>
      <c r="E2" s="603" t="s">
        <v>399</v>
      </c>
      <c r="F2" s="656" t="s">
        <v>400</v>
      </c>
      <c r="G2" s="663"/>
      <c r="H2" s="657" t="s">
        <v>401</v>
      </c>
      <c r="I2" s="605" t="s">
        <v>402</v>
      </c>
    </row>
    <row r="3" spans="1:9" ht="14.25" customHeight="1" x14ac:dyDescent="0.2">
      <c r="A3" s="195" t="s">
        <v>8</v>
      </c>
      <c r="B3" s="634">
        <v>0</v>
      </c>
      <c r="C3" s="634">
        <f>'PGR 40h'!E184</f>
        <v>0</v>
      </c>
      <c r="D3" s="635">
        <f>'PGR 40h'!E187</f>
        <v>0</v>
      </c>
      <c r="E3" s="196"/>
      <c r="F3" s="646">
        <f>'Produt. Postos PGR'!X21*'Carregador PGR e CTB'!D121</f>
        <v>0</v>
      </c>
      <c r="G3" s="661"/>
      <c r="H3" s="197">
        <f t="shared" ref="H3:H20" si="0">D3+E3+F3</f>
        <v>0</v>
      </c>
      <c r="I3" s="606">
        <f>H3*12</f>
        <v>0</v>
      </c>
    </row>
    <row r="4" spans="1:9" x14ac:dyDescent="0.2">
      <c r="A4" s="198" t="s">
        <v>403</v>
      </c>
      <c r="B4" s="634">
        <v>0</v>
      </c>
      <c r="C4" s="634">
        <f>'PGR 40h'!E198</f>
        <v>0</v>
      </c>
      <c r="D4" s="636">
        <f>'PGR 40h'!E201</f>
        <v>0</v>
      </c>
      <c r="E4" s="196">
        <f>(2*'PGR 40h'!E114)+(1*'PGR 30h'!E114)</f>
        <v>0</v>
      </c>
      <c r="F4" s="646">
        <v>0</v>
      </c>
      <c r="G4" s="661"/>
      <c r="H4" s="197">
        <f t="shared" si="0"/>
        <v>0</v>
      </c>
      <c r="I4" s="606">
        <f t="shared" ref="I4:I20" si="1">H4*12</f>
        <v>0</v>
      </c>
    </row>
    <row r="5" spans="1:9" x14ac:dyDescent="0.2">
      <c r="A5" s="199" t="s">
        <v>13</v>
      </c>
      <c r="B5" s="634">
        <v>0</v>
      </c>
      <c r="C5" s="637">
        <f>'PGR 30h'!E184</f>
        <v>0</v>
      </c>
      <c r="D5" s="636">
        <f>'PGR 30h'!E187</f>
        <v>0</v>
      </c>
      <c r="E5" s="200"/>
      <c r="F5" s="647">
        <v>0</v>
      </c>
      <c r="G5" s="661"/>
      <c r="H5" s="197">
        <f t="shared" si="0"/>
        <v>0</v>
      </c>
      <c r="I5" s="606">
        <f t="shared" si="1"/>
        <v>0</v>
      </c>
    </row>
    <row r="6" spans="1:9" x14ac:dyDescent="0.2">
      <c r="A6" s="199" t="s">
        <v>15</v>
      </c>
      <c r="B6" s="634">
        <v>0</v>
      </c>
      <c r="C6" s="638">
        <f>'Guar 40h'!E184</f>
        <v>0</v>
      </c>
      <c r="D6" s="636">
        <f>'Guar 40h'!E187</f>
        <v>0</v>
      </c>
      <c r="E6" s="200">
        <f>'Produt. Postos PGR'!T6*'Guar 40h'!E114</f>
        <v>0</v>
      </c>
      <c r="F6" s="647">
        <v>0</v>
      </c>
      <c r="G6" s="661"/>
      <c r="H6" s="197">
        <f t="shared" si="0"/>
        <v>0</v>
      </c>
      <c r="I6" s="606">
        <f t="shared" si="1"/>
        <v>0</v>
      </c>
    </row>
    <row r="7" spans="1:9" x14ac:dyDescent="0.2">
      <c r="A7" s="199" t="s">
        <v>19</v>
      </c>
      <c r="B7" s="634">
        <v>0</v>
      </c>
      <c r="C7" s="638">
        <f>'Irat 40h'!E184</f>
        <v>0</v>
      </c>
      <c r="D7" s="636">
        <f>'Irat 40h'!E187</f>
        <v>0</v>
      </c>
      <c r="E7" s="200">
        <f>'Produt. Postos PGR'!T7*'Irat 40h'!E114</f>
        <v>0</v>
      </c>
      <c r="F7" s="647">
        <v>0</v>
      </c>
      <c r="G7" s="661"/>
      <c r="H7" s="197">
        <f t="shared" si="0"/>
        <v>0</v>
      </c>
      <c r="I7" s="606">
        <f t="shared" si="1"/>
        <v>0</v>
      </c>
    </row>
    <row r="8" spans="1:9" x14ac:dyDescent="0.2">
      <c r="A8" s="199" t="s">
        <v>22</v>
      </c>
      <c r="B8" s="634">
        <v>0</v>
      </c>
      <c r="C8" s="638">
        <f>'Jag 30h'!E184</f>
        <v>0</v>
      </c>
      <c r="D8" s="636">
        <f>'Jag 30h'!E187</f>
        <v>0</v>
      </c>
      <c r="E8" s="200">
        <f>'Produt. Postos PGR'!T8*'Jag 30h'!E114</f>
        <v>0</v>
      </c>
      <c r="F8" s="647">
        <v>0</v>
      </c>
      <c r="G8" s="661"/>
      <c r="H8" s="197">
        <f t="shared" si="0"/>
        <v>0</v>
      </c>
      <c r="I8" s="606">
        <f t="shared" si="1"/>
        <v>0</v>
      </c>
    </row>
    <row r="9" spans="1:9" x14ac:dyDescent="0.2">
      <c r="A9" s="199" t="s">
        <v>25</v>
      </c>
      <c r="B9" s="634">
        <v>0</v>
      </c>
      <c r="C9" s="638">
        <f>'Laran 30h'!E184</f>
        <v>0</v>
      </c>
      <c r="D9" s="636">
        <f>'Laran 30h'!E187</f>
        <v>0</v>
      </c>
      <c r="E9" s="200"/>
      <c r="F9" s="647">
        <v>0</v>
      </c>
      <c r="G9" s="661"/>
      <c r="H9" s="197">
        <f t="shared" si="0"/>
        <v>0</v>
      </c>
      <c r="I9" s="606">
        <f t="shared" si="1"/>
        <v>0</v>
      </c>
    </row>
    <row r="10" spans="1:9" x14ac:dyDescent="0.2">
      <c r="A10" s="199" t="s">
        <v>30</v>
      </c>
      <c r="B10" s="634">
        <v>0</v>
      </c>
      <c r="C10" s="638">
        <f>'T. Borba 40h'!E184</f>
        <v>0</v>
      </c>
      <c r="D10" s="636">
        <f>'T. Borba 40h'!E187</f>
        <v>0</v>
      </c>
      <c r="E10" s="200"/>
      <c r="F10" s="647">
        <v>0</v>
      </c>
      <c r="G10" s="661"/>
      <c r="H10" s="197">
        <f t="shared" si="0"/>
        <v>0</v>
      </c>
      <c r="I10" s="606">
        <f t="shared" si="1"/>
        <v>0</v>
      </c>
    </row>
    <row r="11" spans="1:9" x14ac:dyDescent="0.2">
      <c r="A11" s="199" t="s">
        <v>32</v>
      </c>
      <c r="B11" s="634">
        <v>0</v>
      </c>
      <c r="C11" s="638">
        <f>'U. Vit 40h'!E184</f>
        <v>0</v>
      </c>
      <c r="D11" s="636">
        <f>'U. Vit 40h'!E187</f>
        <v>0</v>
      </c>
      <c r="E11" s="200">
        <f>'Produt. Postos PGR'!T11*'U. Vit 40h'!E114</f>
        <v>0</v>
      </c>
      <c r="F11" s="647">
        <v>0</v>
      </c>
      <c r="G11" s="661"/>
      <c r="H11" s="197">
        <f t="shared" si="0"/>
        <v>0</v>
      </c>
      <c r="I11" s="606">
        <f t="shared" si="1"/>
        <v>0</v>
      </c>
    </row>
    <row r="12" spans="1:9" x14ac:dyDescent="0.2">
      <c r="A12" s="199" t="s">
        <v>36</v>
      </c>
      <c r="B12" s="634">
        <v>0</v>
      </c>
      <c r="C12" s="638">
        <f>'Cast 40h'!E184</f>
        <v>0</v>
      </c>
      <c r="D12" s="636">
        <f>'Cast 40h'!E187</f>
        <v>0</v>
      </c>
      <c r="E12" s="200">
        <f>'Produt. Postos PGR'!T12*'Cast 40h'!E114</f>
        <v>0</v>
      </c>
      <c r="F12" s="647">
        <v>0</v>
      </c>
      <c r="G12" s="661"/>
      <c r="H12" s="197">
        <f t="shared" si="0"/>
        <v>0</v>
      </c>
      <c r="I12" s="606">
        <f t="shared" si="1"/>
        <v>0</v>
      </c>
    </row>
    <row r="13" spans="1:9" x14ac:dyDescent="0.2">
      <c r="A13" s="199" t="s">
        <v>43</v>
      </c>
      <c r="B13" s="634">
        <v>0</v>
      </c>
      <c r="C13" s="638">
        <f>'Ibai 40h'!E184</f>
        <v>0</v>
      </c>
      <c r="D13" s="636">
        <f>'Ibai 40h'!E187</f>
        <v>0</v>
      </c>
      <c r="E13" s="200"/>
      <c r="F13" s="647">
        <v>0</v>
      </c>
      <c r="G13" s="661"/>
      <c r="H13" s="197">
        <f t="shared" si="0"/>
        <v>0</v>
      </c>
      <c r="I13" s="606">
        <f t="shared" si="1"/>
        <v>0</v>
      </c>
    </row>
    <row r="14" spans="1:9" x14ac:dyDescent="0.2">
      <c r="A14" s="199" t="s">
        <v>49</v>
      </c>
      <c r="B14" s="634">
        <v>0</v>
      </c>
      <c r="C14" s="638">
        <f>'Pit 30h'!E184</f>
        <v>0</v>
      </c>
      <c r="D14" s="707">
        <f>'Pit 30h'!E187</f>
        <v>0</v>
      </c>
      <c r="E14" s="200"/>
      <c r="F14" s="647">
        <v>0</v>
      </c>
      <c r="G14" s="661"/>
      <c r="H14" s="197">
        <f t="shared" si="0"/>
        <v>0</v>
      </c>
      <c r="I14" s="606">
        <f t="shared" si="1"/>
        <v>0</v>
      </c>
    </row>
    <row r="15" spans="1:9" x14ac:dyDescent="0.2">
      <c r="A15" s="199" t="s">
        <v>51</v>
      </c>
      <c r="B15" s="634">
        <v>0</v>
      </c>
      <c r="C15" s="708">
        <f>'Arap 30h'!E184</f>
        <v>0</v>
      </c>
      <c r="D15" s="638">
        <f>'Arap 30h'!E187</f>
        <v>0</v>
      </c>
      <c r="E15" s="709"/>
      <c r="F15" s="647">
        <v>0</v>
      </c>
      <c r="G15" s="661"/>
      <c r="H15" s="197">
        <f t="shared" si="0"/>
        <v>0</v>
      </c>
      <c r="I15" s="606">
        <f t="shared" si="1"/>
        <v>0</v>
      </c>
    </row>
    <row r="16" spans="1:9" x14ac:dyDescent="0.2">
      <c r="A16" s="199" t="s">
        <v>53</v>
      </c>
      <c r="B16" s="634">
        <v>0</v>
      </c>
      <c r="C16" s="638">
        <f>'Imb 30h'!E184</f>
        <v>0</v>
      </c>
      <c r="D16" s="635">
        <f>'Imb 30h'!E187</f>
        <v>0</v>
      </c>
      <c r="E16" s="200"/>
      <c r="F16" s="647">
        <v>0</v>
      </c>
      <c r="G16" s="661"/>
      <c r="H16" s="197">
        <f t="shared" si="0"/>
        <v>0</v>
      </c>
      <c r="I16" s="606">
        <f t="shared" si="1"/>
        <v>0</v>
      </c>
    </row>
    <row r="17" spans="1:11" x14ac:dyDescent="0.2">
      <c r="A17" s="199" t="s">
        <v>55</v>
      </c>
      <c r="B17" s="634">
        <v>0</v>
      </c>
      <c r="C17" s="638">
        <f>'Prud 30h'!E184</f>
        <v>0</v>
      </c>
      <c r="D17" s="636">
        <f>'Prud 30h'!E187</f>
        <v>0</v>
      </c>
      <c r="E17" s="200"/>
      <c r="F17" s="647">
        <v>0</v>
      </c>
      <c r="G17" s="661"/>
      <c r="H17" s="197">
        <f t="shared" si="0"/>
        <v>0</v>
      </c>
      <c r="I17" s="606">
        <f t="shared" si="1"/>
        <v>0</v>
      </c>
    </row>
    <row r="18" spans="1:11" x14ac:dyDescent="0.2">
      <c r="A18" s="199" t="s">
        <v>58</v>
      </c>
      <c r="B18" s="634">
        <v>0</v>
      </c>
      <c r="C18" s="638">
        <f>'Pinhão 30h'!E184</f>
        <v>0</v>
      </c>
      <c r="D18" s="636">
        <f>'Pinhão 30h'!E187</f>
        <v>0</v>
      </c>
      <c r="E18" s="200"/>
      <c r="F18" s="647">
        <v>0</v>
      </c>
      <c r="G18" s="661"/>
      <c r="H18" s="197">
        <f t="shared" si="0"/>
        <v>0</v>
      </c>
      <c r="I18" s="606">
        <f t="shared" si="1"/>
        <v>0</v>
      </c>
    </row>
    <row r="19" spans="1:11" x14ac:dyDescent="0.2">
      <c r="A19" s="199" t="s">
        <v>59</v>
      </c>
      <c r="B19" s="634">
        <v>0</v>
      </c>
      <c r="C19" s="638">
        <f>'Palm 30h'!E184</f>
        <v>0</v>
      </c>
      <c r="D19" s="636">
        <f>'Palm 30h'!E187</f>
        <v>0</v>
      </c>
      <c r="E19" s="200"/>
      <c r="F19" s="647">
        <v>0</v>
      </c>
      <c r="G19" s="661"/>
      <c r="H19" s="197">
        <f t="shared" si="0"/>
        <v>0</v>
      </c>
      <c r="I19" s="606">
        <f t="shared" si="1"/>
        <v>0</v>
      </c>
    </row>
    <row r="20" spans="1:11" x14ac:dyDescent="0.2">
      <c r="A20" s="201" t="s">
        <v>60</v>
      </c>
      <c r="B20" s="639">
        <v>0</v>
      </c>
      <c r="C20" s="640">
        <f>'S. Mat 30h'!E184</f>
        <v>0</v>
      </c>
      <c r="D20" s="638">
        <f>'S. Mat 30h'!E187</f>
        <v>0</v>
      </c>
      <c r="E20" s="602"/>
      <c r="F20" s="647">
        <v>0</v>
      </c>
      <c r="G20" s="661"/>
      <c r="H20" s="197">
        <f t="shared" si="0"/>
        <v>0</v>
      </c>
      <c r="I20" s="606">
        <f t="shared" si="1"/>
        <v>0</v>
      </c>
      <c r="J20" s="224"/>
      <c r="K20" s="745"/>
    </row>
    <row r="21" spans="1:11" x14ac:dyDescent="0.2">
      <c r="A21" s="202" t="s">
        <v>404</v>
      </c>
      <c r="B21" s="203">
        <v>0</v>
      </c>
      <c r="C21" s="203">
        <f>SUM(C3:C20)</f>
        <v>0</v>
      </c>
      <c r="D21" s="203">
        <f>SUM(D3:D20)</f>
        <v>0</v>
      </c>
      <c r="E21" s="203">
        <f>SUM(E3:E20)</f>
        <v>0</v>
      </c>
      <c r="F21" s="659">
        <f>SUM(F3:F20)</f>
        <v>0</v>
      </c>
      <c r="G21" s="662"/>
      <c r="H21" s="203">
        <f>SUM(H3:H20)</f>
        <v>0</v>
      </c>
      <c r="I21" s="203">
        <f>SUM(I3:I20)</f>
        <v>0</v>
      </c>
      <c r="J21" s="204"/>
      <c r="K21" s="204"/>
    </row>
    <row r="22" spans="1:11" ht="108.75" customHeight="1" x14ac:dyDescent="0.2">
      <c r="A22" s="205" t="s">
        <v>405</v>
      </c>
      <c r="B22" s="632" t="s">
        <v>396</v>
      </c>
      <c r="C22" s="633" t="s">
        <v>397</v>
      </c>
      <c r="D22" s="631" t="s">
        <v>406</v>
      </c>
      <c r="E22" s="706" t="s">
        <v>407</v>
      </c>
      <c r="F22" s="656" t="s">
        <v>408</v>
      </c>
      <c r="G22" s="663"/>
      <c r="H22" s="658" t="s">
        <v>409</v>
      </c>
      <c r="I22" s="605" t="s">
        <v>410</v>
      </c>
    </row>
    <row r="23" spans="1:11" ht="14.25" customHeight="1" x14ac:dyDescent="0.2">
      <c r="A23" s="198" t="s">
        <v>64</v>
      </c>
      <c r="B23" s="634">
        <f>'CRB 40h'!$E186</f>
        <v>0</v>
      </c>
      <c r="C23" s="634">
        <f>'CRB 40h'!$E188</f>
        <v>0</v>
      </c>
      <c r="D23" s="635">
        <f>'CRB 40h'!E191</f>
        <v>0</v>
      </c>
      <c r="E23" s="206"/>
      <c r="F23" s="642">
        <f>'Produt. Postos CBT'!Z20*'Carregador PGR e CTB'!E121</f>
        <v>0</v>
      </c>
      <c r="G23" s="664"/>
      <c r="H23" s="197">
        <f t="shared" ref="H23:H39" si="2">D23+E23+F23</f>
        <v>0</v>
      </c>
      <c r="I23" s="606">
        <f>H23*12</f>
        <v>0</v>
      </c>
    </row>
    <row r="24" spans="1:11" x14ac:dyDescent="0.2">
      <c r="A24" s="199" t="s">
        <v>13</v>
      </c>
      <c r="B24" s="634">
        <f>'CRB 30h'!$E186</f>
        <v>0</v>
      </c>
      <c r="C24" s="634">
        <f>'CRB 30h'!$E188</f>
        <v>0</v>
      </c>
      <c r="D24" s="636">
        <f>'CRB 30h'!E191</f>
        <v>0</v>
      </c>
      <c r="E24" s="207"/>
      <c r="F24" s="642">
        <v>0</v>
      </c>
      <c r="G24" s="664"/>
      <c r="H24" s="197">
        <f t="shared" si="2"/>
        <v>0</v>
      </c>
      <c r="I24" s="606">
        <f t="shared" ref="I24:I39" si="3">H24*12</f>
        <v>0</v>
      </c>
    </row>
    <row r="25" spans="1:11" x14ac:dyDescent="0.2">
      <c r="A25" s="199" t="s">
        <v>66</v>
      </c>
      <c r="B25" s="634">
        <f>'CRB 30h'!$E201</f>
        <v>0</v>
      </c>
      <c r="C25" s="637">
        <f>'CRB 30h'!$E203</f>
        <v>0</v>
      </c>
      <c r="D25" s="636">
        <f>'CRB 30h'!E206</f>
        <v>0</v>
      </c>
      <c r="E25" s="207"/>
      <c r="F25" s="644">
        <v>0</v>
      </c>
      <c r="G25" s="664"/>
      <c r="H25" s="197">
        <f t="shared" si="2"/>
        <v>0</v>
      </c>
      <c r="I25" s="606">
        <f t="shared" si="3"/>
        <v>0</v>
      </c>
    </row>
    <row r="26" spans="1:11" x14ac:dyDescent="0.2">
      <c r="A26" s="199" t="s">
        <v>67</v>
      </c>
      <c r="B26" s="634">
        <f>'CRB 40h'!$E201</f>
        <v>0</v>
      </c>
      <c r="C26" s="638">
        <f>'CRB 40h'!$E203</f>
        <v>0</v>
      </c>
      <c r="D26" s="636">
        <f>'CRB 40h'!E206</f>
        <v>0</v>
      </c>
      <c r="E26" s="208">
        <f>'Produt. Postos CBT'!V6*'CRB 30h'!E114</f>
        <v>0</v>
      </c>
      <c r="F26" s="644">
        <v>0</v>
      </c>
      <c r="G26" s="664"/>
      <c r="H26" s="197">
        <f t="shared" si="2"/>
        <v>0</v>
      </c>
      <c r="I26" s="606">
        <f t="shared" si="3"/>
        <v>0</v>
      </c>
    </row>
    <row r="27" spans="1:11" x14ac:dyDescent="0.2">
      <c r="A27" s="199" t="s">
        <v>69</v>
      </c>
      <c r="B27" s="634">
        <f>'CRB 30h'!$E216</f>
        <v>0</v>
      </c>
      <c r="C27" s="638">
        <f>'CRB 30h'!$E218</f>
        <v>0</v>
      </c>
      <c r="D27" s="636">
        <f>'CRB 30h'!E221</f>
        <v>0</v>
      </c>
      <c r="E27" s="207"/>
      <c r="F27" s="644">
        <v>0</v>
      </c>
      <c r="G27" s="664"/>
      <c r="H27" s="197">
        <f t="shared" si="2"/>
        <v>0</v>
      </c>
      <c r="I27" s="606">
        <f t="shared" si="3"/>
        <v>0</v>
      </c>
    </row>
    <row r="28" spans="1:11" x14ac:dyDescent="0.2">
      <c r="A28" s="199" t="s">
        <v>70</v>
      </c>
      <c r="B28" s="634">
        <f>'CRB 40h'!$E216</f>
        <v>0</v>
      </c>
      <c r="C28" s="638">
        <f>'CRB 40h'!$E218</f>
        <v>0</v>
      </c>
      <c r="D28" s="636">
        <f>'CRB 40h'!E221</f>
        <v>0</v>
      </c>
      <c r="E28" s="208">
        <f>'Produt. Postos CBT'!V8*'CRB 40h'!E114</f>
        <v>0</v>
      </c>
      <c r="F28" s="644">
        <v>0</v>
      </c>
      <c r="G28" s="664"/>
      <c r="H28" s="197">
        <f t="shared" si="2"/>
        <v>0</v>
      </c>
      <c r="I28" s="606">
        <f t="shared" si="3"/>
        <v>0</v>
      </c>
    </row>
    <row r="29" spans="1:11" x14ac:dyDescent="0.2">
      <c r="A29" s="199" t="s">
        <v>72</v>
      </c>
      <c r="B29" s="634">
        <f>'Par 40h'!$E186</f>
        <v>0</v>
      </c>
      <c r="C29" s="638">
        <f>'Par 40h'!$E188</f>
        <v>0</v>
      </c>
      <c r="D29" s="636">
        <f>'Par 40h'!E191</f>
        <v>0</v>
      </c>
      <c r="E29" s="208">
        <f>'Produt. Postos CBT'!V9*'Par 40h'!E114</f>
        <v>0</v>
      </c>
      <c r="F29" s="644">
        <v>0</v>
      </c>
      <c r="G29" s="664"/>
      <c r="H29" s="197">
        <f t="shared" si="2"/>
        <v>0</v>
      </c>
      <c r="I29" s="606">
        <f t="shared" si="3"/>
        <v>0</v>
      </c>
    </row>
    <row r="30" spans="1:11" x14ac:dyDescent="0.2">
      <c r="A30" s="199" t="s">
        <v>73</v>
      </c>
      <c r="B30" s="634">
        <f>'Arauc 40h'!$E186</f>
        <v>0</v>
      </c>
      <c r="C30" s="638">
        <f>'Arauc 40h'!$E188</f>
        <v>0</v>
      </c>
      <c r="D30" s="636">
        <f>'Arauc 40h'!E191</f>
        <v>0</v>
      </c>
      <c r="E30" s="208">
        <f>'Produt. Postos CBT'!V10*'Arauc 40h'!E114</f>
        <v>0</v>
      </c>
      <c r="F30" s="644">
        <v>0</v>
      </c>
      <c r="G30" s="664"/>
      <c r="H30" s="197">
        <f t="shared" si="2"/>
        <v>0</v>
      </c>
      <c r="I30" s="606">
        <f t="shared" si="3"/>
        <v>0</v>
      </c>
    </row>
    <row r="31" spans="1:11" x14ac:dyDescent="0.2">
      <c r="A31" s="199" t="s">
        <v>74</v>
      </c>
      <c r="B31" s="634">
        <f>'SJP 40h'!$E186</f>
        <v>0</v>
      </c>
      <c r="C31" s="638">
        <f>'SJP 40h'!$E188</f>
        <v>0</v>
      </c>
      <c r="D31" s="636">
        <f>'SJP 40h'!E191</f>
        <v>0</v>
      </c>
      <c r="E31" s="208">
        <f>'Produt. Postos CBT'!V11*'SJP 40h'!E114</f>
        <v>0</v>
      </c>
      <c r="F31" s="644">
        <v>0</v>
      </c>
      <c r="G31" s="664"/>
      <c r="H31" s="197">
        <f t="shared" si="2"/>
        <v>0</v>
      </c>
      <c r="I31" s="606">
        <f t="shared" si="3"/>
        <v>0</v>
      </c>
    </row>
    <row r="32" spans="1:11" x14ac:dyDescent="0.2">
      <c r="A32" s="199" t="s">
        <v>76</v>
      </c>
      <c r="B32" s="634">
        <f>'Colom 40h'!$E186</f>
        <v>0</v>
      </c>
      <c r="C32" s="638">
        <f>'Colom 40h'!$E188</f>
        <v>0</v>
      </c>
      <c r="D32" s="636">
        <f>'Colom 40h'!E191</f>
        <v>0</v>
      </c>
      <c r="E32" s="208">
        <f>'Produt. Postos CBT'!V12*'Colom 40h'!E114</f>
        <v>0</v>
      </c>
      <c r="F32" s="644">
        <v>0</v>
      </c>
      <c r="G32" s="664"/>
      <c r="H32" s="197">
        <f t="shared" si="2"/>
        <v>0</v>
      </c>
      <c r="I32" s="606">
        <f t="shared" si="3"/>
        <v>0</v>
      </c>
    </row>
    <row r="33" spans="1:11" x14ac:dyDescent="0.2">
      <c r="A33" s="199" t="s">
        <v>78</v>
      </c>
      <c r="B33" s="634">
        <f>'FRG 30h'!$E186</f>
        <v>0</v>
      </c>
      <c r="C33" s="638">
        <f>'FRG 30h'!$E188</f>
        <v>0</v>
      </c>
      <c r="D33" s="636">
        <f>'FRG 30h'!E191</f>
        <v>0</v>
      </c>
      <c r="E33" s="207"/>
      <c r="F33" s="644">
        <v>0</v>
      </c>
      <c r="G33" s="664"/>
      <c r="H33" s="197">
        <f t="shared" si="2"/>
        <v>0</v>
      </c>
      <c r="I33" s="606">
        <f t="shared" si="3"/>
        <v>0</v>
      </c>
    </row>
    <row r="34" spans="1:11" x14ac:dyDescent="0.2">
      <c r="A34" s="199" t="s">
        <v>82</v>
      </c>
      <c r="B34" s="634">
        <f>'C. Largo 30h'!$E186</f>
        <v>0</v>
      </c>
      <c r="C34" s="638">
        <f>'C. Largo 30h'!$E188</f>
        <v>0</v>
      </c>
      <c r="D34" s="636">
        <f>'C. Largo 30h'!E191</f>
        <v>0</v>
      </c>
      <c r="E34" s="207"/>
      <c r="F34" s="644">
        <v>0</v>
      </c>
      <c r="G34" s="664"/>
      <c r="H34" s="197">
        <f t="shared" si="2"/>
        <v>0</v>
      </c>
      <c r="I34" s="606">
        <f t="shared" si="3"/>
        <v>0</v>
      </c>
    </row>
    <row r="35" spans="1:11" x14ac:dyDescent="0.2">
      <c r="A35" s="199" t="s">
        <v>85</v>
      </c>
      <c r="B35" s="634">
        <f>'Pinhais 30h '!$E186</f>
        <v>0</v>
      </c>
      <c r="C35" s="638">
        <f>'Pinhais 30h '!$E188</f>
        <v>0</v>
      </c>
      <c r="D35" s="636">
        <f>'Pinhais 30h '!E191</f>
        <v>0</v>
      </c>
      <c r="E35" s="208">
        <f>'Produt. Postos CBT'!V15*'Pinhais 30h '!E114</f>
        <v>0</v>
      </c>
      <c r="F35" s="644">
        <v>0</v>
      </c>
      <c r="G35" s="664"/>
      <c r="H35" s="197">
        <f t="shared" si="2"/>
        <v>0</v>
      </c>
      <c r="I35" s="606">
        <f t="shared" si="3"/>
        <v>0</v>
      </c>
    </row>
    <row r="36" spans="1:11" x14ac:dyDescent="0.2">
      <c r="A36" s="209" t="s">
        <v>86</v>
      </c>
      <c r="B36" s="634"/>
      <c r="C36" s="638"/>
      <c r="D36" s="636">
        <f>SUM(B36:C36)</f>
        <v>0</v>
      </c>
      <c r="E36" s="207"/>
      <c r="F36" s="644">
        <v>0</v>
      </c>
      <c r="G36" s="664"/>
      <c r="H36" s="197">
        <f t="shared" si="2"/>
        <v>0</v>
      </c>
      <c r="I36" s="606">
        <f t="shared" si="3"/>
        <v>0</v>
      </c>
    </row>
    <row r="37" spans="1:11" x14ac:dyDescent="0.2">
      <c r="A37" s="199" t="s">
        <v>88</v>
      </c>
      <c r="B37" s="634">
        <f>'Lapa 30h'!$E186</f>
        <v>0</v>
      </c>
      <c r="C37" s="638">
        <f>'Lapa 30h'!$E188</f>
        <v>0</v>
      </c>
      <c r="D37" s="636">
        <f>'Lapa 30h'!E191</f>
        <v>0</v>
      </c>
      <c r="E37" s="207"/>
      <c r="F37" s="644">
        <v>0</v>
      </c>
      <c r="G37" s="664"/>
      <c r="H37" s="197">
        <f t="shared" si="2"/>
        <v>0</v>
      </c>
      <c r="I37" s="606">
        <f t="shared" si="3"/>
        <v>0</v>
      </c>
    </row>
    <row r="38" spans="1:11" x14ac:dyDescent="0.2">
      <c r="A38" s="199" t="s">
        <v>89</v>
      </c>
      <c r="B38" s="634">
        <f>'Mand 30h'!$E186</f>
        <v>0</v>
      </c>
      <c r="C38" s="638">
        <f>'Mand 30h'!$E188</f>
        <v>0</v>
      </c>
      <c r="D38" s="636">
        <f>'Mand 30h'!E191</f>
        <v>0</v>
      </c>
      <c r="E38" s="207"/>
      <c r="F38" s="644">
        <v>0</v>
      </c>
      <c r="G38" s="664"/>
      <c r="H38" s="197">
        <f t="shared" si="2"/>
        <v>0</v>
      </c>
      <c r="I38" s="606">
        <f t="shared" si="3"/>
        <v>0</v>
      </c>
    </row>
    <row r="39" spans="1:11" x14ac:dyDescent="0.2">
      <c r="A39" s="210" t="s">
        <v>91</v>
      </c>
      <c r="B39" s="634">
        <f>'Itap 30h'!$E186</f>
        <v>0</v>
      </c>
      <c r="C39" s="638">
        <f>'Itap 30h'!$E188</f>
        <v>0</v>
      </c>
      <c r="D39" s="636">
        <f>'Itap 30h'!E191</f>
        <v>0</v>
      </c>
      <c r="E39" s="207"/>
      <c r="F39" s="644">
        <v>0</v>
      </c>
      <c r="G39" s="664"/>
      <c r="H39" s="197">
        <f t="shared" si="2"/>
        <v>0</v>
      </c>
      <c r="I39" s="606">
        <f t="shared" si="3"/>
        <v>0</v>
      </c>
    </row>
    <row r="40" spans="1:11" x14ac:dyDescent="0.2">
      <c r="A40" s="202" t="s">
        <v>411</v>
      </c>
      <c r="B40" s="203">
        <f>SUM(B23:B39)</f>
        <v>0</v>
      </c>
      <c r="C40" s="203">
        <f>SUM(C23:C39)</f>
        <v>0</v>
      </c>
      <c r="D40" s="203">
        <f>SUM(D23:D39)</f>
        <v>0</v>
      </c>
      <c r="E40" s="203">
        <f>SUM(E23:E39)</f>
        <v>0</v>
      </c>
      <c r="F40" s="203">
        <f>SUM(F23:F39)</f>
        <v>0</v>
      </c>
      <c r="G40" s="665"/>
      <c r="H40" s="203">
        <f>SUM(H23:H39)</f>
        <v>0</v>
      </c>
      <c r="I40" s="203">
        <f>SUM(I23:I39)</f>
        <v>0</v>
      </c>
      <c r="J40" s="211"/>
      <c r="K40" s="211"/>
    </row>
    <row r="41" spans="1:11" x14ac:dyDescent="0.2">
      <c r="B41" s="212"/>
      <c r="C41" s="212"/>
      <c r="D41" s="604"/>
      <c r="E41" s="213"/>
      <c r="F41" s="213"/>
      <c r="G41" s="213"/>
      <c r="H41" s="214"/>
      <c r="I41" s="214"/>
    </row>
    <row r="42" spans="1:11" ht="15" x14ac:dyDescent="0.2">
      <c r="A42" s="215"/>
      <c r="B42" s="216"/>
      <c r="C42" s="216"/>
      <c r="D42" s="217"/>
      <c r="E42" s="217"/>
      <c r="F42" s="601" t="s">
        <v>412</v>
      </c>
      <c r="G42" s="655"/>
      <c r="H42" s="218"/>
      <c r="I42" s="219">
        <f>H21+H40</f>
        <v>0</v>
      </c>
    </row>
    <row r="43" spans="1:11" ht="15" x14ac:dyDescent="0.2">
      <c r="A43" s="220"/>
      <c r="B43" s="221"/>
      <c r="C43" s="221"/>
      <c r="D43" s="222"/>
      <c r="E43" s="222"/>
      <c r="F43" s="601"/>
      <c r="G43" s="655"/>
      <c r="H43" s="218"/>
      <c r="I43" s="223">
        <f>I42*12</f>
        <v>0</v>
      </c>
      <c r="J43" s="224"/>
    </row>
    <row r="44" spans="1:11" x14ac:dyDescent="0.2">
      <c r="C44" s="745"/>
      <c r="D44" s="710"/>
      <c r="E44" s="746"/>
      <c r="F44" s="746"/>
      <c r="H44" s="710"/>
      <c r="I44" s="710"/>
    </row>
    <row r="45" spans="1:11" x14ac:dyDescent="0.2">
      <c r="D45" s="710"/>
      <c r="E45" s="710"/>
      <c r="F45" s="710"/>
      <c r="H45" s="745"/>
    </row>
    <row r="46" spans="1:11" x14ac:dyDescent="0.2">
      <c r="D46" s="745"/>
      <c r="E46" s="745"/>
      <c r="F46" s="745"/>
      <c r="H46" s="745"/>
    </row>
    <row r="47" spans="1:11" x14ac:dyDescent="0.2">
      <c r="D47" s="745"/>
      <c r="H47" s="745"/>
    </row>
    <row r="48" spans="1:11" x14ac:dyDescent="0.2">
      <c r="I48" s="787"/>
    </row>
    <row r="49" spans="4:4" x14ac:dyDescent="0.2">
      <c r="D49" s="745"/>
    </row>
  </sheetData>
  <mergeCells count="2">
    <mergeCell ref="B1:D1"/>
    <mergeCell ref="H1:I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183"/>
  </sheetPr>
  <dimension ref="A1:C37"/>
  <sheetViews>
    <sheetView topLeftCell="A22" zoomScaleNormal="100" workbookViewId="0">
      <selection activeCell="P30" sqref="P30"/>
    </sheetView>
  </sheetViews>
  <sheetFormatPr defaultColWidth="8.625" defaultRowHeight="14.25" x14ac:dyDescent="0.2"/>
  <cols>
    <col min="1" max="3" width="40.625" customWidth="1"/>
  </cols>
  <sheetData>
    <row r="1" spans="1:3" x14ac:dyDescent="0.2">
      <c r="A1" s="901" t="s">
        <v>413</v>
      </c>
      <c r="B1" s="901"/>
      <c r="C1" s="901"/>
    </row>
    <row r="2" spans="1:3" x14ac:dyDescent="0.2">
      <c r="A2" s="182" t="s">
        <v>167</v>
      </c>
      <c r="B2" s="183" t="s">
        <v>414</v>
      </c>
      <c r="C2" s="184" t="s">
        <v>415</v>
      </c>
    </row>
    <row r="3" spans="1:3" x14ac:dyDescent="0.2">
      <c r="A3" s="185" t="s">
        <v>416</v>
      </c>
      <c r="B3" s="186" t="s">
        <v>417</v>
      </c>
      <c r="C3" s="187" t="s">
        <v>418</v>
      </c>
    </row>
    <row r="4" spans="1:3" x14ac:dyDescent="0.2">
      <c r="A4" s="185" t="s">
        <v>419</v>
      </c>
      <c r="B4" s="186" t="s">
        <v>420</v>
      </c>
      <c r="C4" s="187" t="s">
        <v>418</v>
      </c>
    </row>
    <row r="5" spans="1:3" x14ac:dyDescent="0.2">
      <c r="A5" s="185" t="s">
        <v>51</v>
      </c>
      <c r="B5" s="186" t="s">
        <v>421</v>
      </c>
      <c r="C5" s="187" t="s">
        <v>422</v>
      </c>
    </row>
    <row r="6" spans="1:3" x14ac:dyDescent="0.2">
      <c r="A6" s="185" t="s">
        <v>36</v>
      </c>
      <c r="B6" s="186" t="s">
        <v>423</v>
      </c>
      <c r="C6" s="187" t="s">
        <v>424</v>
      </c>
    </row>
    <row r="7" spans="1:3" x14ac:dyDescent="0.2">
      <c r="A7" s="185" t="s">
        <v>15</v>
      </c>
      <c r="B7" s="186" t="s">
        <v>425</v>
      </c>
      <c r="C7" s="187" t="s">
        <v>426</v>
      </c>
    </row>
    <row r="8" spans="1:3" x14ac:dyDescent="0.2">
      <c r="A8" s="185" t="s">
        <v>43</v>
      </c>
      <c r="B8" s="186" t="s">
        <v>427</v>
      </c>
      <c r="C8" s="187" t="s">
        <v>428</v>
      </c>
    </row>
    <row r="9" spans="1:3" x14ac:dyDescent="0.2">
      <c r="A9" s="185" t="s">
        <v>53</v>
      </c>
      <c r="B9" s="186" t="s">
        <v>429</v>
      </c>
      <c r="C9" s="187" t="s">
        <v>430</v>
      </c>
    </row>
    <row r="10" spans="1:3" x14ac:dyDescent="0.2">
      <c r="A10" s="185" t="s">
        <v>431</v>
      </c>
      <c r="B10" s="186" t="s">
        <v>432</v>
      </c>
      <c r="C10" s="187" t="s">
        <v>433</v>
      </c>
    </row>
    <row r="11" spans="1:3" x14ac:dyDescent="0.2">
      <c r="A11" s="185" t="s">
        <v>22</v>
      </c>
      <c r="B11" s="186" t="s">
        <v>434</v>
      </c>
      <c r="C11" s="187" t="s">
        <v>435</v>
      </c>
    </row>
    <row r="12" spans="1:3" x14ac:dyDescent="0.2">
      <c r="A12" s="185" t="s">
        <v>25</v>
      </c>
      <c r="B12" s="186" t="s">
        <v>436</v>
      </c>
      <c r="C12" s="187" t="s">
        <v>437</v>
      </c>
    </row>
    <row r="13" spans="1:3" x14ac:dyDescent="0.2">
      <c r="A13" s="185" t="s">
        <v>438</v>
      </c>
      <c r="B13" s="186" t="s">
        <v>439</v>
      </c>
      <c r="C13" s="187" t="s">
        <v>440</v>
      </c>
    </row>
    <row r="14" spans="1:3" x14ac:dyDescent="0.2">
      <c r="A14" s="185" t="s">
        <v>441</v>
      </c>
      <c r="B14" s="186" t="s">
        <v>442</v>
      </c>
      <c r="C14" s="187" t="s">
        <v>443</v>
      </c>
    </row>
    <row r="15" spans="1:3" x14ac:dyDescent="0.2">
      <c r="A15" s="185" t="s">
        <v>49</v>
      </c>
      <c r="B15" s="186" t="s">
        <v>444</v>
      </c>
      <c r="C15" s="187" t="s">
        <v>445</v>
      </c>
    </row>
    <row r="16" spans="1:3" x14ac:dyDescent="0.2">
      <c r="A16" s="185" t="s">
        <v>55</v>
      </c>
      <c r="B16" s="186" t="s">
        <v>446</v>
      </c>
      <c r="C16" s="187" t="s">
        <v>447</v>
      </c>
    </row>
    <row r="17" spans="1:3" x14ac:dyDescent="0.2">
      <c r="A17" s="185" t="s">
        <v>60</v>
      </c>
      <c r="B17" s="186" t="s">
        <v>448</v>
      </c>
      <c r="C17" s="187" t="s">
        <v>449</v>
      </c>
    </row>
    <row r="18" spans="1:3" x14ac:dyDescent="0.2">
      <c r="A18" s="185" t="s">
        <v>30</v>
      </c>
      <c r="B18" s="186" t="s">
        <v>450</v>
      </c>
      <c r="C18" s="187" t="s">
        <v>451</v>
      </c>
    </row>
    <row r="19" spans="1:3" x14ac:dyDescent="0.2">
      <c r="A19" s="188" t="s">
        <v>32</v>
      </c>
      <c r="B19" s="189" t="s">
        <v>452</v>
      </c>
      <c r="C19" s="190" t="s">
        <v>453</v>
      </c>
    </row>
    <row r="20" spans="1:3" x14ac:dyDescent="0.2">
      <c r="A20" s="901" t="s">
        <v>454</v>
      </c>
      <c r="B20" s="901"/>
      <c r="C20" s="901"/>
    </row>
    <row r="21" spans="1:3" x14ac:dyDescent="0.2">
      <c r="A21" s="191" t="s">
        <v>167</v>
      </c>
      <c r="B21" s="192" t="s">
        <v>414</v>
      </c>
      <c r="C21" s="193" t="s">
        <v>415</v>
      </c>
    </row>
    <row r="22" spans="1:3" x14ac:dyDescent="0.2">
      <c r="A22" s="185" t="s">
        <v>455</v>
      </c>
      <c r="B22" s="186" t="s">
        <v>456</v>
      </c>
      <c r="C22" s="187" t="s">
        <v>457</v>
      </c>
    </row>
    <row r="23" spans="1:3" x14ac:dyDescent="0.2">
      <c r="A23" s="185" t="s">
        <v>458</v>
      </c>
      <c r="B23" s="186" t="s">
        <v>459</v>
      </c>
      <c r="C23" s="187" t="s">
        <v>457</v>
      </c>
    </row>
    <row r="24" spans="1:3" x14ac:dyDescent="0.2">
      <c r="A24" s="185" t="s">
        <v>460</v>
      </c>
      <c r="B24" s="186" t="s">
        <v>461</v>
      </c>
      <c r="C24" s="187" t="s">
        <v>457</v>
      </c>
    </row>
    <row r="25" spans="1:3" x14ac:dyDescent="0.2">
      <c r="A25" s="185" t="s">
        <v>73</v>
      </c>
      <c r="B25" s="186" t="s">
        <v>462</v>
      </c>
      <c r="C25" s="187" t="s">
        <v>463</v>
      </c>
    </row>
    <row r="26" spans="1:3" x14ac:dyDescent="0.2">
      <c r="A26" s="185" t="s">
        <v>82</v>
      </c>
      <c r="B26" s="186" t="s">
        <v>464</v>
      </c>
      <c r="C26" s="187" t="s">
        <v>465</v>
      </c>
    </row>
    <row r="27" spans="1:3" x14ac:dyDescent="0.2">
      <c r="A27" s="185" t="s">
        <v>76</v>
      </c>
      <c r="B27" s="186" t="s">
        <v>466</v>
      </c>
      <c r="C27" s="187" t="s">
        <v>467</v>
      </c>
    </row>
    <row r="28" spans="1:3" x14ac:dyDescent="0.2">
      <c r="A28" s="185" t="s">
        <v>468</v>
      </c>
      <c r="B28" s="186" t="s">
        <v>469</v>
      </c>
      <c r="C28" s="187" t="s">
        <v>457</v>
      </c>
    </row>
    <row r="29" spans="1:3" x14ac:dyDescent="0.2">
      <c r="A29" s="185" t="s">
        <v>470</v>
      </c>
      <c r="B29" s="186" t="s">
        <v>471</v>
      </c>
      <c r="C29" s="187" t="s">
        <v>457</v>
      </c>
    </row>
    <row r="30" spans="1:3" x14ac:dyDescent="0.2">
      <c r="A30" s="185" t="s">
        <v>472</v>
      </c>
      <c r="B30" s="186" t="s">
        <v>473</v>
      </c>
      <c r="C30" s="187" t="s">
        <v>457</v>
      </c>
    </row>
    <row r="31" spans="1:3" x14ac:dyDescent="0.2">
      <c r="A31" s="185" t="s">
        <v>78</v>
      </c>
      <c r="B31" s="186" t="s">
        <v>474</v>
      </c>
      <c r="C31" s="187" t="s">
        <v>475</v>
      </c>
    </row>
    <row r="32" spans="1:3" x14ac:dyDescent="0.2">
      <c r="A32" s="185" t="s">
        <v>91</v>
      </c>
      <c r="B32" s="186" t="s">
        <v>476</v>
      </c>
      <c r="C32" s="187" t="s">
        <v>477</v>
      </c>
    </row>
    <row r="33" spans="1:3" x14ac:dyDescent="0.2">
      <c r="A33" s="185" t="s">
        <v>88</v>
      </c>
      <c r="B33" s="186" t="s">
        <v>478</v>
      </c>
      <c r="C33" s="187" t="s">
        <v>479</v>
      </c>
    </row>
    <row r="34" spans="1:3" x14ac:dyDescent="0.2">
      <c r="A34" s="185" t="s">
        <v>89</v>
      </c>
      <c r="B34" s="186" t="s">
        <v>480</v>
      </c>
      <c r="C34" s="187" t="s">
        <v>481</v>
      </c>
    </row>
    <row r="35" spans="1:3" x14ac:dyDescent="0.2">
      <c r="A35" s="185" t="s">
        <v>72</v>
      </c>
      <c r="B35" s="186" t="s">
        <v>482</v>
      </c>
      <c r="C35" s="187" t="s">
        <v>483</v>
      </c>
    </row>
    <row r="36" spans="1:3" x14ac:dyDescent="0.2">
      <c r="A36" s="185" t="s">
        <v>85</v>
      </c>
      <c r="B36" s="186" t="s">
        <v>484</v>
      </c>
      <c r="C36" s="187" t="s">
        <v>485</v>
      </c>
    </row>
    <row r="37" spans="1:3" x14ac:dyDescent="0.2">
      <c r="A37" s="188" t="s">
        <v>74</v>
      </c>
      <c r="B37" s="189" t="s">
        <v>486</v>
      </c>
      <c r="C37" s="190" t="s">
        <v>487</v>
      </c>
    </row>
  </sheetData>
  <mergeCells count="2">
    <mergeCell ref="A1:C1"/>
    <mergeCell ref="A20:C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8F00"/>
  </sheetPr>
  <dimension ref="A1:AMH121"/>
  <sheetViews>
    <sheetView topLeftCell="A52" zoomScaleNormal="100" workbookViewId="0">
      <selection activeCell="H73" sqref="H73"/>
    </sheetView>
  </sheetViews>
  <sheetFormatPr defaultColWidth="10.5" defaultRowHeight="14.25" x14ac:dyDescent="0.2"/>
  <cols>
    <col min="1" max="1" width="58.125" style="300" customWidth="1"/>
    <col min="2" max="2" width="12.75" style="300" customWidth="1"/>
    <col min="3" max="3" width="11.875" style="300" customWidth="1"/>
    <col min="4" max="4" width="12.25" style="300" customWidth="1"/>
    <col min="5" max="5" width="13.125" style="300" customWidth="1"/>
    <col min="6" max="1022" width="10.5" style="300"/>
  </cols>
  <sheetData>
    <row r="1" spans="1:7" ht="15.75" x14ac:dyDescent="0.2">
      <c r="A1" s="906" t="s">
        <v>488</v>
      </c>
      <c r="B1" s="907"/>
      <c r="C1" s="907"/>
      <c r="D1" s="907"/>
      <c r="E1" s="907"/>
      <c r="F1" s="392"/>
      <c r="G1" s="392"/>
    </row>
    <row r="2" spans="1:7" ht="15.75" x14ac:dyDescent="0.2">
      <c r="A2" s="908" t="s">
        <v>489</v>
      </c>
      <c r="B2" s="909"/>
      <c r="C2" s="909"/>
      <c r="D2" s="909"/>
      <c r="E2" s="909"/>
      <c r="F2" s="392"/>
      <c r="G2" s="392"/>
    </row>
    <row r="3" spans="1:7" ht="15.75" x14ac:dyDescent="0.2">
      <c r="A3" s="908"/>
      <c r="B3" s="909"/>
      <c r="C3" s="909"/>
      <c r="D3" s="909"/>
      <c r="E3" s="909"/>
      <c r="F3" s="392"/>
      <c r="G3" s="392"/>
    </row>
    <row r="4" spans="1:7" ht="15.75" x14ac:dyDescent="0.2">
      <c r="A4" s="393"/>
      <c r="B4" s="394"/>
      <c r="C4" s="394"/>
      <c r="D4" s="395" t="s">
        <v>10</v>
      </c>
      <c r="E4" s="395" t="s">
        <v>10</v>
      </c>
      <c r="F4" s="392"/>
      <c r="G4" s="392"/>
    </row>
    <row r="5" spans="1:7" x14ac:dyDescent="0.2">
      <c r="A5" s="398"/>
      <c r="B5" s="485"/>
      <c r="C5" s="399" t="s">
        <v>490</v>
      </c>
      <c r="D5" s="400">
        <f>'M. Cal'!F4</f>
        <v>0</v>
      </c>
      <c r="E5" s="400">
        <f>'M. Cal'!F4</f>
        <v>0</v>
      </c>
      <c r="F5" s="392"/>
      <c r="G5" s="392"/>
    </row>
    <row r="6" spans="1:7" x14ac:dyDescent="0.2">
      <c r="A6" s="398"/>
      <c r="B6" s="485"/>
      <c r="C6" s="399" t="s">
        <v>491</v>
      </c>
      <c r="D6" s="403">
        <f>'M. Cal'!$D$1</f>
        <v>44228</v>
      </c>
      <c r="E6" s="403">
        <f>'M. Cal'!$D$1</f>
        <v>44228</v>
      </c>
      <c r="F6" s="392"/>
      <c r="G6" s="392"/>
    </row>
    <row r="7" spans="1:7" x14ac:dyDescent="0.2">
      <c r="A7" s="398"/>
      <c r="B7" s="485"/>
      <c r="C7" s="399" t="s">
        <v>492</v>
      </c>
      <c r="D7" s="403" t="str">
        <f>'M. Cal'!$C$1</f>
        <v>PR000326/2021</v>
      </c>
      <c r="E7" s="403" t="str">
        <f>'M. Cal'!$C$1</f>
        <v>PR000326/2021</v>
      </c>
      <c r="F7" s="392"/>
      <c r="G7" s="392"/>
    </row>
    <row r="8" spans="1:7" x14ac:dyDescent="0.2">
      <c r="A8" s="398"/>
      <c r="B8" s="485"/>
      <c r="C8" s="399" t="s">
        <v>493</v>
      </c>
      <c r="D8" s="406">
        <f>'M. Cal'!D1</f>
        <v>44228</v>
      </c>
      <c r="E8" s="406">
        <f>'M. Cal'!D1</f>
        <v>44228</v>
      </c>
      <c r="F8" s="392"/>
      <c r="G8" s="392"/>
    </row>
    <row r="9" spans="1:7" x14ac:dyDescent="0.2">
      <c r="A9" s="905"/>
      <c r="B9" s="905"/>
      <c r="C9" s="905"/>
      <c r="D9" s="905"/>
      <c r="E9" s="392"/>
      <c r="F9" s="392"/>
      <c r="G9" s="392"/>
    </row>
    <row r="10" spans="1:7" ht="66.75" customHeight="1" x14ac:dyDescent="0.2">
      <c r="A10" s="715" t="s">
        <v>494</v>
      </c>
      <c r="B10" s="317" t="s">
        <v>495</v>
      </c>
      <c r="C10" s="317" t="s">
        <v>496</v>
      </c>
      <c r="D10" s="317" t="s">
        <v>497</v>
      </c>
      <c r="E10" s="317" t="s">
        <v>498</v>
      </c>
      <c r="F10" s="392"/>
      <c r="G10" s="392"/>
    </row>
    <row r="11" spans="1:7" ht="28.35" customHeight="1" x14ac:dyDescent="0.2">
      <c r="A11" s="902" t="s">
        <v>499</v>
      </c>
      <c r="B11" s="903"/>
      <c r="C11" s="903"/>
      <c r="D11" s="903"/>
      <c r="E11" s="904"/>
      <c r="F11" s="392"/>
      <c r="G11" s="392"/>
    </row>
    <row r="12" spans="1:7" ht="15.75" customHeight="1" x14ac:dyDescent="0.2">
      <c r="A12" s="441" t="s">
        <v>500</v>
      </c>
      <c r="B12" s="442" t="s">
        <v>501</v>
      </c>
      <c r="C12" s="442" t="s">
        <v>501</v>
      </c>
      <c r="D12" s="442" t="s">
        <v>502</v>
      </c>
      <c r="E12" s="442" t="s">
        <v>502</v>
      </c>
      <c r="F12" s="392"/>
      <c r="G12" s="392"/>
    </row>
    <row r="13" spans="1:7" ht="15.75" customHeight="1" x14ac:dyDescent="0.2">
      <c r="A13" s="415" t="s">
        <v>503</v>
      </c>
      <c r="B13" s="717"/>
      <c r="C13" s="416"/>
      <c r="D13" s="417">
        <f>D5</f>
        <v>0</v>
      </c>
      <c r="E13" s="417">
        <f>E5</f>
        <v>0</v>
      </c>
      <c r="F13" s="392"/>
      <c r="G13" s="392"/>
    </row>
    <row r="14" spans="1:7" ht="15.75" customHeight="1" x14ac:dyDescent="0.2">
      <c r="A14" s="415" t="s">
        <v>504</v>
      </c>
      <c r="B14" s="717"/>
      <c r="C14" s="419"/>
      <c r="D14" s="417"/>
      <c r="E14" s="417"/>
      <c r="F14" s="392"/>
      <c r="G14" s="392"/>
    </row>
    <row r="15" spans="1:7" ht="15.75" customHeight="1" x14ac:dyDescent="0.2">
      <c r="A15" s="415" t="s">
        <v>505</v>
      </c>
      <c r="B15" s="717"/>
      <c r="C15" s="419"/>
      <c r="D15" s="419"/>
      <c r="E15" s="419"/>
      <c r="F15" s="392"/>
      <c r="G15" s="392"/>
    </row>
    <row r="16" spans="1:7" ht="15.75" customHeight="1" x14ac:dyDescent="0.2">
      <c r="A16" s="415" t="s">
        <v>506</v>
      </c>
      <c r="B16" s="717"/>
      <c r="C16" s="420"/>
      <c r="D16" s="420"/>
      <c r="E16" s="420"/>
      <c r="F16" s="392"/>
      <c r="G16" s="392"/>
    </row>
    <row r="17" spans="1:7" ht="15.75" customHeight="1" x14ac:dyDescent="0.2">
      <c r="A17" s="415" t="s">
        <v>507</v>
      </c>
      <c r="B17" s="717"/>
      <c r="C17" s="420"/>
      <c r="D17" s="420"/>
      <c r="E17" s="420"/>
      <c r="F17" s="392"/>
      <c r="G17" s="392"/>
    </row>
    <row r="18" spans="1:7" ht="15.75" customHeight="1" x14ac:dyDescent="0.2">
      <c r="A18" s="415" t="s">
        <v>508</v>
      </c>
      <c r="B18" s="717"/>
      <c r="C18" s="420"/>
      <c r="D18" s="420"/>
      <c r="E18" s="420"/>
      <c r="F18" s="392"/>
      <c r="G18" s="392"/>
    </row>
    <row r="19" spans="1:7" ht="15.75" customHeight="1" x14ac:dyDescent="0.2">
      <c r="A19" s="415" t="s">
        <v>509</v>
      </c>
      <c r="B19" s="717"/>
      <c r="C19" s="421"/>
      <c r="D19" s="421"/>
      <c r="E19" s="421"/>
      <c r="F19" s="392"/>
      <c r="G19" s="392"/>
    </row>
    <row r="20" spans="1:7" ht="15.75" customHeight="1" x14ac:dyDescent="0.2">
      <c r="A20" s="422" t="s">
        <v>94</v>
      </c>
      <c r="B20" s="718"/>
      <c r="C20" s="423"/>
      <c r="D20" s="424">
        <f>SUM(D13:D19)</f>
        <v>0</v>
      </c>
      <c r="E20" s="424">
        <f>SUM(E13:E19)</f>
        <v>0</v>
      </c>
      <c r="F20" s="392"/>
      <c r="G20" s="392"/>
    </row>
    <row r="21" spans="1:7" ht="5.65" customHeight="1" x14ac:dyDescent="0.2">
      <c r="A21" s="905"/>
      <c r="B21" s="905"/>
      <c r="C21" s="905"/>
      <c r="D21" s="905"/>
      <c r="E21" s="392"/>
      <c r="F21" s="392"/>
      <c r="G21" s="392"/>
    </row>
    <row r="22" spans="1:7" ht="28.35" customHeight="1" x14ac:dyDescent="0.2">
      <c r="A22" s="902" t="s">
        <v>510</v>
      </c>
      <c r="B22" s="903"/>
      <c r="C22" s="903"/>
      <c r="D22" s="903"/>
      <c r="E22" s="904"/>
      <c r="F22" s="392"/>
      <c r="G22" s="392"/>
    </row>
    <row r="23" spans="1:7" ht="15.75" customHeight="1" x14ac:dyDescent="0.2">
      <c r="A23" s="713" t="s">
        <v>511</v>
      </c>
      <c r="B23" s="714" t="s">
        <v>512</v>
      </c>
      <c r="C23" s="714" t="s">
        <v>512</v>
      </c>
      <c r="D23" s="714" t="s">
        <v>513</v>
      </c>
      <c r="E23" s="714" t="s">
        <v>513</v>
      </c>
      <c r="F23" s="392"/>
      <c r="G23" s="392"/>
    </row>
    <row r="24" spans="1:7" ht="15.75" customHeight="1" x14ac:dyDescent="0.2">
      <c r="A24" s="429" t="s">
        <v>514</v>
      </c>
      <c r="B24" s="419">
        <v>8.3299999999999999E-2</v>
      </c>
      <c r="C24" s="419">
        <v>8.3299999999999999E-2</v>
      </c>
      <c r="D24" s="417">
        <f>ROUND($C24*D$20,2)</f>
        <v>0</v>
      </c>
      <c r="E24" s="417">
        <f>ROUND($C24*E$20,2)</f>
        <v>0</v>
      </c>
      <c r="F24" s="392"/>
      <c r="G24" s="392"/>
    </row>
    <row r="25" spans="1:7" x14ac:dyDescent="0.2">
      <c r="A25" s="429" t="s">
        <v>515</v>
      </c>
      <c r="B25" s="419">
        <v>0</v>
      </c>
      <c r="C25" s="419">
        <v>0</v>
      </c>
      <c r="D25" s="417"/>
      <c r="E25" s="417"/>
      <c r="F25" s="392"/>
      <c r="G25" s="392"/>
    </row>
    <row r="26" spans="1:7" x14ac:dyDescent="0.2">
      <c r="A26" s="429" t="s">
        <v>516</v>
      </c>
      <c r="B26" s="419">
        <v>2.7799999999999998E-2</v>
      </c>
      <c r="C26" s="419">
        <v>2.7799999999999998E-2</v>
      </c>
      <c r="D26" s="417">
        <f>D20*$C26</f>
        <v>0</v>
      </c>
      <c r="E26" s="417">
        <f>E20*$C26</f>
        <v>0</v>
      </c>
      <c r="F26" s="392"/>
      <c r="G26" s="392"/>
    </row>
    <row r="27" spans="1:7" ht="15.75" customHeight="1" x14ac:dyDescent="0.2">
      <c r="A27" s="422" t="s">
        <v>94</v>
      </c>
      <c r="B27" s="423">
        <f>SUM(B24:B26)</f>
        <v>0.1111</v>
      </c>
      <c r="C27" s="423">
        <f>SUM(C24:C26)</f>
        <v>0.1111</v>
      </c>
      <c r="D27" s="424">
        <f>SUM(D24:D26)</f>
        <v>0</v>
      </c>
      <c r="E27" s="424">
        <f>SUM(E24:E26)</f>
        <v>0</v>
      </c>
      <c r="F27" s="392"/>
      <c r="G27" s="392"/>
    </row>
    <row r="28" spans="1:7" x14ac:dyDescent="0.2">
      <c r="A28" s="426" t="s">
        <v>517</v>
      </c>
      <c r="B28" s="430" t="s">
        <v>512</v>
      </c>
      <c r="C28" s="430" t="s">
        <v>512</v>
      </c>
      <c r="D28" s="430" t="s">
        <v>513</v>
      </c>
      <c r="E28" s="430" t="s">
        <v>513</v>
      </c>
      <c r="F28" s="392"/>
      <c r="G28" s="392"/>
    </row>
    <row r="29" spans="1:7" ht="15.75" customHeight="1" x14ac:dyDescent="0.2">
      <c r="A29" s="432" t="s">
        <v>518</v>
      </c>
      <c r="B29" s="726"/>
      <c r="C29" s="720"/>
      <c r="D29" s="433"/>
      <c r="E29" s="433"/>
      <c r="F29" s="392"/>
      <c r="G29" s="392"/>
    </row>
    <row r="30" spans="1:7" ht="15.75" customHeight="1" x14ac:dyDescent="0.2">
      <c r="A30" s="429" t="s">
        <v>519</v>
      </c>
      <c r="B30" s="435">
        <v>0.2</v>
      </c>
      <c r="C30" s="435">
        <v>0.2</v>
      </c>
      <c r="D30" s="436">
        <f>ROUND(($D$20+$D$27)*B30,2)</f>
        <v>0</v>
      </c>
      <c r="E30" s="436">
        <f>ROUND(($E$20+$E$27)*C30,2)</f>
        <v>0</v>
      </c>
      <c r="F30" s="392"/>
      <c r="G30" s="392"/>
    </row>
    <row r="31" spans="1:7" ht="15.75" customHeight="1" x14ac:dyDescent="0.2">
      <c r="A31" s="429" t="s">
        <v>520</v>
      </c>
      <c r="B31" s="419">
        <v>2.5000000000000001E-2</v>
      </c>
      <c r="C31" s="419">
        <v>2.5000000000000001E-2</v>
      </c>
      <c r="D31" s="436">
        <f>ROUND(($D$20+$D$27)*B31,2)</f>
        <v>0</v>
      </c>
      <c r="E31" s="436">
        <f>ROUND(($E$20+$E$27)*C31,2)</f>
        <v>0</v>
      </c>
      <c r="F31" s="392"/>
      <c r="G31" s="392"/>
    </row>
    <row r="32" spans="1:7" ht="15.75" customHeight="1" x14ac:dyDescent="0.2">
      <c r="A32" s="429" t="s">
        <v>521</v>
      </c>
      <c r="B32" s="419">
        <v>2.2499999999999999E-2</v>
      </c>
      <c r="C32" s="419">
        <v>2.2499999999999999E-2</v>
      </c>
      <c r="D32" s="436">
        <f>ROUND(($D$20+$D$27)*$B32,2)</f>
        <v>0</v>
      </c>
      <c r="E32" s="436">
        <f>ROUND(($E$20+$E$27)*$C32,2)</f>
        <v>0</v>
      </c>
      <c r="F32" s="392"/>
      <c r="G32" s="392"/>
    </row>
    <row r="33" spans="1:7" ht="15.75" customHeight="1" x14ac:dyDescent="0.2">
      <c r="A33" s="429" t="s">
        <v>522</v>
      </c>
      <c r="B33" s="419">
        <v>1.4999999999999999E-2</v>
      </c>
      <c r="C33" s="419">
        <v>1.4999999999999999E-2</v>
      </c>
      <c r="D33" s="436">
        <f>ROUND(($D$20+$D$27)*B33,2)</f>
        <v>0</v>
      </c>
      <c r="E33" s="436">
        <f>ROUND(($E$20+$E$27)*C33,2)</f>
        <v>0</v>
      </c>
      <c r="F33" s="392"/>
      <c r="G33" s="392"/>
    </row>
    <row r="34" spans="1:7" ht="15.75" customHeight="1" x14ac:dyDescent="0.2">
      <c r="A34" s="429" t="s">
        <v>523</v>
      </c>
      <c r="B34" s="419">
        <v>0.01</v>
      </c>
      <c r="C34" s="419">
        <v>0.01</v>
      </c>
      <c r="D34" s="436">
        <f>ROUND(($D$20+$D$27)*B34,2)</f>
        <v>0</v>
      </c>
      <c r="E34" s="436">
        <f>ROUND(($E$20+$E$27)*C34,2)</f>
        <v>0</v>
      </c>
      <c r="F34" s="392"/>
      <c r="G34" s="392"/>
    </row>
    <row r="35" spans="1:7" ht="15.75" customHeight="1" x14ac:dyDescent="0.2">
      <c r="A35" s="429" t="s">
        <v>524</v>
      </c>
      <c r="B35" s="419">
        <v>6.0000000000000001E-3</v>
      </c>
      <c r="C35" s="419">
        <v>6.0000000000000001E-3</v>
      </c>
      <c r="D35" s="436">
        <f>ROUND(($D$20+$D$27)*B35,2)</f>
        <v>0</v>
      </c>
      <c r="E35" s="436">
        <f>ROUND(($E$20+$E$27)*C35,2)</f>
        <v>0</v>
      </c>
      <c r="F35" s="392"/>
      <c r="G35" s="392"/>
    </row>
    <row r="36" spans="1:7" ht="15.75" customHeight="1" x14ac:dyDescent="0.2">
      <c r="A36" s="429" t="s">
        <v>525</v>
      </c>
      <c r="B36" s="419">
        <v>2E-3</v>
      </c>
      <c r="C36" s="419">
        <v>2E-3</v>
      </c>
      <c r="D36" s="436">
        <f>ROUND(($D$20+$D$27)*B36,2)</f>
        <v>0</v>
      </c>
      <c r="E36" s="436">
        <f>ROUND(($E$20+$E$27)*C36,2)</f>
        <v>0</v>
      </c>
      <c r="F36" s="392"/>
      <c r="G36" s="392"/>
    </row>
    <row r="37" spans="1:7" ht="15.75" customHeight="1" x14ac:dyDescent="0.2">
      <c r="A37" s="426" t="s">
        <v>526</v>
      </c>
      <c r="B37" s="720"/>
      <c r="C37" s="433"/>
      <c r="D37" s="433"/>
      <c r="E37" s="433"/>
      <c r="F37" s="392"/>
      <c r="G37" s="392"/>
    </row>
    <row r="38" spans="1:7" ht="15.75" customHeight="1" x14ac:dyDescent="0.2">
      <c r="A38" s="429" t="s">
        <v>772</v>
      </c>
      <c r="B38" s="419">
        <v>0.08</v>
      </c>
      <c r="C38" s="419">
        <v>0.08</v>
      </c>
      <c r="D38" s="436">
        <f>ROUND(($D$20+$D$27)*B38,2)</f>
        <v>0</v>
      </c>
      <c r="E38" s="436">
        <f>ROUND(($E$20+$E$27)*C38,2)</f>
        <v>0</v>
      </c>
      <c r="F38" s="392"/>
      <c r="G38" s="392"/>
    </row>
    <row r="39" spans="1:7" ht="15.75" customHeight="1" x14ac:dyDescent="0.2">
      <c r="A39" s="422" t="s">
        <v>94</v>
      </c>
      <c r="B39" s="423">
        <f>SUM(B30:B38)</f>
        <v>0.36050000000000004</v>
      </c>
      <c r="C39" s="423">
        <f>SUM(C29:C38)</f>
        <v>0.36050000000000004</v>
      </c>
      <c r="D39" s="424">
        <f>SUM(D29:D38)</f>
        <v>0</v>
      </c>
      <c r="E39" s="424">
        <f>SUM(E29:E38)</f>
        <v>0</v>
      </c>
      <c r="F39" s="392"/>
      <c r="G39" s="392"/>
    </row>
    <row r="40" spans="1:7" ht="15.75" customHeight="1" x14ac:dyDescent="0.2">
      <c r="A40" s="426" t="s">
        <v>528</v>
      </c>
      <c r="B40" s="720"/>
      <c r="C40" s="427" t="s">
        <v>529</v>
      </c>
      <c r="D40" s="427" t="s">
        <v>513</v>
      </c>
      <c r="E40" s="427" t="s">
        <v>513</v>
      </c>
      <c r="F40" s="392"/>
      <c r="G40" s="392"/>
    </row>
    <row r="41" spans="1:7" ht="15.75" customHeight="1" x14ac:dyDescent="0.2">
      <c r="A41" s="429" t="s">
        <v>530</v>
      </c>
      <c r="B41" s="438">
        <f>'M. Cal'!M2</f>
        <v>0</v>
      </c>
      <c r="C41" s="438">
        <f>'M. Cal'!M21</f>
        <v>0</v>
      </c>
      <c r="D41" s="417">
        <f>ROUND(((2*22*$B$41)-0.06*$D$13),2)</f>
        <v>0</v>
      </c>
      <c r="E41" s="417">
        <f>ROUND(((2*22*$C$41)-0.06*$E$13),2)</f>
        <v>0</v>
      </c>
      <c r="F41" s="392"/>
      <c r="G41" s="392"/>
    </row>
    <row r="42" spans="1:7" ht="15.75" customHeight="1" x14ac:dyDescent="0.2">
      <c r="A42" s="429" t="s">
        <v>531</v>
      </c>
      <c r="B42" s="438">
        <v>18.2</v>
      </c>
      <c r="C42" s="438">
        <v>18.2</v>
      </c>
      <c r="D42" s="439">
        <f>'M. Cal'!E7</f>
        <v>0</v>
      </c>
      <c r="E42" s="439">
        <f>'M. Cal'!E7</f>
        <v>0</v>
      </c>
      <c r="F42" s="392"/>
      <c r="G42" s="392"/>
    </row>
    <row r="43" spans="1:7" ht="15.75" customHeight="1" x14ac:dyDescent="0.2">
      <c r="A43" s="429" t="s">
        <v>532</v>
      </c>
      <c r="B43" s="419">
        <f>'M. Cal'!C9</f>
        <v>1.4999999999999999E-2</v>
      </c>
      <c r="C43" s="419">
        <f>'M. Cal'!C9</f>
        <v>1.4999999999999999E-2</v>
      </c>
      <c r="D43" s="439">
        <v>0</v>
      </c>
      <c r="E43" s="439">
        <v>0</v>
      </c>
      <c r="F43" s="392"/>
      <c r="G43" s="392"/>
    </row>
    <row r="44" spans="1:7" ht="15.75" customHeight="1" x14ac:dyDescent="0.2">
      <c r="A44" s="429" t="s">
        <v>533</v>
      </c>
      <c r="B44" s="438">
        <f>'M. Cal'!I7</f>
        <v>0</v>
      </c>
      <c r="C44" s="438">
        <f>'M. Cal'!I7</f>
        <v>0</v>
      </c>
      <c r="D44" s="439">
        <f>B44</f>
        <v>0</v>
      </c>
      <c r="E44" s="439">
        <f>C44</f>
        <v>0</v>
      </c>
      <c r="F44" s="392"/>
      <c r="G44" s="392"/>
    </row>
    <row r="45" spans="1:7" ht="15.75" customHeight="1" x14ac:dyDescent="0.2">
      <c r="A45" s="429" t="s">
        <v>534</v>
      </c>
      <c r="B45" s="438">
        <f>'M. Cal'!I8</f>
        <v>0</v>
      </c>
      <c r="C45" s="438">
        <f>'M. Cal'!I8</f>
        <v>0</v>
      </c>
      <c r="D45" s="439">
        <f>B45</f>
        <v>0</v>
      </c>
      <c r="E45" s="439">
        <f>C45</f>
        <v>0</v>
      </c>
      <c r="F45" s="392"/>
      <c r="G45" s="392"/>
    </row>
    <row r="46" spans="1:7" ht="15.75" customHeight="1" x14ac:dyDescent="0.2">
      <c r="A46" s="429" t="s">
        <v>535</v>
      </c>
      <c r="B46" s="719"/>
      <c r="C46" s="438"/>
      <c r="D46" s="439"/>
      <c r="E46" s="439"/>
      <c r="F46" s="392"/>
      <c r="G46" s="392"/>
    </row>
    <row r="47" spans="1:7" ht="15.75" customHeight="1" x14ac:dyDescent="0.2">
      <c r="A47" s="422" t="s">
        <v>94</v>
      </c>
      <c r="B47" s="718"/>
      <c r="C47" s="423"/>
      <c r="D47" s="424">
        <f>SUM(D41:D46)</f>
        <v>0</v>
      </c>
      <c r="E47" s="424">
        <f>SUM(E41:E46)</f>
        <v>0</v>
      </c>
      <c r="F47" s="392"/>
      <c r="G47" s="392"/>
    </row>
    <row r="48" spans="1:7" x14ac:dyDescent="0.2">
      <c r="A48" s="441" t="s">
        <v>536</v>
      </c>
      <c r="B48" s="716"/>
      <c r="C48" s="442" t="s">
        <v>501</v>
      </c>
      <c r="D48" s="442" t="s">
        <v>502</v>
      </c>
      <c r="E48" s="442" t="s">
        <v>502</v>
      </c>
      <c r="F48" s="392"/>
      <c r="G48" s="392"/>
    </row>
    <row r="49" spans="1:7" ht="15.75" customHeight="1" x14ac:dyDescent="0.2">
      <c r="A49" s="429" t="s">
        <v>537</v>
      </c>
      <c r="B49" s="444">
        <f>B27</f>
        <v>0.1111</v>
      </c>
      <c r="C49" s="444">
        <f>C27</f>
        <v>0.1111</v>
      </c>
      <c r="D49" s="445">
        <f>D27</f>
        <v>0</v>
      </c>
      <c r="E49" s="445">
        <f>E27</f>
        <v>0</v>
      </c>
      <c r="F49" s="392"/>
      <c r="G49" s="392"/>
    </row>
    <row r="50" spans="1:7" ht="15.75" customHeight="1" x14ac:dyDescent="0.2">
      <c r="A50" s="429" t="s">
        <v>538</v>
      </c>
      <c r="B50" s="444">
        <f>B39</f>
        <v>0.36050000000000004</v>
      </c>
      <c r="C50" s="444">
        <f>C39</f>
        <v>0.36050000000000004</v>
      </c>
      <c r="D50" s="445">
        <f>D39</f>
        <v>0</v>
      </c>
      <c r="E50" s="445">
        <f>E39</f>
        <v>0</v>
      </c>
      <c r="F50" s="392"/>
      <c r="G50" s="392"/>
    </row>
    <row r="51" spans="1:7" ht="15.75" customHeight="1" x14ac:dyDescent="0.2">
      <c r="A51" s="429" t="s">
        <v>539</v>
      </c>
      <c r="B51" s="444" t="s">
        <v>540</v>
      </c>
      <c r="C51" s="444" t="s">
        <v>540</v>
      </c>
      <c r="D51" s="445">
        <f>D47</f>
        <v>0</v>
      </c>
      <c r="E51" s="445">
        <f>E47</f>
        <v>0</v>
      </c>
      <c r="F51" s="392"/>
      <c r="G51" s="392"/>
    </row>
    <row r="52" spans="1:7" ht="15.75" customHeight="1" x14ac:dyDescent="0.2">
      <c r="A52" s="422" t="s">
        <v>94</v>
      </c>
      <c r="B52" s="718"/>
      <c r="C52" s="423"/>
      <c r="D52" s="424">
        <f>SUM(D49:D51)</f>
        <v>0</v>
      </c>
      <c r="E52" s="424">
        <f>SUM(E49:E51)</f>
        <v>0</v>
      </c>
      <c r="F52" s="392"/>
      <c r="G52" s="392"/>
    </row>
    <row r="53" spans="1:7" ht="5.65" customHeight="1" x14ac:dyDescent="0.2">
      <c r="A53" s="905"/>
      <c r="B53" s="905"/>
      <c r="C53" s="905"/>
      <c r="D53" s="905"/>
      <c r="E53" s="392"/>
      <c r="F53" s="392"/>
      <c r="G53" s="392"/>
    </row>
    <row r="54" spans="1:7" s="355" customFormat="1" ht="28.35" customHeight="1" x14ac:dyDescent="0.2">
      <c r="A54" s="902" t="s">
        <v>541</v>
      </c>
      <c r="B54" s="903"/>
      <c r="C54" s="903"/>
      <c r="D54" s="903"/>
      <c r="E54" s="904"/>
      <c r="F54" s="447"/>
      <c r="G54" s="447"/>
    </row>
    <row r="55" spans="1:7" ht="15.75" customHeight="1" x14ac:dyDescent="0.2">
      <c r="A55" s="441" t="s">
        <v>542</v>
      </c>
      <c r="B55" s="442" t="s">
        <v>501</v>
      </c>
      <c r="C55" s="442" t="s">
        <v>501</v>
      </c>
      <c r="D55" s="442" t="s">
        <v>502</v>
      </c>
      <c r="E55" s="442" t="s">
        <v>502</v>
      </c>
      <c r="F55" s="392"/>
      <c r="G55" s="392"/>
    </row>
    <row r="56" spans="1:7" ht="15.75" customHeight="1" x14ac:dyDescent="0.2">
      <c r="A56" s="426" t="s">
        <v>543</v>
      </c>
      <c r="B56" s="720"/>
      <c r="C56" s="448"/>
      <c r="D56" s="448"/>
      <c r="E56" s="448"/>
      <c r="F56" s="392"/>
      <c r="G56" s="392"/>
    </row>
    <row r="57" spans="1:7" ht="15.75" customHeight="1" x14ac:dyDescent="0.2">
      <c r="A57" s="429" t="s">
        <v>544</v>
      </c>
      <c r="B57" s="444">
        <f>1/12*'M. Cal'!C12</f>
        <v>2.8091666666666668E-2</v>
      </c>
      <c r="C57" s="444">
        <f>1/12*'M. Cal'!C12</f>
        <v>2.8091666666666668E-2</v>
      </c>
      <c r="D57" s="450">
        <f>(D20+D27+D38+D47)*$B57</f>
        <v>0</v>
      </c>
      <c r="E57" s="450">
        <f>(E20+E27+E38+E47)*$C57</f>
        <v>0</v>
      </c>
      <c r="F57" s="392"/>
      <c r="G57" s="392"/>
    </row>
    <row r="58" spans="1:7" x14ac:dyDescent="0.2">
      <c r="A58" s="429" t="s">
        <v>545</v>
      </c>
      <c r="B58" s="444">
        <f>0.4*'M. Cal'!C12</f>
        <v>0.13484000000000002</v>
      </c>
      <c r="C58" s="444">
        <f>0.4*'M. Cal'!C12</f>
        <v>0.13484000000000002</v>
      </c>
      <c r="D58" s="450">
        <f>D38*$B58</f>
        <v>0</v>
      </c>
      <c r="E58" s="450">
        <f>E38*$C58</f>
        <v>0</v>
      </c>
      <c r="F58" s="392"/>
      <c r="G58" s="392"/>
    </row>
    <row r="59" spans="1:7" x14ac:dyDescent="0.2">
      <c r="A59" s="422" t="s">
        <v>94</v>
      </c>
      <c r="B59" s="718"/>
      <c r="C59" s="423"/>
      <c r="D59" s="424">
        <f>SUM(D57:D58)</f>
        <v>0</v>
      </c>
      <c r="E59" s="424">
        <f>SUM(E57:E58)</f>
        <v>0</v>
      </c>
      <c r="F59" s="392"/>
      <c r="G59" s="392"/>
    </row>
    <row r="60" spans="1:7" ht="15.75" customHeight="1" x14ac:dyDescent="0.2">
      <c r="A60" s="426" t="s">
        <v>546</v>
      </c>
      <c r="B60" s="448" t="s">
        <v>547</v>
      </c>
      <c r="C60" s="448" t="s">
        <v>547</v>
      </c>
      <c r="D60" s="448" t="s">
        <v>548</v>
      </c>
      <c r="E60" s="448" t="s">
        <v>548</v>
      </c>
      <c r="F60" s="392"/>
      <c r="G60" s="392"/>
    </row>
    <row r="61" spans="1:7" ht="57.75" x14ac:dyDescent="0.2">
      <c r="A61" s="817" t="s">
        <v>777</v>
      </c>
      <c r="B61" s="444">
        <f>1/12*'M. Cal'!C13</f>
        <v>1.9444444444444445E-2</v>
      </c>
      <c r="C61" s="444">
        <f>1/12*'M. Cal'!C13</f>
        <v>1.9444444444444445E-2</v>
      </c>
      <c r="D61" s="452">
        <f>(D20+D52)*$B61</f>
        <v>0</v>
      </c>
      <c r="E61" s="452">
        <f>(E20+E52)*$C61</f>
        <v>0</v>
      </c>
      <c r="F61" s="392"/>
      <c r="G61" s="392"/>
    </row>
    <row r="62" spans="1:7" x14ac:dyDescent="0.2">
      <c r="A62" s="429" t="s">
        <v>549</v>
      </c>
      <c r="B62" s="444">
        <f>0.4*'M. Cal'!C13</f>
        <v>9.3333333333333338E-2</v>
      </c>
      <c r="C62" s="444">
        <f>0.4*'M. Cal'!C13</f>
        <v>9.3333333333333338E-2</v>
      </c>
      <c r="D62" s="445">
        <f>D38*$B62</f>
        <v>0</v>
      </c>
      <c r="E62" s="445">
        <f>E38*$C62</f>
        <v>0</v>
      </c>
      <c r="F62" s="392"/>
      <c r="G62" s="392"/>
    </row>
    <row r="63" spans="1:7" x14ac:dyDescent="0.2">
      <c r="A63" s="422" t="s">
        <v>94</v>
      </c>
      <c r="B63" s="718"/>
      <c r="C63" s="423"/>
      <c r="D63" s="453">
        <f>SUM(D61:D62)</f>
        <v>0</v>
      </c>
      <c r="E63" s="453">
        <f>SUM(E61:E62)</f>
        <v>0</v>
      </c>
      <c r="F63" s="392"/>
      <c r="G63" s="392"/>
    </row>
    <row r="64" spans="1:7" x14ac:dyDescent="0.2">
      <c r="A64" s="426" t="s">
        <v>550</v>
      </c>
      <c r="B64" s="720"/>
      <c r="C64" s="448" t="s">
        <v>547</v>
      </c>
      <c r="D64" s="448" t="s">
        <v>548</v>
      </c>
      <c r="E64" s="448" t="s">
        <v>548</v>
      </c>
      <c r="F64" s="392"/>
      <c r="G64" s="392"/>
    </row>
    <row r="65" spans="1:7" x14ac:dyDescent="0.2">
      <c r="A65" s="429" t="s">
        <v>551</v>
      </c>
      <c r="B65" s="444">
        <f>'M. Cal'!C14</f>
        <v>1.32E-2</v>
      </c>
      <c r="C65" s="444">
        <f>'M. Cal'!C14</f>
        <v>1.32E-2</v>
      </c>
      <c r="D65" s="445">
        <f>(D24*C65)*-1</f>
        <v>0</v>
      </c>
      <c r="E65" s="445">
        <f>(E24*C65)*-1</f>
        <v>0</v>
      </c>
      <c r="F65" s="392"/>
      <c r="G65" s="392"/>
    </row>
    <row r="66" spans="1:7" x14ac:dyDescent="0.2">
      <c r="A66" s="429" t="s">
        <v>552</v>
      </c>
      <c r="B66" s="727">
        <f>'M. Cal'!C14</f>
        <v>1.32E-2</v>
      </c>
      <c r="C66" s="444">
        <f>'M. Cal'!C14</f>
        <v>1.32E-2</v>
      </c>
      <c r="D66" s="445">
        <f>(D25*B66)*-1</f>
        <v>0</v>
      </c>
      <c r="E66" s="445">
        <f>(E25*C66)*-1</f>
        <v>0</v>
      </c>
      <c r="F66" s="392"/>
      <c r="G66" s="392"/>
    </row>
    <row r="67" spans="1:7" x14ac:dyDescent="0.2">
      <c r="A67" s="429" t="s">
        <v>553</v>
      </c>
      <c r="B67" s="727">
        <f>'M. Cal'!C14</f>
        <v>1.32E-2</v>
      </c>
      <c r="C67" s="444">
        <f>'M. Cal'!C14</f>
        <v>1.32E-2</v>
      </c>
      <c r="D67" s="445">
        <f>(D26*B67)*-1</f>
        <v>0</v>
      </c>
      <c r="E67" s="445">
        <f>(E26*C67)*-1</f>
        <v>0</v>
      </c>
      <c r="F67" s="392"/>
      <c r="G67" s="392"/>
    </row>
    <row r="68" spans="1:7" x14ac:dyDescent="0.2">
      <c r="A68" s="422" t="s">
        <v>94</v>
      </c>
      <c r="B68" s="718"/>
      <c r="C68" s="423"/>
      <c r="D68" s="453">
        <f>SUM(D65:D67)</f>
        <v>0</v>
      </c>
      <c r="E68" s="453">
        <f>SUM(E65:E67)</f>
        <v>0</v>
      </c>
      <c r="F68" s="392"/>
      <c r="G68" s="392"/>
    </row>
    <row r="69" spans="1:7" x14ac:dyDescent="0.2">
      <c r="A69" s="455" t="s">
        <v>542</v>
      </c>
      <c r="B69" s="721"/>
      <c r="C69" s="456" t="s">
        <v>547</v>
      </c>
      <c r="D69" s="456" t="s">
        <v>548</v>
      </c>
      <c r="E69" s="456" t="s">
        <v>548</v>
      </c>
      <c r="F69" s="392"/>
      <c r="G69" s="392"/>
    </row>
    <row r="70" spans="1:7" x14ac:dyDescent="0.2">
      <c r="A70" s="429" t="s">
        <v>554</v>
      </c>
      <c r="B70" s="444">
        <f>'M. Cal'!C12</f>
        <v>0.33710000000000001</v>
      </c>
      <c r="C70" s="444">
        <f>'M. Cal'!C12</f>
        <v>0.33710000000000001</v>
      </c>
      <c r="D70" s="445">
        <f>D59</f>
        <v>0</v>
      </c>
      <c r="E70" s="445">
        <f>E59</f>
        <v>0</v>
      </c>
      <c r="F70" s="392"/>
      <c r="G70" s="392"/>
    </row>
    <row r="71" spans="1:7" x14ac:dyDescent="0.2">
      <c r="A71" s="429" t="s">
        <v>555</v>
      </c>
      <c r="B71" s="444">
        <f>'M. Cal'!C13</f>
        <v>0.23333333333333334</v>
      </c>
      <c r="C71" s="444">
        <f>'M. Cal'!C13</f>
        <v>0.23333333333333334</v>
      </c>
      <c r="D71" s="445">
        <f>D63</f>
        <v>0</v>
      </c>
      <c r="E71" s="445">
        <f>E63</f>
        <v>0</v>
      </c>
      <c r="F71" s="392"/>
      <c r="G71" s="392"/>
    </row>
    <row r="72" spans="1:7" x14ac:dyDescent="0.2">
      <c r="A72" s="429" t="s">
        <v>556</v>
      </c>
      <c r="B72" s="444">
        <f>'M. Cal'!C14</f>
        <v>1.32E-2</v>
      </c>
      <c r="C72" s="444">
        <f>'M. Cal'!C14</f>
        <v>1.32E-2</v>
      </c>
      <c r="D72" s="445">
        <f>D68</f>
        <v>0</v>
      </c>
      <c r="E72" s="445">
        <f>E68</f>
        <v>0</v>
      </c>
      <c r="F72" s="392"/>
      <c r="G72" s="392"/>
    </row>
    <row r="73" spans="1:7" ht="15.75" customHeight="1" x14ac:dyDescent="0.2">
      <c r="A73" s="422" t="s">
        <v>94</v>
      </c>
      <c r="B73" s="718"/>
      <c r="C73" s="458"/>
      <c r="D73" s="453">
        <f>SUM(D70:D72)</f>
        <v>0</v>
      </c>
      <c r="E73" s="453">
        <f>SUM(E70:E72)</f>
        <v>0</v>
      </c>
      <c r="F73" s="392"/>
      <c r="G73" s="392"/>
    </row>
    <row r="74" spans="1:7" ht="5.65" customHeight="1" x14ac:dyDescent="0.2">
      <c r="A74" s="905"/>
      <c r="B74" s="905"/>
      <c r="C74" s="905"/>
      <c r="D74" s="905"/>
      <c r="E74" s="392"/>
      <c r="F74" s="392"/>
      <c r="G74" s="392"/>
    </row>
    <row r="75" spans="1:7" ht="28.35" customHeight="1" x14ac:dyDescent="0.2">
      <c r="A75" s="902" t="s">
        <v>557</v>
      </c>
      <c r="B75" s="903"/>
      <c r="C75" s="903"/>
      <c r="D75" s="903"/>
      <c r="E75" s="904"/>
      <c r="F75" s="392"/>
      <c r="G75" s="392"/>
    </row>
    <row r="76" spans="1:7" ht="15.75" customHeight="1" x14ac:dyDescent="0.2">
      <c r="A76" s="459" t="s">
        <v>558</v>
      </c>
      <c r="B76" s="722"/>
      <c r="C76" s="712"/>
      <c r="D76" s="712"/>
      <c r="E76" s="712"/>
      <c r="F76" s="392"/>
      <c r="G76" s="392"/>
    </row>
    <row r="77" spans="1:7" ht="15.75" customHeight="1" x14ac:dyDescent="0.2">
      <c r="A77" s="429" t="s">
        <v>559</v>
      </c>
      <c r="B77" s="719"/>
      <c r="C77" s="419"/>
      <c r="D77" s="439">
        <f>((($D$20+$D$52+$D$73)/30)*'M. Cal'!F47)/12</f>
        <v>0</v>
      </c>
      <c r="E77" s="439">
        <f>((($E$20+$E$52+$E$73)/30)*'M. Cal'!F47)/12</f>
        <v>0</v>
      </c>
      <c r="F77" s="392"/>
      <c r="G77" s="392"/>
    </row>
    <row r="78" spans="1:7" ht="15.75" customHeight="1" x14ac:dyDescent="0.2">
      <c r="A78" s="429" t="s">
        <v>560</v>
      </c>
      <c r="B78" s="719"/>
      <c r="C78" s="419"/>
      <c r="D78" s="439">
        <f>(SUM('M. Cal'!$F$48,'M. Cal'!$F$50:$F$56,'M. Cal'!$F$58)*(D20+D52+D73)/30)/12</f>
        <v>0</v>
      </c>
      <c r="E78" s="439">
        <f>(SUM('M. Cal'!$F$48,'M. Cal'!$F$50:$F$56,'M. Cal'!$F$58)*(E20+E52+E73)/30)/12</f>
        <v>0</v>
      </c>
      <c r="F78" s="392"/>
      <c r="G78" s="392"/>
    </row>
    <row r="79" spans="1:7" ht="15.75" customHeight="1" x14ac:dyDescent="0.2">
      <c r="A79" s="429" t="s">
        <v>561</v>
      </c>
      <c r="B79" s="719"/>
      <c r="C79" s="460"/>
      <c r="D79" s="439">
        <f>((($D$20+$D$52+$D$73)/30)*'M. Cal'!F57)/12</f>
        <v>0</v>
      </c>
      <c r="E79" s="439">
        <f>((($E$20+$E$52+$E$73)/30)*'M. Cal'!F57)/12</f>
        <v>0</v>
      </c>
      <c r="F79" s="392"/>
      <c r="G79" s="392"/>
    </row>
    <row r="80" spans="1:7" ht="15.75" customHeight="1" x14ac:dyDescent="0.2">
      <c r="A80" s="429" t="s">
        <v>562</v>
      </c>
      <c r="B80" s="719"/>
      <c r="C80" s="460"/>
      <c r="D80" s="439">
        <f>((($D$20+$D$52+$D$73)/30)*'M. Cal'!F49)/12</f>
        <v>0</v>
      </c>
      <c r="E80" s="439">
        <f>((($E$20+$E$52+$E$73)/30)*'M. Cal'!F49)/12</f>
        <v>0</v>
      </c>
      <c r="F80" s="392"/>
      <c r="G80" s="392"/>
    </row>
    <row r="81" spans="1:7" ht="15.75" customHeight="1" x14ac:dyDescent="0.2">
      <c r="A81" s="429" t="s">
        <v>563</v>
      </c>
      <c r="B81" s="719"/>
      <c r="C81" s="419"/>
      <c r="D81" s="439"/>
      <c r="E81" s="439"/>
      <c r="F81" s="392"/>
      <c r="G81" s="392"/>
    </row>
    <row r="82" spans="1:7" ht="15.75" customHeight="1" x14ac:dyDescent="0.2">
      <c r="A82" s="735" t="s">
        <v>564</v>
      </c>
      <c r="B82" s="723"/>
      <c r="C82" s="461">
        <f>SUM(C77:C81)</f>
        <v>0</v>
      </c>
      <c r="D82" s="462">
        <f>SUM(D77:D81)</f>
        <v>0</v>
      </c>
      <c r="E82" s="462">
        <f>SUM(E77:E81)</f>
        <v>0</v>
      </c>
      <c r="F82" s="392"/>
      <c r="G82" s="392"/>
    </row>
    <row r="83" spans="1:7" ht="5.65" customHeight="1" x14ac:dyDescent="0.2">
      <c r="A83" s="905"/>
      <c r="B83" s="905"/>
      <c r="C83" s="905"/>
      <c r="D83" s="905"/>
      <c r="E83" s="392"/>
      <c r="F83" s="392"/>
      <c r="G83" s="392"/>
    </row>
    <row r="84" spans="1:7" ht="28.35" customHeight="1" x14ac:dyDescent="0.2">
      <c r="A84" s="902" t="s">
        <v>565</v>
      </c>
      <c r="B84" s="903"/>
      <c r="C84" s="903"/>
      <c r="D84" s="903"/>
      <c r="E84" s="904"/>
      <c r="F84" s="392"/>
      <c r="G84" s="392"/>
    </row>
    <row r="85" spans="1:7" ht="15.75" customHeight="1" x14ac:dyDescent="0.2">
      <c r="A85" s="441" t="s">
        <v>566</v>
      </c>
      <c r="B85" s="716"/>
      <c r="C85" s="442" t="s">
        <v>567</v>
      </c>
      <c r="D85" s="442" t="s">
        <v>502</v>
      </c>
      <c r="E85" s="442" t="s">
        <v>502</v>
      </c>
      <c r="F85" s="392"/>
      <c r="G85" s="392"/>
    </row>
    <row r="86" spans="1:7" ht="15.75" customHeight="1" x14ac:dyDescent="0.2">
      <c r="A86" s="429" t="s">
        <v>568</v>
      </c>
      <c r="B86" s="465">
        <f>Insumos!F205</f>
        <v>0</v>
      </c>
      <c r="C86" s="465">
        <f>Insumos!F205</f>
        <v>0</v>
      </c>
      <c r="D86" s="417">
        <f>B86</f>
        <v>0</v>
      </c>
      <c r="E86" s="417">
        <f>C86</f>
        <v>0</v>
      </c>
      <c r="F86" s="392"/>
      <c r="G86" s="392"/>
    </row>
    <row r="87" spans="1:7" ht="15.75" customHeight="1" x14ac:dyDescent="0.2">
      <c r="A87" s="376" t="s">
        <v>569</v>
      </c>
      <c r="B87" s="724"/>
      <c r="C87" s="465"/>
      <c r="D87" s="593" t="s">
        <v>570</v>
      </c>
      <c r="E87" s="593" t="s">
        <v>570</v>
      </c>
      <c r="F87" s="392"/>
      <c r="G87" s="392"/>
    </row>
    <row r="88" spans="1:7" ht="15.75" customHeight="1" x14ac:dyDescent="0.2">
      <c r="A88" s="376" t="s">
        <v>571</v>
      </c>
      <c r="B88" s="466">
        <f>Insumos!F197</f>
        <v>0</v>
      </c>
      <c r="C88" s="466">
        <f>Insumos!G197</f>
        <v>0</v>
      </c>
      <c r="D88" s="417">
        <f>B88</f>
        <v>0</v>
      </c>
      <c r="E88" s="417">
        <f>C88</f>
        <v>0</v>
      </c>
      <c r="F88" s="392"/>
      <c r="G88" s="392"/>
    </row>
    <row r="89" spans="1:7" ht="15.75" customHeight="1" x14ac:dyDescent="0.2">
      <c r="A89" s="376" t="s">
        <v>572</v>
      </c>
      <c r="B89" s="465">
        <f>Insumos!F214</f>
        <v>0</v>
      </c>
      <c r="C89" s="465">
        <f>Insumos!F214</f>
        <v>0</v>
      </c>
      <c r="D89" s="417">
        <f>B89</f>
        <v>0</v>
      </c>
      <c r="E89" s="417">
        <f>C89</f>
        <v>0</v>
      </c>
      <c r="F89" s="392"/>
      <c r="G89" s="392"/>
    </row>
    <row r="90" spans="1:7" ht="15.75" customHeight="1" x14ac:dyDescent="0.2">
      <c r="A90" s="735" t="s">
        <v>94</v>
      </c>
      <c r="B90" s="723"/>
      <c r="C90" s="468"/>
      <c r="D90" s="463">
        <f>SUM(D86:D89)</f>
        <v>0</v>
      </c>
      <c r="E90" s="463">
        <f>SUM(E86:E89)</f>
        <v>0</v>
      </c>
      <c r="F90" s="392"/>
      <c r="G90" s="392"/>
    </row>
    <row r="91" spans="1:7" ht="5.65" customHeight="1" x14ac:dyDescent="0.2">
      <c r="A91" s="905"/>
      <c r="B91" s="905"/>
      <c r="C91" s="905"/>
      <c r="D91" s="905"/>
      <c r="E91" s="392"/>
      <c r="F91" s="392"/>
      <c r="G91" s="392"/>
    </row>
    <row r="92" spans="1:7" ht="28.35" customHeight="1" x14ac:dyDescent="0.2">
      <c r="A92" s="902" t="s">
        <v>573</v>
      </c>
      <c r="B92" s="903"/>
      <c r="C92" s="903"/>
      <c r="D92" s="903"/>
      <c r="E92" s="904"/>
      <c r="F92" s="392"/>
      <c r="G92" s="392"/>
    </row>
    <row r="93" spans="1:7" ht="15.75" customHeight="1" x14ac:dyDescent="0.2">
      <c r="A93" s="441" t="s">
        <v>574</v>
      </c>
      <c r="B93" s="716"/>
      <c r="C93" s="442" t="s">
        <v>501</v>
      </c>
      <c r="D93" s="442" t="s">
        <v>502</v>
      </c>
      <c r="E93" s="442" t="s">
        <v>502</v>
      </c>
      <c r="F93" s="392"/>
      <c r="G93" s="392"/>
    </row>
    <row r="94" spans="1:7" ht="15.75" customHeight="1" x14ac:dyDescent="0.2">
      <c r="A94" s="415" t="s">
        <v>575</v>
      </c>
      <c r="B94" s="728">
        <f>'M. Cal'!I10</f>
        <v>0</v>
      </c>
      <c r="C94" s="419">
        <v>0.03</v>
      </c>
      <c r="D94" s="439">
        <f>($D$20+$D$52+$D$73+$D$82+$D$90)*$B$94</f>
        <v>0</v>
      </c>
      <c r="E94" s="439">
        <f>($E$20+$E$52+$E$73+$E$82+$E$90)*$C$94</f>
        <v>0</v>
      </c>
      <c r="F94" s="392"/>
      <c r="G94" s="392"/>
    </row>
    <row r="95" spans="1:7" ht="15.75" customHeight="1" x14ac:dyDescent="0.2">
      <c r="A95" s="415" t="s">
        <v>576</v>
      </c>
      <c r="B95" s="728">
        <f>'M. Cal'!J10</f>
        <v>0</v>
      </c>
      <c r="C95" s="419">
        <f>'M. Cal'!J10</f>
        <v>0</v>
      </c>
      <c r="D95" s="439">
        <f>($D$20+$D$52+$D$73+$D$82+$D$90)*B95</f>
        <v>0</v>
      </c>
      <c r="E95" s="439">
        <f>($E$20+$E$52+$E$73+$E$82+$E$90)*C95</f>
        <v>0</v>
      </c>
      <c r="F95" s="392"/>
      <c r="G95" s="392"/>
    </row>
    <row r="96" spans="1:7" ht="24.75" x14ac:dyDescent="0.2">
      <c r="A96" s="379" t="s">
        <v>577</v>
      </c>
      <c r="B96" s="419">
        <f>SUM(B97:B100)</f>
        <v>9.2499999999999999E-2</v>
      </c>
      <c r="C96" s="419">
        <f>SUM(C97:C100)</f>
        <v>9.2499999999999999E-2</v>
      </c>
      <c r="D96" s="439">
        <f>($D$20+$D$52+$D$73+$D$82+$D$90)*B96</f>
        <v>0</v>
      </c>
      <c r="E96" s="439">
        <f>($E$20+$E$52+$E$73+$E$82+$E$90)*C96</f>
        <v>0</v>
      </c>
      <c r="F96" s="392"/>
      <c r="G96" s="392"/>
    </row>
    <row r="97" spans="1:7" ht="15.75" customHeight="1" x14ac:dyDescent="0.2">
      <c r="A97" s="415" t="s">
        <v>578</v>
      </c>
      <c r="B97" s="469">
        <f>1.65%+7.6%</f>
        <v>9.2499999999999999E-2</v>
      </c>
      <c r="C97" s="469">
        <f>1.65%+7.6%</f>
        <v>9.2499999999999999E-2</v>
      </c>
      <c r="D97" s="439">
        <f>($D$20+$D$52+$D$73+$D$82+$D$90)*B97</f>
        <v>0</v>
      </c>
      <c r="E97" s="439">
        <f>($E$20+$E$52+$E$73+$E$82+$E$90)*C97</f>
        <v>0</v>
      </c>
      <c r="F97" s="392"/>
      <c r="G97" s="392"/>
    </row>
    <row r="98" spans="1:7" ht="15.75" customHeight="1" x14ac:dyDescent="0.2">
      <c r="A98" s="415" t="s">
        <v>579</v>
      </c>
      <c r="B98" s="717"/>
      <c r="C98" s="469"/>
      <c r="D98" s="439">
        <f>($D$20+$D$52+$D$73+$D$82+$D$90)*B98</f>
        <v>0</v>
      </c>
      <c r="E98" s="439">
        <f>($E$20+$E$52+$E$73+$E$82+$E$90)*C98</f>
        <v>0</v>
      </c>
      <c r="F98" s="392"/>
      <c r="G98" s="392"/>
    </row>
    <row r="99" spans="1:7" ht="15.75" customHeight="1" x14ac:dyDescent="0.2">
      <c r="A99" s="415" t="s">
        <v>580</v>
      </c>
      <c r="B99" s="728">
        <f>'M. Cal'!L2</f>
        <v>0</v>
      </c>
      <c r="C99" s="469">
        <f>'M. Cal'!L21</f>
        <v>0</v>
      </c>
      <c r="D99" s="439">
        <f>($D$20+$D$52+$D$73+$D$82+$D$90)*B99</f>
        <v>0</v>
      </c>
      <c r="E99" s="439">
        <f>($E$20+$E$52+$E$73+$E$82+$E$90)*C99</f>
        <v>0</v>
      </c>
      <c r="F99" s="392"/>
      <c r="G99" s="392"/>
    </row>
    <row r="100" spans="1:7" ht="15.75" customHeight="1" x14ac:dyDescent="0.2">
      <c r="A100" s="415" t="s">
        <v>581</v>
      </c>
      <c r="B100" s="717"/>
      <c r="C100" s="438"/>
      <c r="D100" s="470"/>
      <c r="E100" s="470"/>
      <c r="F100" s="392"/>
      <c r="G100" s="392"/>
    </row>
    <row r="101" spans="1:7" ht="15.75" customHeight="1" x14ac:dyDescent="0.2">
      <c r="A101" s="735" t="s">
        <v>94</v>
      </c>
      <c r="B101" s="723"/>
      <c r="C101" s="461"/>
      <c r="D101" s="462">
        <f>SUM(D94:D96)</f>
        <v>0</v>
      </c>
      <c r="E101" s="462">
        <f>SUM(E94:E96)</f>
        <v>0</v>
      </c>
      <c r="F101" s="392"/>
      <c r="G101" s="392"/>
    </row>
    <row r="102" spans="1:7" ht="5.65" customHeight="1" x14ac:dyDescent="0.2">
      <c r="A102" s="905"/>
      <c r="B102" s="905"/>
      <c r="C102" s="905"/>
      <c r="D102" s="905"/>
      <c r="E102" s="392"/>
      <c r="F102" s="392"/>
      <c r="G102" s="392"/>
    </row>
    <row r="103" spans="1:7" ht="5.65" customHeight="1" x14ac:dyDescent="0.2">
      <c r="A103" s="905"/>
      <c r="B103" s="905"/>
      <c r="C103" s="905"/>
      <c r="D103" s="905"/>
      <c r="E103" s="392"/>
      <c r="F103" s="392"/>
      <c r="G103" s="392"/>
    </row>
    <row r="104" spans="1:7" ht="57" customHeight="1" x14ac:dyDescent="0.2">
      <c r="A104" s="910" t="s">
        <v>582</v>
      </c>
      <c r="B104" s="910"/>
      <c r="C104" s="910"/>
      <c r="D104" s="472" t="str">
        <f>D10</f>
        <v>Carregador 44h Ponta Grossa</v>
      </c>
      <c r="E104" s="472" t="str">
        <f>E10</f>
        <v>Carregador 44h Curitiba</v>
      </c>
      <c r="F104" s="392"/>
      <c r="G104" s="392"/>
    </row>
    <row r="105" spans="1:7" ht="15.75" customHeight="1" x14ac:dyDescent="0.2">
      <c r="A105" s="914" t="s">
        <v>583</v>
      </c>
      <c r="B105" s="914"/>
      <c r="C105" s="914"/>
      <c r="D105" s="474" t="s">
        <v>513</v>
      </c>
      <c r="E105" s="474" t="s">
        <v>513</v>
      </c>
      <c r="F105" s="392"/>
      <c r="G105" s="392"/>
    </row>
    <row r="106" spans="1:7" ht="15.75" customHeight="1" x14ac:dyDescent="0.2">
      <c r="A106" s="912" t="s">
        <v>584</v>
      </c>
      <c r="B106" s="912"/>
      <c r="C106" s="912"/>
      <c r="D106" s="476">
        <f>D20</f>
        <v>0</v>
      </c>
      <c r="E106" s="476">
        <f>E20</f>
        <v>0</v>
      </c>
      <c r="F106" s="392"/>
      <c r="G106" s="392"/>
    </row>
    <row r="107" spans="1:7" ht="15.75" customHeight="1" x14ac:dyDescent="0.2">
      <c r="A107" s="912" t="s">
        <v>585</v>
      </c>
      <c r="B107" s="912"/>
      <c r="C107" s="912"/>
      <c r="D107" s="476">
        <f>D52</f>
        <v>0</v>
      </c>
      <c r="E107" s="476">
        <f>E52</f>
        <v>0</v>
      </c>
      <c r="F107" s="392"/>
      <c r="G107" s="392"/>
    </row>
    <row r="108" spans="1:7" ht="15.75" customHeight="1" x14ac:dyDescent="0.2">
      <c r="A108" s="912" t="s">
        <v>586</v>
      </c>
      <c r="B108" s="912"/>
      <c r="C108" s="912"/>
      <c r="D108" s="476">
        <f>D73</f>
        <v>0</v>
      </c>
      <c r="E108" s="476">
        <f>E73</f>
        <v>0</v>
      </c>
      <c r="F108" s="392"/>
      <c r="G108" s="392"/>
    </row>
    <row r="109" spans="1:7" ht="15.75" customHeight="1" x14ac:dyDescent="0.2">
      <c r="A109" s="912" t="s">
        <v>587</v>
      </c>
      <c r="B109" s="912"/>
      <c r="C109" s="912"/>
      <c r="D109" s="476">
        <f>D82</f>
        <v>0</v>
      </c>
      <c r="E109" s="476">
        <f>E82</f>
        <v>0</v>
      </c>
      <c r="F109" s="392"/>
      <c r="G109" s="392"/>
    </row>
    <row r="110" spans="1:7" ht="15.75" customHeight="1" x14ac:dyDescent="0.2">
      <c r="A110" s="912" t="s">
        <v>588</v>
      </c>
      <c r="B110" s="912"/>
      <c r="C110" s="912"/>
      <c r="D110" s="476">
        <f>D90</f>
        <v>0</v>
      </c>
      <c r="E110" s="476">
        <f>E90</f>
        <v>0</v>
      </c>
      <c r="F110" s="392"/>
      <c r="G110" s="392"/>
    </row>
    <row r="111" spans="1:7" ht="15.75" customHeight="1" x14ac:dyDescent="0.2">
      <c r="A111" s="911" t="s">
        <v>589</v>
      </c>
      <c r="B111" s="911"/>
      <c r="C111" s="911"/>
      <c r="D111" s="478">
        <f>SUM(D106:D110)</f>
        <v>0</v>
      </c>
      <c r="E111" s="478">
        <f>SUM(E106:E110)</f>
        <v>0</v>
      </c>
      <c r="F111" s="392"/>
      <c r="G111" s="392"/>
    </row>
    <row r="112" spans="1:7" ht="15.75" customHeight="1" x14ac:dyDescent="0.2">
      <c r="A112" s="912" t="s">
        <v>590</v>
      </c>
      <c r="B112" s="912"/>
      <c r="C112" s="912"/>
      <c r="D112" s="476">
        <f>D101</f>
        <v>0</v>
      </c>
      <c r="E112" s="476">
        <f>E101</f>
        <v>0</v>
      </c>
      <c r="F112" s="392"/>
      <c r="G112" s="392"/>
    </row>
    <row r="113" spans="1:7" ht="15.75" customHeight="1" x14ac:dyDescent="0.2">
      <c r="A113" s="913" t="s">
        <v>591</v>
      </c>
      <c r="B113" s="913"/>
      <c r="C113" s="913"/>
      <c r="D113" s="480">
        <f>SUM(D111:D112)</f>
        <v>0</v>
      </c>
      <c r="E113" s="480">
        <f>SUM(E111:E112)</f>
        <v>0</v>
      </c>
      <c r="F113" s="392"/>
      <c r="G113" s="392"/>
    </row>
    <row r="114" spans="1:7" ht="5.65" customHeight="1" x14ac:dyDescent="0.2">
      <c r="A114" s="482"/>
      <c r="B114" s="725"/>
      <c r="C114" s="483"/>
      <c r="D114" s="483"/>
      <c r="E114" s="392"/>
      <c r="F114" s="392"/>
      <c r="G114" s="392"/>
    </row>
    <row r="115" spans="1:7" ht="11.25" customHeight="1" x14ac:dyDescent="0.2">
      <c r="A115" s="482"/>
      <c r="B115" s="725"/>
      <c r="C115" s="485"/>
      <c r="D115" s="485"/>
      <c r="E115" s="392"/>
      <c r="F115" s="392"/>
      <c r="G115" s="392"/>
    </row>
    <row r="116" spans="1:7" x14ac:dyDescent="0.2">
      <c r="A116" s="914" t="s">
        <v>592</v>
      </c>
      <c r="B116" s="914"/>
      <c r="C116" s="914"/>
      <c r="D116" s="474"/>
      <c r="E116" s="474"/>
    </row>
    <row r="117" spans="1:7" x14ac:dyDescent="0.2">
      <c r="A117" s="912" t="s">
        <v>593</v>
      </c>
      <c r="B117" s="912"/>
      <c r="C117" s="912"/>
      <c r="D117" s="476">
        <f>Insumos!F218</f>
        <v>0</v>
      </c>
      <c r="E117" s="476">
        <f>Insumos!F222</f>
        <v>0</v>
      </c>
    </row>
    <row r="118" spans="1:7" x14ac:dyDescent="0.2">
      <c r="A118" s="912" t="s">
        <v>594</v>
      </c>
      <c r="B118" s="912"/>
      <c r="C118" s="912"/>
      <c r="D118" s="476">
        <f>Insumos!F217</f>
        <v>0</v>
      </c>
      <c r="E118" s="476">
        <f>Insumos!F221</f>
        <v>0</v>
      </c>
    </row>
    <row r="119" spans="1:7" x14ac:dyDescent="0.2">
      <c r="A119" s="913" t="s">
        <v>595</v>
      </c>
      <c r="B119" s="913"/>
      <c r="C119" s="913"/>
      <c r="D119" s="480">
        <f>SUM(D117:D118)</f>
        <v>0</v>
      </c>
      <c r="E119" s="480">
        <f>SUM(E117:E118)</f>
        <v>0</v>
      </c>
    </row>
    <row r="121" spans="1:7" x14ac:dyDescent="0.2">
      <c r="A121" s="913" t="s">
        <v>596</v>
      </c>
      <c r="B121" s="913"/>
      <c r="C121" s="913"/>
      <c r="D121" s="480">
        <f>D113+D119</f>
        <v>0</v>
      </c>
      <c r="E121" s="480">
        <f>E113+E119</f>
        <v>0</v>
      </c>
    </row>
  </sheetData>
  <mergeCells count="32">
    <mergeCell ref="A119:C119"/>
    <mergeCell ref="A121:C121"/>
    <mergeCell ref="A116:C116"/>
    <mergeCell ref="A117:C117"/>
    <mergeCell ref="A118:C118"/>
    <mergeCell ref="A111:C111"/>
    <mergeCell ref="A112:C112"/>
    <mergeCell ref="A113:C113"/>
    <mergeCell ref="A105:C105"/>
    <mergeCell ref="A106:C106"/>
    <mergeCell ref="A107:C107"/>
    <mergeCell ref="A108:C108"/>
    <mergeCell ref="A109:C109"/>
    <mergeCell ref="A110:C110"/>
    <mergeCell ref="A104:C104"/>
    <mergeCell ref="A53:D53"/>
    <mergeCell ref="A74:D74"/>
    <mergeCell ref="A83:D83"/>
    <mergeCell ref="A91:D91"/>
    <mergeCell ref="A102:D102"/>
    <mergeCell ref="A103:D103"/>
    <mergeCell ref="A54:E54"/>
    <mergeCell ref="A75:E75"/>
    <mergeCell ref="A84:E84"/>
    <mergeCell ref="A92:E92"/>
    <mergeCell ref="A22:E22"/>
    <mergeCell ref="A21:D21"/>
    <mergeCell ref="A9:D9"/>
    <mergeCell ref="A11:E11"/>
    <mergeCell ref="A1:E1"/>
    <mergeCell ref="A2:E2"/>
    <mergeCell ref="A3:E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J112"/>
  <sheetViews>
    <sheetView topLeftCell="A46" zoomScaleNormal="100" workbookViewId="0">
      <selection activeCell="I55" sqref="I55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3" style="300" customWidth="1"/>
    <col min="4" max="4" width="10.875" style="300" customWidth="1"/>
    <col min="5" max="1022" width="10.5" style="300"/>
  </cols>
  <sheetData>
    <row r="1" spans="1:1024" s="302" customFormat="1" ht="15.75" x14ac:dyDescent="0.2">
      <c r="A1" s="915" t="s">
        <v>488</v>
      </c>
      <c r="B1" s="915"/>
      <c r="C1" s="915"/>
      <c r="D1" s="915"/>
      <c r="E1" s="301"/>
      <c r="F1" s="301"/>
      <c r="G1" s="301"/>
      <c r="AMI1"/>
      <c r="AMJ1"/>
    </row>
    <row r="2" spans="1:1024" s="302" customFormat="1" ht="15.75" x14ac:dyDescent="0.2">
      <c r="A2" s="916" t="s">
        <v>489</v>
      </c>
      <c r="B2" s="916"/>
      <c r="C2" s="916"/>
      <c r="D2" s="916"/>
      <c r="E2" s="301"/>
      <c r="F2" s="301"/>
      <c r="G2" s="301"/>
      <c r="AMI2"/>
      <c r="AMJ2"/>
    </row>
    <row r="3" spans="1:1024" s="302" customFormat="1" ht="15.75" x14ac:dyDescent="0.2">
      <c r="A3" s="917"/>
      <c r="B3" s="917"/>
      <c r="C3" s="303"/>
      <c r="D3" s="304"/>
      <c r="E3" s="301"/>
      <c r="F3" s="301"/>
      <c r="G3" s="301"/>
      <c r="AMI3"/>
      <c r="AMJ3"/>
    </row>
    <row r="4" spans="1:1024" s="302" customFormat="1" ht="15.75" x14ac:dyDescent="0.2">
      <c r="A4" s="305"/>
      <c r="B4" s="306"/>
      <c r="C4" s="310"/>
      <c r="D4" s="307" t="s">
        <v>14</v>
      </c>
      <c r="E4" s="301"/>
      <c r="F4" s="301"/>
      <c r="G4" s="301"/>
      <c r="AMI4"/>
      <c r="AMJ4"/>
    </row>
    <row r="5" spans="1:1024" s="302" customFormat="1" x14ac:dyDescent="0.2">
      <c r="A5" s="308"/>
      <c r="B5" s="309" t="s">
        <v>490</v>
      </c>
      <c r="C5" s="310"/>
      <c r="D5" s="311">
        <f>'M. Cal'!D5</f>
        <v>0</v>
      </c>
      <c r="E5" s="301"/>
      <c r="F5" s="301"/>
      <c r="G5" s="301"/>
      <c r="AMI5"/>
      <c r="AMJ5"/>
    </row>
    <row r="6" spans="1:1024" s="302" customFormat="1" x14ac:dyDescent="0.2">
      <c r="A6" s="308"/>
      <c r="B6" s="309" t="s">
        <v>491</v>
      </c>
      <c r="C6" s="312"/>
      <c r="D6" s="313">
        <f>'M. Cal'!D1</f>
        <v>44228</v>
      </c>
      <c r="E6" s="301"/>
      <c r="F6" s="301"/>
      <c r="G6" s="301"/>
      <c r="AMI6"/>
      <c r="AMJ6"/>
    </row>
    <row r="7" spans="1:1024" s="302" customFormat="1" x14ac:dyDescent="0.2">
      <c r="A7" s="308"/>
      <c r="B7" s="309" t="s">
        <v>492</v>
      </c>
      <c r="C7" s="312"/>
      <c r="D7" s="313" t="str">
        <f>'M. Cal'!C1</f>
        <v>PR000326/2021</v>
      </c>
      <c r="E7" s="301"/>
      <c r="F7" s="301"/>
      <c r="G7" s="301"/>
      <c r="AMI7"/>
      <c r="AMJ7"/>
    </row>
    <row r="8" spans="1:1024" s="302" customFormat="1" x14ac:dyDescent="0.2">
      <c r="A8" s="308"/>
      <c r="B8" s="309" t="s">
        <v>493</v>
      </c>
      <c r="C8" s="312"/>
      <c r="D8" s="313" t="s">
        <v>597</v>
      </c>
      <c r="E8" s="301"/>
      <c r="F8" s="301"/>
      <c r="G8" s="301"/>
      <c r="AMI8"/>
      <c r="AMJ8"/>
    </row>
    <row r="9" spans="1:1024" s="302" customFormat="1" x14ac:dyDescent="0.2">
      <c r="A9" s="918"/>
      <c r="B9" s="918"/>
      <c r="C9" s="314"/>
      <c r="D9" s="315"/>
      <c r="E9" s="301"/>
      <c r="F9" s="301"/>
      <c r="G9" s="301"/>
      <c r="AMI9"/>
      <c r="AMJ9"/>
    </row>
    <row r="10" spans="1:1024" s="302" customFormat="1" ht="60" customHeight="1" x14ac:dyDescent="0.2">
      <c r="A10" s="316" t="s">
        <v>494</v>
      </c>
      <c r="B10" s="317" t="s">
        <v>598</v>
      </c>
      <c r="C10" s="317" t="s">
        <v>599</v>
      </c>
      <c r="D10" s="814" t="s">
        <v>768</v>
      </c>
      <c r="E10" s="814" t="s">
        <v>769</v>
      </c>
      <c r="F10" s="301"/>
      <c r="G10" s="301"/>
      <c r="AMI10"/>
      <c r="AMJ10"/>
    </row>
    <row r="11" spans="1:1024" s="302" customFormat="1" ht="28.35" customHeight="1" x14ac:dyDescent="0.2">
      <c r="A11" s="919" t="s">
        <v>499</v>
      </c>
      <c r="B11" s="919"/>
      <c r="C11" s="919"/>
      <c r="D11" s="919"/>
      <c r="E11" s="919"/>
      <c r="F11" s="301"/>
      <c r="G11" s="301"/>
      <c r="AMI11"/>
      <c r="AMJ11"/>
    </row>
    <row r="12" spans="1:1024" s="302" customFormat="1" ht="15.75" customHeight="1" x14ac:dyDescent="0.2">
      <c r="A12" s="318" t="s">
        <v>500</v>
      </c>
      <c r="B12" s="319" t="s">
        <v>501</v>
      </c>
      <c r="C12" s="319" t="s">
        <v>501</v>
      </c>
      <c r="D12" s="320" t="s">
        <v>502</v>
      </c>
      <c r="E12" s="320" t="s">
        <v>502</v>
      </c>
      <c r="F12" s="301"/>
      <c r="G12" s="301"/>
      <c r="AMI12"/>
      <c r="AMJ12"/>
    </row>
    <row r="13" spans="1:1024" s="302" customFormat="1" ht="15.75" customHeight="1" x14ac:dyDescent="0.2">
      <c r="A13" s="321" t="s">
        <v>503</v>
      </c>
      <c r="B13" s="322"/>
      <c r="C13" s="323"/>
      <c r="D13" s="324">
        <f>D5</f>
        <v>0</v>
      </c>
      <c r="E13" s="324">
        <f>D5</f>
        <v>0</v>
      </c>
      <c r="F13" s="301"/>
      <c r="G13" s="301"/>
      <c r="AMI13"/>
      <c r="AMJ13"/>
    </row>
    <row r="14" spans="1:1024" s="302" customFormat="1" ht="15.75" customHeight="1" x14ac:dyDescent="0.2">
      <c r="A14" s="321" t="s">
        <v>504</v>
      </c>
      <c r="B14" s="325">
        <v>0.2</v>
      </c>
      <c r="C14" s="325">
        <v>0.2</v>
      </c>
      <c r="D14" s="324"/>
      <c r="E14" s="324"/>
      <c r="F14" s="301"/>
      <c r="G14" s="301"/>
      <c r="AMI14"/>
      <c r="AMJ14"/>
    </row>
    <row r="15" spans="1:1024" s="302" customFormat="1" ht="15.75" customHeight="1" x14ac:dyDescent="0.2">
      <c r="A15" s="321" t="s">
        <v>505</v>
      </c>
      <c r="B15" s="325">
        <v>0.4</v>
      </c>
      <c r="C15" s="325">
        <v>0.4</v>
      </c>
      <c r="D15" s="324"/>
      <c r="E15" s="324"/>
      <c r="F15" s="301"/>
      <c r="G15" s="301"/>
      <c r="AMI15"/>
      <c r="AMJ15"/>
    </row>
    <row r="16" spans="1:1024" s="302" customFormat="1" ht="15.75" customHeight="1" x14ac:dyDescent="0.2">
      <c r="A16" s="321" t="s">
        <v>506</v>
      </c>
      <c r="B16" s="326"/>
      <c r="C16" s="323"/>
      <c r="D16" s="324"/>
      <c r="E16" s="324"/>
      <c r="F16" s="301"/>
      <c r="G16" s="301"/>
      <c r="AMI16"/>
      <c r="AMJ16"/>
    </row>
    <row r="17" spans="1:1024" s="302" customFormat="1" ht="15.75" customHeight="1" x14ac:dyDescent="0.2">
      <c r="A17" s="321" t="s">
        <v>507</v>
      </c>
      <c r="B17" s="326"/>
      <c r="C17" s="323"/>
      <c r="D17" s="324"/>
      <c r="E17" s="324"/>
      <c r="F17" s="301"/>
      <c r="G17" s="301"/>
      <c r="AMI17"/>
      <c r="AMJ17"/>
    </row>
    <row r="18" spans="1:1024" s="302" customFormat="1" ht="15.75" customHeight="1" x14ac:dyDescent="0.2">
      <c r="A18" s="321" t="s">
        <v>508</v>
      </c>
      <c r="B18" s="326"/>
      <c r="C18" s="323"/>
      <c r="D18" s="324"/>
      <c r="E18" s="324"/>
      <c r="F18" s="301"/>
      <c r="G18" s="301"/>
      <c r="AMI18"/>
      <c r="AMJ18"/>
    </row>
    <row r="19" spans="1:1024" s="302" customFormat="1" ht="15.75" customHeight="1" x14ac:dyDescent="0.2">
      <c r="A19" s="321" t="s">
        <v>600</v>
      </c>
      <c r="B19" s="327"/>
      <c r="C19" s="323"/>
      <c r="D19" s="324"/>
      <c r="E19" s="324"/>
      <c r="F19" s="301"/>
      <c r="G19" s="301"/>
      <c r="AMI19"/>
      <c r="AMJ19"/>
    </row>
    <row r="20" spans="1:1024" s="302" customFormat="1" ht="15.75" customHeight="1" x14ac:dyDescent="0.2">
      <c r="A20" s="328" t="s">
        <v>94</v>
      </c>
      <c r="B20" s="329"/>
      <c r="C20" s="330"/>
      <c r="D20" s="331">
        <f>SUM(D13:D19)</f>
        <v>0</v>
      </c>
      <c r="E20" s="331">
        <f>SUM(E13:E19)</f>
        <v>0</v>
      </c>
      <c r="F20" s="301"/>
      <c r="G20" s="301"/>
      <c r="AMI20"/>
      <c r="AMJ20"/>
    </row>
    <row r="21" spans="1:1024" s="302" customFormat="1" ht="5.65" customHeight="1" x14ac:dyDescent="0.2">
      <c r="A21" s="918"/>
      <c r="B21" s="918"/>
      <c r="C21" s="314"/>
      <c r="D21" s="315"/>
      <c r="E21" s="301"/>
      <c r="F21" s="301"/>
      <c r="G21" s="301"/>
      <c r="AMI21"/>
      <c r="AMJ21"/>
    </row>
    <row r="22" spans="1:1024" s="302" customFormat="1" ht="28.35" customHeight="1" x14ac:dyDescent="0.2">
      <c r="A22" s="919" t="s">
        <v>510</v>
      </c>
      <c r="B22" s="919"/>
      <c r="C22" s="919"/>
      <c r="D22" s="919"/>
      <c r="E22" s="919"/>
      <c r="F22" s="301"/>
      <c r="G22" s="301"/>
      <c r="AMI22"/>
      <c r="AMJ22"/>
    </row>
    <row r="23" spans="1:1024" s="302" customFormat="1" ht="15.75" customHeight="1" x14ac:dyDescent="0.2">
      <c r="A23" s="332" t="s">
        <v>511</v>
      </c>
      <c r="B23" s="333" t="s">
        <v>512</v>
      </c>
      <c r="C23" s="333" t="s">
        <v>512</v>
      </c>
      <c r="D23" s="334" t="s">
        <v>513</v>
      </c>
      <c r="E23" s="334" t="s">
        <v>513</v>
      </c>
      <c r="F23" s="301"/>
      <c r="G23" s="301"/>
      <c r="AMI23"/>
      <c r="AMJ23"/>
    </row>
    <row r="24" spans="1:1024" s="302" customFormat="1" ht="15.75" customHeight="1" x14ac:dyDescent="0.2">
      <c r="A24" s="335" t="s">
        <v>514</v>
      </c>
      <c r="B24" s="325">
        <v>8.3299999999999999E-2</v>
      </c>
      <c r="C24" s="325">
        <v>8.3299999999999999E-2</v>
      </c>
      <c r="D24" s="324">
        <f>ROUND($B24*D$20,2)</f>
        <v>0</v>
      </c>
      <c r="E24" s="324">
        <f>ROUND($C24*E$20,2)</f>
        <v>0</v>
      </c>
      <c r="F24" s="301"/>
      <c r="G24" s="301"/>
      <c r="AMI24"/>
      <c r="AMJ24"/>
    </row>
    <row r="25" spans="1:1024" s="302" customFormat="1" x14ac:dyDescent="0.2">
      <c r="A25" s="335" t="s">
        <v>515</v>
      </c>
      <c r="B25" s="325">
        <v>0</v>
      </c>
      <c r="C25" s="325">
        <v>0</v>
      </c>
      <c r="D25" s="324"/>
      <c r="E25" s="324"/>
      <c r="F25" s="301"/>
      <c r="G25" s="301"/>
      <c r="AMI25"/>
      <c r="AMJ25"/>
    </row>
    <row r="26" spans="1:1024" s="302" customFormat="1" x14ac:dyDescent="0.2">
      <c r="A26" s="335" t="s">
        <v>516</v>
      </c>
      <c r="B26" s="325">
        <v>2.7799999999999998E-2</v>
      </c>
      <c r="C26" s="325">
        <v>2.7799999999999998E-2</v>
      </c>
      <c r="D26" s="324">
        <f>D20*B26</f>
        <v>0</v>
      </c>
      <c r="E26" s="324">
        <f>E20*C26</f>
        <v>0</v>
      </c>
      <c r="F26" s="301"/>
      <c r="G26" s="301"/>
      <c r="AMI26"/>
      <c r="AMJ26"/>
    </row>
    <row r="27" spans="1:1024" s="302" customFormat="1" ht="15.75" customHeight="1" x14ac:dyDescent="0.2">
      <c r="A27" s="328" t="s">
        <v>94</v>
      </c>
      <c r="B27" s="329">
        <f>SUM(B24:B26)</f>
        <v>0.1111</v>
      </c>
      <c r="C27" s="329">
        <f>SUM(C24:C26)</f>
        <v>0.1111</v>
      </c>
      <c r="D27" s="331">
        <f>SUM(D24:D26)</f>
        <v>0</v>
      </c>
      <c r="E27" s="331">
        <f>SUM(E24:E26)</f>
        <v>0</v>
      </c>
      <c r="F27" s="301"/>
      <c r="G27" s="301"/>
      <c r="AMI27"/>
      <c r="AMJ27"/>
    </row>
    <row r="28" spans="1:1024" s="302" customFormat="1" x14ac:dyDescent="0.2">
      <c r="A28" s="336" t="s">
        <v>517</v>
      </c>
      <c r="B28" s="337" t="s">
        <v>512</v>
      </c>
      <c r="C28" s="338"/>
      <c r="D28" s="339" t="s">
        <v>513</v>
      </c>
      <c r="E28" s="339" t="s">
        <v>513</v>
      </c>
      <c r="F28" s="301"/>
      <c r="G28" s="301"/>
      <c r="AMI28"/>
      <c r="AMJ28"/>
    </row>
    <row r="29" spans="1:1024" s="302" customFormat="1" ht="15.75" customHeight="1" x14ac:dyDescent="0.2">
      <c r="A29" s="340" t="s">
        <v>518</v>
      </c>
      <c r="B29" s="341"/>
      <c r="C29" s="342"/>
      <c r="D29" s="343"/>
      <c r="E29" s="343"/>
      <c r="F29" s="301"/>
      <c r="G29" s="301"/>
      <c r="AMI29"/>
      <c r="AMJ29"/>
    </row>
    <row r="30" spans="1:1024" s="302" customFormat="1" ht="15.75" customHeight="1" x14ac:dyDescent="0.2">
      <c r="A30" s="335" t="s">
        <v>519</v>
      </c>
      <c r="B30" s="344">
        <v>0.2</v>
      </c>
      <c r="C30" s="344">
        <v>0.2</v>
      </c>
      <c r="D30" s="345">
        <f t="shared" ref="D30:D36" si="0">ROUND(($D$20+$D$27)*B30,2)</f>
        <v>0</v>
      </c>
      <c r="E30" s="345">
        <f t="shared" ref="E30:E36" si="1">ROUND(($E$20+$E$27)*C30,2)</f>
        <v>0</v>
      </c>
      <c r="F30" s="301"/>
      <c r="G30" s="301"/>
      <c r="AMI30"/>
      <c r="AMJ30"/>
    </row>
    <row r="31" spans="1:1024" s="302" customFormat="1" ht="15.75" customHeight="1" x14ac:dyDescent="0.2">
      <c r="A31" s="335" t="s">
        <v>520</v>
      </c>
      <c r="B31" s="325">
        <v>2.5000000000000001E-2</v>
      </c>
      <c r="C31" s="325">
        <v>2.5000000000000001E-2</v>
      </c>
      <c r="D31" s="345">
        <f t="shared" si="0"/>
        <v>0</v>
      </c>
      <c r="E31" s="345">
        <f t="shared" si="1"/>
        <v>0</v>
      </c>
      <c r="F31" s="301"/>
      <c r="G31" s="301"/>
      <c r="AMI31"/>
      <c r="AMJ31"/>
    </row>
    <row r="32" spans="1:1024" s="302" customFormat="1" ht="15.75" customHeight="1" x14ac:dyDescent="0.2">
      <c r="A32" s="335" t="s">
        <v>521</v>
      </c>
      <c r="B32" s="325">
        <v>2.2499999999999999E-2</v>
      </c>
      <c r="C32" s="325">
        <v>2.2499999999999999E-2</v>
      </c>
      <c r="D32" s="345">
        <f t="shared" si="0"/>
        <v>0</v>
      </c>
      <c r="E32" s="345">
        <f t="shared" si="1"/>
        <v>0</v>
      </c>
      <c r="F32" s="301"/>
      <c r="G32" s="301"/>
      <c r="AMI32"/>
      <c r="AMJ32"/>
    </row>
    <row r="33" spans="1:1024" s="302" customFormat="1" ht="15.75" customHeight="1" x14ac:dyDescent="0.2">
      <c r="A33" s="335" t="s">
        <v>522</v>
      </c>
      <c r="B33" s="325">
        <v>1.4999999999999999E-2</v>
      </c>
      <c r="C33" s="325">
        <v>1.4999999999999999E-2</v>
      </c>
      <c r="D33" s="345">
        <f t="shared" si="0"/>
        <v>0</v>
      </c>
      <c r="E33" s="345">
        <f t="shared" si="1"/>
        <v>0</v>
      </c>
      <c r="F33" s="301"/>
      <c r="G33" s="301"/>
      <c r="AMI33"/>
      <c r="AMJ33"/>
    </row>
    <row r="34" spans="1:1024" s="302" customFormat="1" ht="15.75" customHeight="1" x14ac:dyDescent="0.2">
      <c r="A34" s="335" t="s">
        <v>523</v>
      </c>
      <c r="B34" s="325">
        <v>0.01</v>
      </c>
      <c r="C34" s="325">
        <v>0.01</v>
      </c>
      <c r="D34" s="345">
        <f t="shared" si="0"/>
        <v>0</v>
      </c>
      <c r="E34" s="345">
        <f t="shared" si="1"/>
        <v>0</v>
      </c>
      <c r="F34" s="301"/>
      <c r="G34" s="301"/>
      <c r="AMI34"/>
      <c r="AMJ34"/>
    </row>
    <row r="35" spans="1:1024" s="302" customFormat="1" ht="15.75" customHeight="1" x14ac:dyDescent="0.2">
      <c r="A35" s="335" t="s">
        <v>524</v>
      </c>
      <c r="B35" s="325">
        <v>6.0000000000000001E-3</v>
      </c>
      <c r="C35" s="325">
        <v>6.0000000000000001E-3</v>
      </c>
      <c r="D35" s="345">
        <f t="shared" si="0"/>
        <v>0</v>
      </c>
      <c r="E35" s="345">
        <f t="shared" si="1"/>
        <v>0</v>
      </c>
      <c r="F35" s="301"/>
      <c r="G35" s="301"/>
      <c r="AMI35"/>
      <c r="AMJ35"/>
    </row>
    <row r="36" spans="1:1024" s="302" customFormat="1" ht="15.75" customHeight="1" x14ac:dyDescent="0.2">
      <c r="A36" s="335" t="s">
        <v>525</v>
      </c>
      <c r="B36" s="325">
        <v>2E-3</v>
      </c>
      <c r="C36" s="325">
        <v>2E-3</v>
      </c>
      <c r="D36" s="345">
        <f t="shared" si="0"/>
        <v>0</v>
      </c>
      <c r="E36" s="345">
        <f t="shared" si="1"/>
        <v>0</v>
      </c>
      <c r="F36" s="301"/>
      <c r="G36" s="301"/>
      <c r="AMI36"/>
      <c r="AMJ36"/>
    </row>
    <row r="37" spans="1:1024" s="302" customFormat="1" ht="15.75" customHeight="1" x14ac:dyDescent="0.2">
      <c r="A37" s="336" t="s">
        <v>526</v>
      </c>
      <c r="B37" s="341"/>
      <c r="C37" s="341"/>
      <c r="D37" s="343"/>
      <c r="E37" s="343"/>
      <c r="F37" s="301"/>
      <c r="G37" s="301"/>
      <c r="AMI37"/>
      <c r="AMJ37"/>
    </row>
    <row r="38" spans="1:1024" s="302" customFormat="1" ht="15.75" customHeight="1" x14ac:dyDescent="0.2">
      <c r="A38" s="816" t="s">
        <v>772</v>
      </c>
      <c r="B38" s="325">
        <v>0.08</v>
      </c>
      <c r="C38" s="325">
        <v>0.08</v>
      </c>
      <c r="D38" s="345">
        <f>ROUND(($D$20+$D$27)*B38,2)</f>
        <v>0</v>
      </c>
      <c r="E38" s="345">
        <f>ROUND(($E$20+$E$27)*C38,2)</f>
        <v>0</v>
      </c>
      <c r="F38" s="301"/>
      <c r="G38" s="301"/>
      <c r="AMI38"/>
      <c r="AMJ38"/>
    </row>
    <row r="39" spans="1:1024" s="302" customFormat="1" ht="15.75" customHeight="1" x14ac:dyDescent="0.2">
      <c r="A39" s="328" t="s">
        <v>94</v>
      </c>
      <c r="B39" s="329">
        <f>SUM(B29:B38)</f>
        <v>0.36050000000000004</v>
      </c>
      <c r="C39" s="329">
        <f>SUM(C30:C38)</f>
        <v>0.36050000000000004</v>
      </c>
      <c r="D39" s="331">
        <f>SUM(D29:D38)</f>
        <v>0</v>
      </c>
      <c r="E39" s="331">
        <f>SUM(E29:E38)</f>
        <v>0</v>
      </c>
      <c r="F39" s="301"/>
      <c r="G39" s="301"/>
      <c r="AMI39"/>
      <c r="AMJ39"/>
    </row>
    <row r="40" spans="1:1024" s="302" customFormat="1" ht="15.75" customHeight="1" x14ac:dyDescent="0.2">
      <c r="A40" s="336" t="s">
        <v>528</v>
      </c>
      <c r="B40" s="346" t="s">
        <v>529</v>
      </c>
      <c r="C40" s="346" t="s">
        <v>529</v>
      </c>
      <c r="D40" s="347" t="s">
        <v>513</v>
      </c>
      <c r="E40" s="347" t="s">
        <v>513</v>
      </c>
      <c r="F40" s="301"/>
      <c r="G40" s="301"/>
      <c r="AMI40"/>
      <c r="AMJ40"/>
    </row>
    <row r="41" spans="1:1024" s="302" customFormat="1" ht="15.75" customHeight="1" x14ac:dyDescent="0.2">
      <c r="A41" s="335" t="s">
        <v>530</v>
      </c>
      <c r="B41" s="348">
        <f>'M. Cal'!M6</f>
        <v>0</v>
      </c>
      <c r="C41" s="348">
        <f>'M. Cal'!M21</f>
        <v>0</v>
      </c>
      <c r="D41" s="324">
        <f>ROUND(((2*22*B41)-0.06*$D$13),2)</f>
        <v>0</v>
      </c>
      <c r="E41" s="324">
        <f>ROUND(((2*22*C41)-0.06*$E$13),2)</f>
        <v>0</v>
      </c>
      <c r="F41" s="301"/>
      <c r="G41" s="301"/>
      <c r="AMI41"/>
      <c r="AMJ41"/>
    </row>
    <row r="42" spans="1:1024" s="302" customFormat="1" ht="15.75" customHeight="1" x14ac:dyDescent="0.2">
      <c r="A42" s="335" t="s">
        <v>601</v>
      </c>
      <c r="B42" s="348">
        <v>18.2</v>
      </c>
      <c r="C42" s="348">
        <v>18.2</v>
      </c>
      <c r="D42" s="349">
        <f>'M. Cal'!E7</f>
        <v>0</v>
      </c>
      <c r="E42" s="349">
        <f>'M. Cal'!E7</f>
        <v>0</v>
      </c>
      <c r="F42" s="301"/>
      <c r="G42" s="301"/>
      <c r="AMI42"/>
      <c r="AMJ42"/>
    </row>
    <row r="43" spans="1:1024" s="302" customFormat="1" ht="15.75" customHeight="1" x14ac:dyDescent="0.2">
      <c r="A43" s="335" t="s">
        <v>602</v>
      </c>
      <c r="B43" s="348">
        <f>'M. Cal'!I7</f>
        <v>0</v>
      </c>
      <c r="C43" s="348">
        <f>'M. Cal'!J7</f>
        <v>0</v>
      </c>
      <c r="D43" s="349">
        <f>B43</f>
        <v>0</v>
      </c>
      <c r="E43" s="349">
        <f>B43</f>
        <v>0</v>
      </c>
      <c r="F43" s="301"/>
      <c r="G43" s="301"/>
      <c r="AMI43"/>
      <c r="AMJ43"/>
    </row>
    <row r="44" spans="1:1024" s="302" customFormat="1" ht="15.75" customHeight="1" x14ac:dyDescent="0.2">
      <c r="A44" s="335" t="s">
        <v>603</v>
      </c>
      <c r="B44" s="348">
        <f>'M. Cal'!I8</f>
        <v>0</v>
      </c>
      <c r="C44" s="348">
        <f>'M. Cal'!J8</f>
        <v>0</v>
      </c>
      <c r="D44" s="349">
        <f>B44</f>
        <v>0</v>
      </c>
      <c r="E44" s="349">
        <f>B44</f>
        <v>0</v>
      </c>
      <c r="F44" s="301"/>
      <c r="G44" s="301"/>
      <c r="AMI44"/>
      <c r="AMJ44"/>
    </row>
    <row r="45" spans="1:1024" s="302" customFormat="1" ht="15.75" customHeight="1" x14ac:dyDescent="0.2">
      <c r="A45" s="335" t="s">
        <v>604</v>
      </c>
      <c r="B45" s="348"/>
      <c r="C45" s="350"/>
      <c r="D45" s="349"/>
      <c r="E45" s="349"/>
      <c r="F45" s="301"/>
      <c r="G45" s="301"/>
      <c r="AMI45"/>
      <c r="AMJ45"/>
    </row>
    <row r="46" spans="1:1024" s="302" customFormat="1" ht="15.75" customHeight="1" x14ac:dyDescent="0.2">
      <c r="A46" s="328" t="s">
        <v>94</v>
      </c>
      <c r="B46" s="329"/>
      <c r="C46" s="330"/>
      <c r="D46" s="331">
        <f>SUM(D41:D45)</f>
        <v>0</v>
      </c>
      <c r="E46" s="331">
        <f>SUM(E41:E45)</f>
        <v>0</v>
      </c>
      <c r="F46" s="301"/>
      <c r="G46" s="301"/>
      <c r="AMI46"/>
      <c r="AMJ46"/>
    </row>
    <row r="47" spans="1:1024" s="302" customFormat="1" x14ac:dyDescent="0.2">
      <c r="A47" s="318" t="s">
        <v>536</v>
      </c>
      <c r="B47" s="319" t="s">
        <v>501</v>
      </c>
      <c r="C47" s="319" t="s">
        <v>501</v>
      </c>
      <c r="D47" s="320" t="s">
        <v>502</v>
      </c>
      <c r="E47" s="320" t="s">
        <v>502</v>
      </c>
      <c r="F47" s="301"/>
      <c r="G47" s="301"/>
      <c r="AMI47"/>
      <c r="AMJ47"/>
    </row>
    <row r="48" spans="1:1024" s="302" customFormat="1" ht="15.75" customHeight="1" x14ac:dyDescent="0.2">
      <c r="A48" s="335" t="s">
        <v>537</v>
      </c>
      <c r="B48" s="351">
        <f>B27</f>
        <v>0.1111</v>
      </c>
      <c r="C48" s="351">
        <f>C27</f>
        <v>0.1111</v>
      </c>
      <c r="D48" s="352">
        <f>D27</f>
        <v>0</v>
      </c>
      <c r="E48" s="352">
        <f>E27</f>
        <v>0</v>
      </c>
      <c r="F48" s="301"/>
      <c r="G48" s="301"/>
      <c r="AMI48"/>
      <c r="AMJ48"/>
    </row>
    <row r="49" spans="1:1024" s="302" customFormat="1" ht="15.75" customHeight="1" x14ac:dyDescent="0.2">
      <c r="A49" s="335" t="s">
        <v>538</v>
      </c>
      <c r="B49" s="351">
        <f>B39</f>
        <v>0.36050000000000004</v>
      </c>
      <c r="C49" s="351">
        <f>C39</f>
        <v>0.36050000000000004</v>
      </c>
      <c r="D49" s="352">
        <f>D39</f>
        <v>0</v>
      </c>
      <c r="E49" s="352">
        <f>E39</f>
        <v>0</v>
      </c>
      <c r="F49" s="301"/>
      <c r="G49" s="301"/>
      <c r="AMI49"/>
      <c r="AMJ49"/>
    </row>
    <row r="50" spans="1:1024" s="302" customFormat="1" ht="15.75" customHeight="1" x14ac:dyDescent="0.2">
      <c r="A50" s="335" t="s">
        <v>539</v>
      </c>
      <c r="B50" s="351" t="s">
        <v>540</v>
      </c>
      <c r="C50" s="351" t="s">
        <v>540</v>
      </c>
      <c r="D50" s="352">
        <f>D46</f>
        <v>0</v>
      </c>
      <c r="E50" s="352">
        <f>E46</f>
        <v>0</v>
      </c>
      <c r="F50" s="301"/>
      <c r="G50" s="301"/>
      <c r="AMI50"/>
      <c r="AMJ50"/>
    </row>
    <row r="51" spans="1:1024" s="302" customFormat="1" ht="15.75" customHeight="1" x14ac:dyDescent="0.2">
      <c r="A51" s="328" t="s">
        <v>94</v>
      </c>
      <c r="B51" s="329"/>
      <c r="C51" s="330"/>
      <c r="D51" s="331">
        <f>SUM(D48:D50)</f>
        <v>0</v>
      </c>
      <c r="E51" s="331">
        <f>SUM(E48:E50)</f>
        <v>0</v>
      </c>
      <c r="F51" s="301"/>
      <c r="G51" s="301"/>
      <c r="AMI51"/>
      <c r="AMJ51"/>
    </row>
    <row r="52" spans="1:1024" s="302" customFormat="1" ht="5.65" customHeight="1" x14ac:dyDescent="0.2">
      <c r="A52" s="918"/>
      <c r="B52" s="918"/>
      <c r="C52" s="314"/>
      <c r="D52" s="315"/>
      <c r="E52" s="301"/>
      <c r="F52" s="301"/>
      <c r="G52" s="301"/>
      <c r="AMI52"/>
      <c r="AMJ52"/>
    </row>
    <row r="53" spans="1:1024" s="354" customFormat="1" ht="28.35" customHeight="1" x14ac:dyDescent="0.2">
      <c r="A53" s="919" t="s">
        <v>541</v>
      </c>
      <c r="B53" s="919"/>
      <c r="C53" s="919"/>
      <c r="D53" s="919"/>
      <c r="E53" s="919"/>
      <c r="F53" s="353"/>
      <c r="G53" s="353"/>
      <c r="AMI53" s="355"/>
      <c r="AMJ53" s="355"/>
    </row>
    <row r="54" spans="1:1024" s="302" customFormat="1" ht="15.75" customHeight="1" x14ac:dyDescent="0.2">
      <c r="A54" s="318" t="s">
        <v>542</v>
      </c>
      <c r="B54" s="319" t="s">
        <v>501</v>
      </c>
      <c r="C54" s="319" t="s">
        <v>501</v>
      </c>
      <c r="D54" s="320" t="s">
        <v>502</v>
      </c>
      <c r="E54" s="320" t="s">
        <v>502</v>
      </c>
      <c r="F54" s="301"/>
      <c r="G54" s="301"/>
      <c r="AMI54"/>
      <c r="AMJ54"/>
    </row>
    <row r="55" spans="1:1024" s="302" customFormat="1" ht="15.75" customHeight="1" x14ac:dyDescent="0.2">
      <c r="A55" s="336" t="s">
        <v>543</v>
      </c>
      <c r="B55" s="356"/>
      <c r="C55" s="357"/>
      <c r="D55" s="358"/>
      <c r="E55" s="358"/>
      <c r="F55" s="301"/>
      <c r="G55" s="301"/>
      <c r="AMI55"/>
      <c r="AMJ55"/>
    </row>
    <row r="56" spans="1:1024" s="302" customFormat="1" ht="15.75" customHeight="1" x14ac:dyDescent="0.2">
      <c r="A56" s="335" t="s">
        <v>544</v>
      </c>
      <c r="B56" s="351">
        <f>1/12*'M. Cal'!C12</f>
        <v>2.8091666666666668E-2</v>
      </c>
      <c r="C56" s="351">
        <f>1/12*'M. Cal'!C12</f>
        <v>2.8091666666666668E-2</v>
      </c>
      <c r="D56" s="359">
        <f>(D20+D27+D38+D46)*$B56</f>
        <v>0</v>
      </c>
      <c r="E56" s="359">
        <f>(E20+E27+E38+E46)*$B56</f>
        <v>0</v>
      </c>
      <c r="F56" s="301"/>
      <c r="G56" s="301"/>
      <c r="AMI56"/>
      <c r="AMJ56"/>
    </row>
    <row r="57" spans="1:1024" s="302" customFormat="1" x14ac:dyDescent="0.2">
      <c r="A57" s="335" t="s">
        <v>545</v>
      </c>
      <c r="B57" s="351">
        <f>0.4*'M. Cal'!C12</f>
        <v>0.13484000000000002</v>
      </c>
      <c r="C57" s="351">
        <f>0.4*'M. Cal'!C12</f>
        <v>0.13484000000000002</v>
      </c>
      <c r="D57" s="359">
        <f>D38*$B57</f>
        <v>0</v>
      </c>
      <c r="E57" s="359">
        <f>E38*$B57</f>
        <v>0</v>
      </c>
      <c r="F57" s="301"/>
      <c r="G57" s="301"/>
      <c r="AMI57"/>
      <c r="AMJ57"/>
    </row>
    <row r="58" spans="1:1024" s="302" customFormat="1" x14ac:dyDescent="0.2">
      <c r="A58" s="328" t="s">
        <v>94</v>
      </c>
      <c r="B58" s="329"/>
      <c r="C58" s="330"/>
      <c r="D58" s="331">
        <f>SUM(D56:D57)</f>
        <v>0</v>
      </c>
      <c r="E58" s="331">
        <f>SUM(E56:E57)</f>
        <v>0</v>
      </c>
      <c r="F58" s="301"/>
      <c r="G58" s="301"/>
      <c r="AMI58"/>
      <c r="AMJ58"/>
    </row>
    <row r="59" spans="1:1024" s="302" customFormat="1" ht="15.75" customHeight="1" x14ac:dyDescent="0.2">
      <c r="A59" s="336" t="s">
        <v>546</v>
      </c>
      <c r="B59" s="356" t="s">
        <v>547</v>
      </c>
      <c r="C59" s="356" t="s">
        <v>547</v>
      </c>
      <c r="D59" s="358" t="s">
        <v>548</v>
      </c>
      <c r="E59" s="358" t="s">
        <v>548</v>
      </c>
      <c r="F59" s="301"/>
      <c r="G59" s="301"/>
      <c r="AMI59"/>
      <c r="AMJ59"/>
    </row>
    <row r="60" spans="1:1024" s="302" customFormat="1" ht="57.75" x14ac:dyDescent="0.2">
      <c r="A60" s="818" t="s">
        <v>777</v>
      </c>
      <c r="B60" s="351">
        <f>1/12*'M. Cal'!C13</f>
        <v>1.9444444444444445E-2</v>
      </c>
      <c r="C60" s="351">
        <f>1/12*'M. Cal'!C13</f>
        <v>1.9444444444444445E-2</v>
      </c>
      <c r="D60" s="352">
        <f>(D20+D51)*$B60</f>
        <v>0</v>
      </c>
      <c r="E60" s="352">
        <f>(E20+E51)*$C60</f>
        <v>0</v>
      </c>
      <c r="F60" s="301"/>
      <c r="G60" s="301"/>
      <c r="AMI60"/>
      <c r="AMJ60"/>
    </row>
    <row r="61" spans="1:1024" s="302" customFormat="1" x14ac:dyDescent="0.2">
      <c r="A61" s="335" t="s">
        <v>549</v>
      </c>
      <c r="B61" s="351">
        <f>0.4*'M. Cal'!C13</f>
        <v>9.3333333333333338E-2</v>
      </c>
      <c r="C61" s="351">
        <f>0.4*'M. Cal'!C13</f>
        <v>9.3333333333333338E-2</v>
      </c>
      <c r="D61" s="352">
        <f>D38*$B61</f>
        <v>0</v>
      </c>
      <c r="E61" s="352">
        <f>E38*$C61</f>
        <v>0</v>
      </c>
      <c r="F61" s="301"/>
      <c r="G61" s="301"/>
      <c r="AMI61"/>
      <c r="AMJ61"/>
    </row>
    <row r="62" spans="1:1024" s="302" customFormat="1" x14ac:dyDescent="0.2">
      <c r="A62" s="328" t="s">
        <v>94</v>
      </c>
      <c r="B62" s="329"/>
      <c r="C62" s="360"/>
      <c r="D62" s="361">
        <f>SUM(D60:D61)</f>
        <v>0</v>
      </c>
      <c r="E62" s="361">
        <f>SUM(E60:E61)</f>
        <v>0</v>
      </c>
      <c r="F62" s="301"/>
      <c r="G62" s="301"/>
      <c r="AMI62"/>
      <c r="AMJ62"/>
    </row>
    <row r="63" spans="1:1024" s="302" customFormat="1" x14ac:dyDescent="0.2">
      <c r="A63" s="336" t="s">
        <v>550</v>
      </c>
      <c r="B63" s="356" t="s">
        <v>547</v>
      </c>
      <c r="C63" s="356" t="s">
        <v>547</v>
      </c>
      <c r="D63" s="358" t="s">
        <v>548</v>
      </c>
      <c r="E63" s="358" t="s">
        <v>548</v>
      </c>
      <c r="F63" s="301"/>
      <c r="G63" s="301"/>
      <c r="AMI63"/>
      <c r="AMJ63"/>
    </row>
    <row r="64" spans="1:1024" s="302" customFormat="1" x14ac:dyDescent="0.2">
      <c r="A64" s="335" t="s">
        <v>551</v>
      </c>
      <c r="B64" s="351">
        <f>'M. Cal'!C14</f>
        <v>1.32E-2</v>
      </c>
      <c r="C64" s="351">
        <f>'M. Cal'!C14</f>
        <v>1.32E-2</v>
      </c>
      <c r="D64" s="352">
        <f t="shared" ref="D64:E66" si="2">(D24*B64)*-1</f>
        <v>0</v>
      </c>
      <c r="E64" s="352">
        <f t="shared" si="2"/>
        <v>0</v>
      </c>
      <c r="F64" s="301"/>
      <c r="G64" s="301"/>
      <c r="AMI64"/>
      <c r="AMJ64"/>
    </row>
    <row r="65" spans="1:1024" s="302" customFormat="1" x14ac:dyDescent="0.2">
      <c r="A65" s="335" t="s">
        <v>552</v>
      </c>
      <c r="B65" s="351">
        <f>'M. Cal'!C14</f>
        <v>1.32E-2</v>
      </c>
      <c r="C65" s="351">
        <f>'M. Cal'!C14</f>
        <v>1.32E-2</v>
      </c>
      <c r="D65" s="352">
        <f t="shared" si="2"/>
        <v>0</v>
      </c>
      <c r="E65" s="352">
        <f t="shared" si="2"/>
        <v>0</v>
      </c>
      <c r="F65" s="301"/>
      <c r="G65" s="301"/>
      <c r="AMI65"/>
      <c r="AMJ65"/>
    </row>
    <row r="66" spans="1:1024" s="302" customFormat="1" x14ac:dyDescent="0.2">
      <c r="A66" s="335" t="s">
        <v>553</v>
      </c>
      <c r="B66" s="351">
        <f>'M. Cal'!C14</f>
        <v>1.32E-2</v>
      </c>
      <c r="C66" s="351">
        <f>'M. Cal'!C14</f>
        <v>1.32E-2</v>
      </c>
      <c r="D66" s="352">
        <f t="shared" si="2"/>
        <v>0</v>
      </c>
      <c r="E66" s="352">
        <f t="shared" si="2"/>
        <v>0</v>
      </c>
      <c r="F66" s="301"/>
      <c r="G66" s="301"/>
      <c r="AMI66"/>
      <c r="AMJ66"/>
    </row>
    <row r="67" spans="1:1024" s="302" customFormat="1" x14ac:dyDescent="0.2">
      <c r="A67" s="328" t="s">
        <v>94</v>
      </c>
      <c r="B67" s="329"/>
      <c r="C67" s="360"/>
      <c r="D67" s="361">
        <f>SUM(D64:D66)</f>
        <v>0</v>
      </c>
      <c r="E67" s="361">
        <f>SUM(E64:E66)</f>
        <v>0</v>
      </c>
      <c r="F67" s="301"/>
      <c r="G67" s="301"/>
      <c r="AMI67"/>
      <c r="AMJ67"/>
    </row>
    <row r="68" spans="1:1024" s="302" customFormat="1" x14ac:dyDescent="0.2">
      <c r="A68" s="362" t="s">
        <v>542</v>
      </c>
      <c r="B68" s="363" t="s">
        <v>547</v>
      </c>
      <c r="C68" s="363" t="s">
        <v>547</v>
      </c>
      <c r="D68" s="364" t="s">
        <v>548</v>
      </c>
      <c r="E68" s="364" t="s">
        <v>548</v>
      </c>
      <c r="F68" s="301"/>
      <c r="G68" s="301"/>
      <c r="AMI68"/>
      <c r="AMJ68"/>
    </row>
    <row r="69" spans="1:1024" s="302" customFormat="1" x14ac:dyDescent="0.2">
      <c r="A69" s="335" t="s">
        <v>554</v>
      </c>
      <c r="B69" s="351">
        <f>'M. Cal'!C12</f>
        <v>0.33710000000000001</v>
      </c>
      <c r="C69" s="351">
        <f>'M. Cal'!C12</f>
        <v>0.33710000000000001</v>
      </c>
      <c r="D69" s="352">
        <f>D58</f>
        <v>0</v>
      </c>
      <c r="E69" s="352">
        <f>E58</f>
        <v>0</v>
      </c>
      <c r="F69" s="301"/>
      <c r="G69" s="301"/>
      <c r="AMI69"/>
      <c r="AMJ69"/>
    </row>
    <row r="70" spans="1:1024" s="302" customFormat="1" x14ac:dyDescent="0.2">
      <c r="A70" s="335" t="s">
        <v>555</v>
      </c>
      <c r="B70" s="351">
        <f>'M. Cal'!C13</f>
        <v>0.23333333333333334</v>
      </c>
      <c r="C70" s="351">
        <f>'M. Cal'!C13</f>
        <v>0.23333333333333334</v>
      </c>
      <c r="D70" s="352">
        <f>D62</f>
        <v>0</v>
      </c>
      <c r="E70" s="352">
        <f>E62</f>
        <v>0</v>
      </c>
      <c r="F70" s="301"/>
      <c r="G70" s="301"/>
      <c r="AMI70"/>
      <c r="AMJ70"/>
    </row>
    <row r="71" spans="1:1024" s="302" customFormat="1" x14ac:dyDescent="0.2">
      <c r="A71" s="335" t="s">
        <v>556</v>
      </c>
      <c r="B71" s="351">
        <f>'M. Cal'!C14</f>
        <v>1.32E-2</v>
      </c>
      <c r="C71" s="351">
        <f>'M. Cal'!C14</f>
        <v>1.32E-2</v>
      </c>
      <c r="D71" s="352">
        <f>D67</f>
        <v>0</v>
      </c>
      <c r="E71" s="352">
        <f>E67</f>
        <v>0</v>
      </c>
      <c r="F71" s="301"/>
      <c r="G71" s="301"/>
      <c r="AMI71"/>
      <c r="AMJ71"/>
    </row>
    <row r="72" spans="1:1024" s="302" customFormat="1" ht="15.75" customHeight="1" x14ac:dyDescent="0.2">
      <c r="A72" s="328" t="s">
        <v>94</v>
      </c>
      <c r="B72" s="365"/>
      <c r="C72" s="360"/>
      <c r="D72" s="361">
        <f>SUM(D69:D71)</f>
        <v>0</v>
      </c>
      <c r="E72" s="361">
        <f>SUM(E69:E71)</f>
        <v>0</v>
      </c>
      <c r="F72" s="301"/>
      <c r="G72" s="301"/>
      <c r="AMI72"/>
      <c r="AMJ72"/>
    </row>
    <row r="73" spans="1:1024" s="302" customFormat="1" ht="5.65" customHeight="1" x14ac:dyDescent="0.2">
      <c r="A73" s="918"/>
      <c r="B73" s="918"/>
      <c r="C73" s="314"/>
      <c r="D73" s="315"/>
      <c r="E73" s="301"/>
      <c r="F73" s="301"/>
      <c r="G73" s="301"/>
      <c r="AMI73"/>
      <c r="AMJ73"/>
    </row>
    <row r="74" spans="1:1024" s="302" customFormat="1" ht="28.35" customHeight="1" x14ac:dyDescent="0.2">
      <c r="A74" s="919" t="s">
        <v>557</v>
      </c>
      <c r="B74" s="919"/>
      <c r="C74" s="919"/>
      <c r="D74" s="919"/>
      <c r="E74" s="919"/>
      <c r="F74" s="301"/>
      <c r="G74" s="301"/>
      <c r="AMI74"/>
      <c r="AMJ74"/>
    </row>
    <row r="75" spans="1:1024" s="302" customFormat="1" ht="15.75" customHeight="1" x14ac:dyDescent="0.2">
      <c r="A75" s="366" t="s">
        <v>558</v>
      </c>
      <c r="B75" s="367"/>
      <c r="C75" s="368"/>
      <c r="D75" s="369"/>
      <c r="E75" s="369"/>
      <c r="F75" s="301"/>
      <c r="G75" s="301"/>
      <c r="AMI75"/>
      <c r="AMJ75"/>
    </row>
    <row r="76" spans="1:1024" s="302" customFormat="1" ht="15.75" customHeight="1" x14ac:dyDescent="0.2">
      <c r="A76" s="335" t="s">
        <v>559</v>
      </c>
      <c r="B76" s="325"/>
      <c r="C76" s="350"/>
      <c r="D76" s="349">
        <f>((($D$20+$D$51+$D$72)/30)*'M. Cal'!F47)/12</f>
        <v>0</v>
      </c>
      <c r="E76" s="349">
        <f>((($E$20+$E$51+$E$72)/30)*'M. Cal'!F47)/12</f>
        <v>0</v>
      </c>
      <c r="F76" s="301"/>
      <c r="G76" s="301"/>
      <c r="AMI76"/>
      <c r="AMJ76"/>
    </row>
    <row r="77" spans="1:1024" s="302" customFormat="1" ht="15.75" customHeight="1" x14ac:dyDescent="0.2">
      <c r="A77" s="335" t="s">
        <v>560</v>
      </c>
      <c r="B77" s="325"/>
      <c r="C77" s="350"/>
      <c r="D77" s="349">
        <f>(SUM('M. Cal'!$F$48,'M. Cal'!$F$50:$F$56,'M. Cal'!$F$58)*(D20+D51+D72)/30)/12</f>
        <v>0</v>
      </c>
      <c r="E77" s="349">
        <f>(SUM('M. Cal'!$F$48,'M. Cal'!$F$50:$F$56,'M. Cal'!$F$58)*(E20+E51+E72)/30)/12</f>
        <v>0</v>
      </c>
      <c r="F77" s="301"/>
      <c r="G77" s="301"/>
      <c r="AMI77"/>
      <c r="AMJ77"/>
    </row>
    <row r="78" spans="1:1024" s="302" customFormat="1" ht="15.75" customHeight="1" x14ac:dyDescent="0.2">
      <c r="A78" s="335" t="s">
        <v>561</v>
      </c>
      <c r="B78" s="370"/>
      <c r="C78" s="350"/>
      <c r="D78" s="349">
        <f>((($D$20+$D$51+$D$72)/30)*'M. Cal'!F57)/12</f>
        <v>0</v>
      </c>
      <c r="E78" s="349">
        <f>((($E$20+$E$51+$E$72)/30)*'M. Cal'!F57)/12</f>
        <v>0</v>
      </c>
      <c r="F78" s="301"/>
      <c r="G78" s="301"/>
      <c r="AMI78"/>
      <c r="AMJ78"/>
    </row>
    <row r="79" spans="1:1024" s="302" customFormat="1" ht="15.75" customHeight="1" x14ac:dyDescent="0.2">
      <c r="A79" s="335" t="s">
        <v>562</v>
      </c>
      <c r="B79" s="370"/>
      <c r="C79" s="350"/>
      <c r="D79" s="349">
        <f>((($D$20+$D$51+$D$72)/30)*'M. Cal'!F49)/12</f>
        <v>0</v>
      </c>
      <c r="E79" s="349">
        <f>((($E$20+$E$51+$E$72)/30)*'M. Cal'!F49)/12</f>
        <v>0</v>
      </c>
      <c r="F79" s="301"/>
      <c r="G79" s="301"/>
      <c r="AMI79"/>
      <c r="AMJ79"/>
    </row>
    <row r="80" spans="1:1024" s="302" customFormat="1" ht="15.75" customHeight="1" x14ac:dyDescent="0.2">
      <c r="A80" s="335" t="s">
        <v>563</v>
      </c>
      <c r="B80" s="325"/>
      <c r="C80" s="350"/>
      <c r="D80" s="349"/>
      <c r="E80" s="349"/>
      <c r="F80" s="301"/>
      <c r="G80" s="301"/>
      <c r="AMI80"/>
      <c r="AMJ80"/>
    </row>
    <row r="81" spans="1:1024" s="302" customFormat="1" ht="15.75" customHeight="1" x14ac:dyDescent="0.2">
      <c r="A81" s="371" t="s">
        <v>564</v>
      </c>
      <c r="B81" s="372">
        <f>SUM(B76:B80)</f>
        <v>0</v>
      </c>
      <c r="C81" s="373"/>
      <c r="D81" s="374">
        <f>SUM(D76:D80)</f>
        <v>0</v>
      </c>
      <c r="E81" s="374">
        <f>SUM(E76:E80)</f>
        <v>0</v>
      </c>
      <c r="F81" s="301"/>
      <c r="G81" s="301"/>
      <c r="AMI81"/>
      <c r="AMJ81"/>
    </row>
    <row r="82" spans="1:1024" s="302" customFormat="1" ht="5.65" customHeight="1" x14ac:dyDescent="0.2">
      <c r="A82" s="918"/>
      <c r="B82" s="918"/>
      <c r="C82" s="314"/>
      <c r="D82" s="315"/>
      <c r="E82" s="301"/>
      <c r="F82" s="301"/>
      <c r="G82" s="301"/>
      <c r="AMI82"/>
      <c r="AMJ82"/>
    </row>
    <row r="83" spans="1:1024" s="302" customFormat="1" ht="28.35" customHeight="1" x14ac:dyDescent="0.2">
      <c r="A83" s="919" t="s">
        <v>565</v>
      </c>
      <c r="B83" s="919"/>
      <c r="C83" s="919"/>
      <c r="D83" s="919"/>
      <c r="E83" s="919"/>
      <c r="F83" s="301"/>
      <c r="G83" s="301"/>
      <c r="AMI83"/>
      <c r="AMJ83"/>
    </row>
    <row r="84" spans="1:1024" s="302" customFormat="1" ht="15.75" customHeight="1" x14ac:dyDescent="0.2">
      <c r="A84" s="318" t="s">
        <v>566</v>
      </c>
      <c r="B84" s="319" t="s">
        <v>567</v>
      </c>
      <c r="C84" s="319" t="s">
        <v>567</v>
      </c>
      <c r="D84" s="320" t="s">
        <v>502</v>
      </c>
      <c r="E84" s="320" t="s">
        <v>502</v>
      </c>
      <c r="F84" s="301"/>
      <c r="G84" s="301"/>
      <c r="AMI84"/>
      <c r="AMJ84"/>
    </row>
    <row r="85" spans="1:1024" s="302" customFormat="1" ht="15.75" customHeight="1" x14ac:dyDescent="0.2">
      <c r="A85" s="335" t="s">
        <v>568</v>
      </c>
      <c r="B85" s="375"/>
      <c r="C85" s="323"/>
      <c r="D85" s="324">
        <f>Insumos!F125</f>
        <v>0</v>
      </c>
      <c r="E85" s="324">
        <f>Insumos!G125</f>
        <v>0</v>
      </c>
      <c r="F85" s="301"/>
      <c r="G85" s="301"/>
      <c r="AMI85"/>
      <c r="AMJ85"/>
    </row>
    <row r="86" spans="1:1024" s="302" customFormat="1" ht="15.75" customHeight="1" x14ac:dyDescent="0.2">
      <c r="A86" s="376" t="s">
        <v>605</v>
      </c>
      <c r="B86" s="375"/>
      <c r="C86" s="323"/>
      <c r="D86" s="324">
        <f>Insumos!F157</f>
        <v>0</v>
      </c>
      <c r="E86" s="324">
        <f>Insumos!F175</f>
        <v>0</v>
      </c>
      <c r="F86" s="301"/>
      <c r="G86" s="301"/>
      <c r="AMI86"/>
      <c r="AMJ86"/>
    </row>
    <row r="87" spans="1:1024" s="302" customFormat="1" ht="15.75" customHeight="1" x14ac:dyDescent="0.2">
      <c r="A87" s="376" t="s">
        <v>606</v>
      </c>
      <c r="B87" s="377"/>
      <c r="C87" s="323"/>
      <c r="D87" s="324">
        <f>Insumos!F186</f>
        <v>0</v>
      </c>
      <c r="E87" s="324">
        <f>Insumos!F186</f>
        <v>0</v>
      </c>
      <c r="F87" s="301"/>
      <c r="G87" s="301"/>
      <c r="AMI87"/>
      <c r="AMJ87"/>
    </row>
    <row r="88" spans="1:1024" s="302" customFormat="1" ht="15.75" customHeight="1" x14ac:dyDescent="0.2">
      <c r="A88" s="376" t="s">
        <v>607</v>
      </c>
      <c r="B88" s="377"/>
      <c r="C88" s="323"/>
      <c r="D88" s="324"/>
      <c r="E88" s="324"/>
      <c r="F88" s="301"/>
      <c r="G88" s="301"/>
      <c r="AMI88"/>
      <c r="AMJ88"/>
    </row>
    <row r="89" spans="1:1024" s="302" customFormat="1" ht="15.75" customHeight="1" x14ac:dyDescent="0.2">
      <c r="A89" s="371" t="s">
        <v>94</v>
      </c>
      <c r="B89" s="378"/>
      <c r="C89" s="373"/>
      <c r="D89" s="374">
        <f>SUM(D85:D88)</f>
        <v>0</v>
      </c>
      <c r="E89" s="374">
        <f>SUM(E85:E88)</f>
        <v>0</v>
      </c>
      <c r="F89" s="301"/>
      <c r="G89" s="301"/>
      <c r="AMI89"/>
      <c r="AMJ89"/>
    </row>
    <row r="90" spans="1:1024" s="302" customFormat="1" ht="5.65" customHeight="1" x14ac:dyDescent="0.2">
      <c r="A90" s="918"/>
      <c r="B90" s="918"/>
      <c r="C90" s="314"/>
      <c r="D90" s="315"/>
      <c r="E90" s="301"/>
      <c r="F90" s="301"/>
      <c r="G90" s="301"/>
      <c r="AMI90"/>
      <c r="AMJ90"/>
    </row>
    <row r="91" spans="1:1024" s="302" customFormat="1" ht="28.35" customHeight="1" x14ac:dyDescent="0.2">
      <c r="A91" s="919" t="s">
        <v>573</v>
      </c>
      <c r="B91" s="919"/>
      <c r="C91" s="919"/>
      <c r="D91" s="919"/>
      <c r="E91" s="919"/>
      <c r="F91" s="301"/>
      <c r="G91" s="301"/>
      <c r="AMI91"/>
      <c r="AMJ91"/>
    </row>
    <row r="92" spans="1:1024" s="302" customFormat="1" ht="15.75" customHeight="1" x14ac:dyDescent="0.2">
      <c r="A92" s="318" t="s">
        <v>574</v>
      </c>
      <c r="B92" s="319" t="s">
        <v>501</v>
      </c>
      <c r="C92" s="319" t="s">
        <v>501</v>
      </c>
      <c r="D92" s="320" t="s">
        <v>502</v>
      </c>
      <c r="E92" s="320" t="s">
        <v>502</v>
      </c>
      <c r="F92" s="301"/>
      <c r="G92" s="301"/>
      <c r="AMI92"/>
      <c r="AMJ92"/>
    </row>
    <row r="93" spans="1:1024" s="302" customFormat="1" ht="15.75" customHeight="1" x14ac:dyDescent="0.2">
      <c r="A93" s="321" t="s">
        <v>575</v>
      </c>
      <c r="B93" s="325">
        <v>0.03</v>
      </c>
      <c r="C93" s="325">
        <v>0.03</v>
      </c>
      <c r="D93" s="349">
        <f>($D$20+$D$51+$D$72+$D$81+$D$89)*B93</f>
        <v>0</v>
      </c>
      <c r="E93" s="349">
        <f t="shared" ref="E93:E98" si="3">($E$20+$E$51+$E$72+$E$81+$E$89)*C93</f>
        <v>0</v>
      </c>
      <c r="F93" s="301"/>
      <c r="G93" s="301"/>
      <c r="AMI93"/>
      <c r="AMJ93"/>
    </row>
    <row r="94" spans="1:1024" s="302" customFormat="1" ht="15.75" customHeight="1" x14ac:dyDescent="0.2">
      <c r="A94" s="321" t="s">
        <v>576</v>
      </c>
      <c r="B94" s="325">
        <f>'M. Cal'!J10</f>
        <v>0</v>
      </c>
      <c r="C94" s="325">
        <f>'M. Cal'!J10</f>
        <v>0</v>
      </c>
      <c r="D94" s="349">
        <f>($D$20+$D$51+$D$72+$D$81+$D$89)*C94</f>
        <v>0</v>
      </c>
      <c r="E94" s="349">
        <f t="shared" si="3"/>
        <v>0</v>
      </c>
      <c r="F94" s="301"/>
      <c r="G94" s="301"/>
      <c r="AMI94"/>
      <c r="AMJ94"/>
    </row>
    <row r="95" spans="1:1024" s="302" customFormat="1" ht="24.75" x14ac:dyDescent="0.2">
      <c r="A95" s="379" t="s">
        <v>577</v>
      </c>
      <c r="B95" s="325">
        <f>SUM(B96:B99)</f>
        <v>9.2499999999999999E-2</v>
      </c>
      <c r="C95" s="325">
        <f>SUM(C96:C99)</f>
        <v>9.2499999999999999E-2</v>
      </c>
      <c r="D95" s="349">
        <f>($D$20+$D$51+$D$72+$D$81+$D$89)*B95</f>
        <v>0</v>
      </c>
      <c r="E95" s="349">
        <f t="shared" si="3"/>
        <v>0</v>
      </c>
      <c r="F95" s="301"/>
      <c r="G95" s="301"/>
      <c r="AMI95"/>
      <c r="AMJ95"/>
    </row>
    <row r="96" spans="1:1024" s="302" customFormat="1" ht="15.75" customHeight="1" x14ac:dyDescent="0.2">
      <c r="A96" s="321" t="s">
        <v>578</v>
      </c>
      <c r="B96" s="380">
        <f>1.65%+7.6%</f>
        <v>9.2499999999999999E-2</v>
      </c>
      <c r="C96" s="380">
        <f>1.65%+7.6%</f>
        <v>9.2499999999999999E-2</v>
      </c>
      <c r="D96" s="349">
        <f>($D$20+$D$51+$D$72+$D$81+$D$89)*B96</f>
        <v>0</v>
      </c>
      <c r="E96" s="349">
        <f t="shared" si="3"/>
        <v>0</v>
      </c>
      <c r="F96" s="301"/>
      <c r="G96" s="301"/>
      <c r="AMI96"/>
      <c r="AMJ96"/>
    </row>
    <row r="97" spans="1:1024" s="302" customFormat="1" ht="15.75" customHeight="1" x14ac:dyDescent="0.2">
      <c r="A97" s="321" t="s">
        <v>579</v>
      </c>
      <c r="B97" s="380"/>
      <c r="C97" s="380"/>
      <c r="D97" s="349">
        <f>($D$20+$D$51+$D$72+$D$81+$D$89)*B97</f>
        <v>0</v>
      </c>
      <c r="E97" s="349">
        <f t="shared" si="3"/>
        <v>0</v>
      </c>
      <c r="F97" s="301"/>
      <c r="G97" s="301"/>
      <c r="AMI97"/>
      <c r="AMJ97"/>
    </row>
    <row r="98" spans="1:1024" s="302" customFormat="1" ht="15.75" customHeight="1" x14ac:dyDescent="0.2">
      <c r="A98" s="321" t="s">
        <v>580</v>
      </c>
      <c r="B98" s="380">
        <f>'M. Cal'!L6</f>
        <v>0</v>
      </c>
      <c r="C98" s="380">
        <f>'M. Cal'!L21</f>
        <v>0</v>
      </c>
      <c r="D98" s="349">
        <f>($D$20+$D$51+$D$72+$D$81+$D$89)*B98</f>
        <v>0</v>
      </c>
      <c r="E98" s="349">
        <f t="shared" si="3"/>
        <v>0</v>
      </c>
      <c r="F98" s="301"/>
      <c r="G98" s="301"/>
      <c r="AMI98"/>
      <c r="AMJ98"/>
    </row>
    <row r="99" spans="1:1024" s="302" customFormat="1" ht="15.75" customHeight="1" x14ac:dyDescent="0.2">
      <c r="A99" s="321" t="s">
        <v>581</v>
      </c>
      <c r="B99" s="348"/>
      <c r="C99" s="348"/>
      <c r="D99" s="381"/>
      <c r="E99" s="381"/>
      <c r="F99" s="301"/>
      <c r="G99" s="301"/>
      <c r="AMI99"/>
      <c r="AMJ99"/>
    </row>
    <row r="100" spans="1:1024" s="302" customFormat="1" ht="15.75" customHeight="1" x14ac:dyDescent="0.2">
      <c r="A100" s="371" t="s">
        <v>94</v>
      </c>
      <c r="B100" s="372"/>
      <c r="C100" s="373"/>
      <c r="D100" s="374">
        <f>SUM(D93:D95)</f>
        <v>0</v>
      </c>
      <c r="E100" s="374">
        <f>SUM(E93:E95)</f>
        <v>0</v>
      </c>
      <c r="F100" s="301"/>
      <c r="G100" s="301"/>
      <c r="AMI100"/>
      <c r="AMJ100"/>
    </row>
    <row r="101" spans="1:1024" s="302" customFormat="1" ht="5.65" customHeight="1" x14ac:dyDescent="0.2">
      <c r="A101" s="918"/>
      <c r="B101" s="918"/>
      <c r="C101" s="314"/>
      <c r="D101" s="315"/>
      <c r="E101" s="301"/>
      <c r="F101" s="301"/>
      <c r="G101" s="301"/>
      <c r="AMI101"/>
      <c r="AMJ101"/>
    </row>
    <row r="102" spans="1:1024" s="302" customFormat="1" ht="5.65" customHeight="1" x14ac:dyDescent="0.2">
      <c r="A102" s="918"/>
      <c r="B102" s="918"/>
      <c r="C102" s="314"/>
      <c r="D102" s="315"/>
      <c r="E102" s="301"/>
      <c r="F102" s="301"/>
      <c r="G102" s="301"/>
      <c r="AMI102"/>
      <c r="AMJ102"/>
    </row>
    <row r="103" spans="1:1024" s="302" customFormat="1" ht="38.25" customHeight="1" x14ac:dyDescent="0.2">
      <c r="A103" s="920" t="s">
        <v>582</v>
      </c>
      <c r="B103" s="920"/>
      <c r="C103" s="382"/>
      <c r="D103" s="383" t="str">
        <f>D10</f>
        <v>Encarregado 40h  Ponta Grossa</v>
      </c>
      <c r="E103" s="383" t="str">
        <f>E10</f>
        <v>Encarregado 40h Curitiba</v>
      </c>
      <c r="F103" s="301"/>
      <c r="G103" s="301"/>
      <c r="AMI103"/>
      <c r="AMJ103"/>
    </row>
    <row r="104" spans="1:1024" s="302" customFormat="1" ht="15.75" customHeight="1" x14ac:dyDescent="0.2">
      <c r="A104" s="921" t="s">
        <v>583</v>
      </c>
      <c r="B104" s="921"/>
      <c r="C104" s="384"/>
      <c r="D104" s="385" t="s">
        <v>513</v>
      </c>
      <c r="E104" s="385" t="s">
        <v>513</v>
      </c>
      <c r="F104" s="301"/>
      <c r="G104" s="301"/>
      <c r="AMI104"/>
      <c r="AMJ104"/>
    </row>
    <row r="105" spans="1:1024" s="302" customFormat="1" ht="15.75" customHeight="1" x14ac:dyDescent="0.2">
      <c r="A105" s="922" t="s">
        <v>584</v>
      </c>
      <c r="B105" s="922"/>
      <c r="C105" s="386"/>
      <c r="D105" s="387">
        <f>D20</f>
        <v>0</v>
      </c>
      <c r="E105" s="387">
        <f>E20</f>
        <v>0</v>
      </c>
      <c r="F105" s="301"/>
      <c r="G105" s="301"/>
      <c r="AMI105"/>
      <c r="AMJ105"/>
    </row>
    <row r="106" spans="1:1024" s="302" customFormat="1" ht="15.75" customHeight="1" x14ac:dyDescent="0.2">
      <c r="A106" s="922" t="s">
        <v>585</v>
      </c>
      <c r="B106" s="922"/>
      <c r="C106" s="386"/>
      <c r="D106" s="387">
        <f>D51</f>
        <v>0</v>
      </c>
      <c r="E106" s="387">
        <f>E51</f>
        <v>0</v>
      </c>
      <c r="F106" s="301"/>
      <c r="G106" s="301"/>
      <c r="AMI106"/>
      <c r="AMJ106"/>
    </row>
    <row r="107" spans="1:1024" s="302" customFormat="1" ht="15.75" customHeight="1" x14ac:dyDescent="0.2">
      <c r="A107" s="922" t="s">
        <v>586</v>
      </c>
      <c r="B107" s="922"/>
      <c r="C107" s="386"/>
      <c r="D107" s="387">
        <f>D72</f>
        <v>0</v>
      </c>
      <c r="E107" s="387">
        <f>E72</f>
        <v>0</v>
      </c>
      <c r="F107" s="301"/>
      <c r="G107" s="301"/>
      <c r="AMI107"/>
      <c r="AMJ107"/>
    </row>
    <row r="108" spans="1:1024" s="302" customFormat="1" ht="15.75" customHeight="1" x14ac:dyDescent="0.2">
      <c r="A108" s="922" t="s">
        <v>587</v>
      </c>
      <c r="B108" s="922"/>
      <c r="C108" s="386"/>
      <c r="D108" s="387">
        <f>D81</f>
        <v>0</v>
      </c>
      <c r="E108" s="387">
        <f>E81</f>
        <v>0</v>
      </c>
      <c r="F108" s="301"/>
      <c r="G108" s="301"/>
      <c r="AMI108"/>
      <c r="AMJ108"/>
    </row>
    <row r="109" spans="1:1024" s="302" customFormat="1" ht="15.75" customHeight="1" x14ac:dyDescent="0.2">
      <c r="A109" s="922" t="s">
        <v>588</v>
      </c>
      <c r="B109" s="922"/>
      <c r="C109" s="386"/>
      <c r="D109" s="387">
        <f>D89</f>
        <v>0</v>
      </c>
      <c r="E109" s="387">
        <f>E89</f>
        <v>0</v>
      </c>
      <c r="F109" s="301"/>
      <c r="G109" s="301"/>
      <c r="AMI109"/>
      <c r="AMJ109"/>
    </row>
    <row r="110" spans="1:1024" s="302" customFormat="1" ht="15.75" customHeight="1" x14ac:dyDescent="0.2">
      <c r="A110" s="924" t="s">
        <v>589</v>
      </c>
      <c r="B110" s="924"/>
      <c r="C110" s="388"/>
      <c r="D110" s="389">
        <f>SUM(D105:D109)</f>
        <v>0</v>
      </c>
      <c r="E110" s="389">
        <f>SUM(E105:E109)</f>
        <v>0</v>
      </c>
      <c r="F110" s="301"/>
      <c r="G110" s="301"/>
      <c r="AMI110"/>
      <c r="AMJ110"/>
    </row>
    <row r="111" spans="1:1024" s="302" customFormat="1" ht="15.75" customHeight="1" x14ac:dyDescent="0.2">
      <c r="A111" s="922" t="s">
        <v>590</v>
      </c>
      <c r="B111" s="922"/>
      <c r="C111" s="386"/>
      <c r="D111" s="387">
        <f>D100</f>
        <v>0</v>
      </c>
      <c r="E111" s="387">
        <f>E100</f>
        <v>0</v>
      </c>
      <c r="F111" s="301"/>
      <c r="G111" s="301"/>
      <c r="AMI111"/>
      <c r="AMJ111"/>
    </row>
    <row r="112" spans="1:1024" s="302" customFormat="1" ht="15.75" customHeight="1" x14ac:dyDescent="0.2">
      <c r="A112" s="923" t="s">
        <v>608</v>
      </c>
      <c r="B112" s="923"/>
      <c r="C112" s="390"/>
      <c r="D112" s="391">
        <f>SUM(D110:D111)</f>
        <v>0</v>
      </c>
      <c r="E112" s="391">
        <f>SUM(E110:E111)</f>
        <v>0</v>
      </c>
      <c r="F112" s="301"/>
      <c r="G112" s="301"/>
      <c r="AMI112"/>
      <c r="AMJ112"/>
    </row>
  </sheetData>
  <mergeCells count="27">
    <mergeCell ref="A111:B111"/>
    <mergeCell ref="A112:B112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74:E74"/>
    <mergeCell ref="A82:B82"/>
    <mergeCell ref="A83:E83"/>
    <mergeCell ref="A90:B90"/>
    <mergeCell ref="A91:E91"/>
    <mergeCell ref="A21:B21"/>
    <mergeCell ref="A22:E22"/>
    <mergeCell ref="A52:B52"/>
    <mergeCell ref="A53:E53"/>
    <mergeCell ref="A73:B73"/>
    <mergeCell ref="A1:D1"/>
    <mergeCell ref="A2:D2"/>
    <mergeCell ref="A3:B3"/>
    <mergeCell ref="A9:B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</sheetPr>
  <dimension ref="A1:AMM33"/>
  <sheetViews>
    <sheetView topLeftCell="J1" zoomScaleNormal="100" workbookViewId="0">
      <selection activeCell="P29" sqref="P29"/>
    </sheetView>
  </sheetViews>
  <sheetFormatPr defaultColWidth="10.625" defaultRowHeight="15" x14ac:dyDescent="0.25"/>
  <cols>
    <col min="1" max="1" width="23.375" style="225" customWidth="1"/>
    <col min="2" max="2" width="6.25" style="225" customWidth="1"/>
    <col min="3" max="9" width="9.25" style="225" customWidth="1"/>
    <col min="10" max="10" width="12.25" style="225" customWidth="1"/>
    <col min="11" max="11" width="11.5" style="225" customWidth="1"/>
    <col min="12" max="15" width="9.25" style="225" customWidth="1"/>
    <col min="16" max="16" width="10.75" style="225" customWidth="1"/>
    <col min="17" max="17" width="8.5" style="225" customWidth="1"/>
    <col min="18" max="18" width="9.25" style="225" customWidth="1"/>
    <col min="19" max="19" width="12.25" style="225" customWidth="1"/>
    <col min="20" max="20" width="6.875" style="225" customWidth="1"/>
    <col min="21" max="21" width="9.375" style="225" customWidth="1"/>
    <col min="22" max="22" width="6.375" style="225" customWidth="1"/>
    <col min="23" max="23" width="8.375" style="225" customWidth="1"/>
    <col min="24" max="24" width="8.625" style="225" customWidth="1"/>
    <col min="25" max="25" width="8.25" style="225" customWidth="1"/>
    <col min="26" max="26" width="0.75" style="225" customWidth="1"/>
    <col min="27" max="29" width="9.25" style="749" customWidth="1"/>
    <col min="30" max="30" width="7.875" style="749" customWidth="1"/>
    <col min="31" max="31" width="0.75" style="749" customWidth="1"/>
    <col min="32" max="33" width="9.25" style="748" customWidth="1"/>
    <col min="34" max="34" width="10.625" style="748" bestFit="1" customWidth="1"/>
    <col min="35" max="1016" width="10.625" style="226"/>
    <col min="1017" max="1017" width="9" style="225" customWidth="1"/>
    <col min="1018" max="1027" width="8.625" style="225" customWidth="1"/>
  </cols>
  <sheetData>
    <row r="1" spans="1:34" x14ac:dyDescent="0.25">
      <c r="A1" s="226"/>
      <c r="B1" s="226"/>
      <c r="C1" s="929" t="s">
        <v>609</v>
      </c>
      <c r="D1" s="929"/>
      <c r="E1" s="929"/>
      <c r="F1" s="929"/>
      <c r="G1" s="930" t="s">
        <v>610</v>
      </c>
      <c r="H1" s="930"/>
      <c r="I1" s="930"/>
      <c r="J1" s="931" t="s">
        <v>611</v>
      </c>
      <c r="K1" s="931"/>
      <c r="L1" s="931"/>
      <c r="M1" s="932" t="s">
        <v>612</v>
      </c>
      <c r="N1" s="932"/>
      <c r="O1" s="932"/>
      <c r="P1" s="932"/>
      <c r="Q1" s="932"/>
      <c r="R1" s="932"/>
      <c r="S1" s="227" t="s">
        <v>613</v>
      </c>
      <c r="T1" s="933" t="s">
        <v>614</v>
      </c>
      <c r="U1" s="934"/>
      <c r="V1" s="925" t="s">
        <v>615</v>
      </c>
      <c r="W1" s="926"/>
      <c r="X1" s="927" t="s">
        <v>616</v>
      </c>
      <c r="Y1" s="928"/>
      <c r="Z1" s="226"/>
      <c r="AA1" s="748"/>
      <c r="AB1" s="748"/>
      <c r="AC1" s="748"/>
      <c r="AD1" s="748"/>
      <c r="AE1" s="748"/>
    </row>
    <row r="2" spans="1:34" ht="102.75" customHeight="1" x14ac:dyDescent="0.25">
      <c r="A2" s="228" t="s">
        <v>617</v>
      </c>
      <c r="B2" s="229" t="s">
        <v>618</v>
      </c>
      <c r="C2" s="230" t="s">
        <v>619</v>
      </c>
      <c r="D2" s="230" t="s">
        <v>620</v>
      </c>
      <c r="E2" s="230" t="s">
        <v>621</v>
      </c>
      <c r="F2" s="230" t="s">
        <v>622</v>
      </c>
      <c r="G2" s="231" t="s">
        <v>623</v>
      </c>
      <c r="H2" s="232" t="s">
        <v>624</v>
      </c>
      <c r="I2" s="231" t="s">
        <v>625</v>
      </c>
      <c r="J2" s="233" t="s">
        <v>626</v>
      </c>
      <c r="K2" s="234" t="s">
        <v>627</v>
      </c>
      <c r="L2" s="235" t="s">
        <v>628</v>
      </c>
      <c r="M2" s="607" t="s">
        <v>629</v>
      </c>
      <c r="N2" s="608" t="s">
        <v>630</v>
      </c>
      <c r="O2" s="609" t="s">
        <v>631</v>
      </c>
      <c r="P2" s="236" t="s">
        <v>632</v>
      </c>
      <c r="Q2" s="236" t="s">
        <v>633</v>
      </c>
      <c r="R2" s="236" t="s">
        <v>634</v>
      </c>
      <c r="S2" s="233" t="s">
        <v>635</v>
      </c>
      <c r="T2" s="676" t="s">
        <v>636</v>
      </c>
      <c r="U2" s="680" t="s">
        <v>637</v>
      </c>
      <c r="V2" s="681" t="s">
        <v>638</v>
      </c>
      <c r="W2" s="650" t="s">
        <v>639</v>
      </c>
      <c r="X2" s="693" t="s">
        <v>640</v>
      </c>
      <c r="Y2" s="694" t="s">
        <v>641</v>
      </c>
      <c r="Z2" s="237"/>
      <c r="AA2" s="774" t="s">
        <v>642</v>
      </c>
      <c r="AB2" s="774" t="s">
        <v>643</v>
      </c>
      <c r="AC2" s="773" t="s">
        <v>644</v>
      </c>
      <c r="AD2" s="772" t="s">
        <v>645</v>
      </c>
      <c r="AE2" s="771"/>
      <c r="AF2" s="774" t="s">
        <v>646</v>
      </c>
      <c r="AG2" s="774" t="s">
        <v>647</v>
      </c>
      <c r="AH2" s="770" t="s">
        <v>648</v>
      </c>
    </row>
    <row r="3" spans="1:34" x14ac:dyDescent="0.25">
      <c r="A3" s="198" t="s">
        <v>8</v>
      </c>
      <c r="B3" s="238" t="s">
        <v>649</v>
      </c>
      <c r="C3" s="239">
        <v>1747.93</v>
      </c>
      <c r="D3" s="239">
        <v>204.45</v>
      </c>
      <c r="E3" s="239">
        <v>153.06</v>
      </c>
      <c r="F3" s="239">
        <v>125.06</v>
      </c>
      <c r="G3" s="239">
        <v>1995</v>
      </c>
      <c r="H3" s="239">
        <f>1000</f>
        <v>1000</v>
      </c>
      <c r="I3" s="239">
        <v>480</v>
      </c>
      <c r="J3" s="240">
        <f>L3-K3</f>
        <v>210</v>
      </c>
      <c r="K3" s="239">
        <v>250</v>
      </c>
      <c r="L3" s="241">
        <v>460</v>
      </c>
      <c r="M3" s="687">
        <f t="shared" ref="M3:M20" si="0">C3/$C$22+D3/$D$22+E3/$E$22+F3/$F$22+G3/$G$22+H3/$H$22+I3/$I$22+K3/$K$22*16*1/188.76+L3/$L$22*16*1/188.76</f>
        <v>3.3092132099426355</v>
      </c>
      <c r="N3" s="688">
        <v>2</v>
      </c>
      <c r="O3" s="689" t="s">
        <v>649</v>
      </c>
      <c r="P3" s="243">
        <f>'PGR 40h'!C114*N3</f>
        <v>0</v>
      </c>
      <c r="Q3" s="242">
        <f t="shared" ref="Q3:Q20" si="1">N3-R3</f>
        <v>1</v>
      </c>
      <c r="R3" s="242">
        <v>1</v>
      </c>
      <c r="S3" s="240">
        <f t="shared" ref="S3:S20" si="2">J3/$J$22*8*1/$L$33</f>
        <v>1.0208333333333335E-2</v>
      </c>
      <c r="T3" s="244"/>
      <c r="U3" s="245"/>
      <c r="V3" s="702">
        <v>1</v>
      </c>
      <c r="W3" s="702" t="s">
        <v>649</v>
      </c>
      <c r="X3" s="641">
        <v>1</v>
      </c>
      <c r="Y3" s="646" t="s">
        <v>10</v>
      </c>
      <c r="Z3" s="246">
        <v>3494.78</v>
      </c>
      <c r="AB3" s="769">
        <v>120.45</v>
      </c>
      <c r="AC3" s="768">
        <v>362.42</v>
      </c>
      <c r="AD3" s="767">
        <v>4</v>
      </c>
      <c r="AE3" s="766"/>
      <c r="AF3" s="769">
        <f>(C3+D3+E3+F3-Z3)</f>
        <v>-1264.2800000000002</v>
      </c>
      <c r="AG3" s="769">
        <f>(G3+H3+I3-AB3)</f>
        <v>3354.55</v>
      </c>
      <c r="AH3" s="765">
        <f>(J3+K3+L3-AC3)</f>
        <v>557.57999999999993</v>
      </c>
    </row>
    <row r="4" spans="1:34" ht="24.75" x14ac:dyDescent="0.25">
      <c r="A4" s="199" t="s">
        <v>403</v>
      </c>
      <c r="B4" s="35" t="s">
        <v>649</v>
      </c>
      <c r="C4" s="247">
        <f>1747.93-70-F4</f>
        <v>1552.8700000000001</v>
      </c>
      <c r="D4" s="247"/>
      <c r="E4" s="247">
        <v>70</v>
      </c>
      <c r="F4" s="247">
        <v>125.06</v>
      </c>
      <c r="G4" s="247"/>
      <c r="H4" s="247"/>
      <c r="I4" s="247"/>
      <c r="J4" s="248"/>
      <c r="K4" s="247"/>
      <c r="L4" s="249"/>
      <c r="M4" s="690">
        <f t="shared" si="0"/>
        <v>2.0164033333333333</v>
      </c>
      <c r="N4" s="691">
        <v>2</v>
      </c>
      <c r="O4" s="692" t="s">
        <v>649</v>
      </c>
      <c r="P4" s="251">
        <f>'PGR 40h'!C114*N4</f>
        <v>0</v>
      </c>
      <c r="Q4" s="250">
        <f t="shared" si="1"/>
        <v>1</v>
      </c>
      <c r="R4" s="250">
        <v>1</v>
      </c>
      <c r="S4" s="248">
        <f t="shared" si="2"/>
        <v>0</v>
      </c>
      <c r="T4" s="252">
        <v>3</v>
      </c>
      <c r="U4" s="253" t="s">
        <v>650</v>
      </c>
      <c r="V4" s="703"/>
      <c r="W4" s="703"/>
      <c r="X4" s="641"/>
      <c r="Y4" s="642">
        <v>0</v>
      </c>
      <c r="Z4" s="254"/>
      <c r="AA4" s="764"/>
      <c r="AB4" s="764"/>
      <c r="AC4" s="763"/>
      <c r="AD4" s="762"/>
      <c r="AE4" s="761"/>
      <c r="AF4" s="764"/>
      <c r="AG4" s="764"/>
      <c r="AH4" s="760"/>
    </row>
    <row r="5" spans="1:34" x14ac:dyDescent="0.25">
      <c r="A5" s="199" t="s">
        <v>13</v>
      </c>
      <c r="B5" s="35" t="s">
        <v>651</v>
      </c>
      <c r="C5" s="247">
        <v>51.01</v>
      </c>
      <c r="D5" s="247">
        <f>312.22+284.05+306.14</f>
        <v>902.41</v>
      </c>
      <c r="E5" s="247">
        <f>36.86+11.34+34.19+25.1+5.7+14.64+7.63</f>
        <v>135.46</v>
      </c>
      <c r="F5" s="247">
        <f>3.18+3.36+4.84+4.84</f>
        <v>16.22</v>
      </c>
      <c r="G5" s="247">
        <v>52.5</v>
      </c>
      <c r="H5" s="247"/>
      <c r="I5" s="247">
        <v>16</v>
      </c>
      <c r="J5" s="248">
        <v>57.5</v>
      </c>
      <c r="K5" s="247">
        <f>115/2</f>
        <v>57.5</v>
      </c>
      <c r="L5" s="255">
        <v>115</v>
      </c>
      <c r="M5" s="690">
        <f t="shared" si="0"/>
        <v>0.61604782369889555</v>
      </c>
      <c r="N5" s="691">
        <v>1</v>
      </c>
      <c r="O5" s="692" t="s">
        <v>651</v>
      </c>
      <c r="P5" s="251">
        <f>'PGR 30h'!C114*N5</f>
        <v>0</v>
      </c>
      <c r="Q5" s="250">
        <f t="shared" si="1"/>
        <v>0</v>
      </c>
      <c r="R5" s="250">
        <v>1</v>
      </c>
      <c r="S5" s="248">
        <f t="shared" si="2"/>
        <v>2.7951388888888891E-3</v>
      </c>
      <c r="T5" s="252"/>
      <c r="U5" s="245" t="s">
        <v>652</v>
      </c>
      <c r="V5" s="703"/>
      <c r="W5" s="703"/>
      <c r="X5" s="643">
        <v>0</v>
      </c>
      <c r="Y5" s="644">
        <v>0</v>
      </c>
      <c r="Z5" s="254"/>
      <c r="AA5" s="764">
        <v>549.98</v>
      </c>
      <c r="AB5" s="764">
        <v>11.27</v>
      </c>
      <c r="AC5" s="763">
        <v>90.61</v>
      </c>
      <c r="AD5" s="762">
        <v>1</v>
      </c>
      <c r="AE5" s="761"/>
      <c r="AF5" s="764">
        <f t="shared" ref="AF5:AF20" si="3">(C5+D5+E5+F5-AA5)</f>
        <v>555.11999999999989</v>
      </c>
      <c r="AG5" s="764">
        <f t="shared" ref="AG5:AG20" si="4">(G5+H5+I5-AB5)</f>
        <v>57.230000000000004</v>
      </c>
      <c r="AH5" s="760">
        <f t="shared" ref="AH5:AH20" si="5">(J5+K5+L5-AC5)</f>
        <v>139.38999999999999</v>
      </c>
    </row>
    <row r="6" spans="1:34" x14ac:dyDescent="0.25">
      <c r="A6" s="199" t="s">
        <v>15</v>
      </c>
      <c r="B6" s="35" t="s">
        <v>649</v>
      </c>
      <c r="C6" s="247">
        <f>920.71+629.97+212.96</f>
        <v>1763.64</v>
      </c>
      <c r="D6" s="247">
        <f>41.87+210.51+189.47+12.88+32.17+32.05+17.92+14.65</f>
        <v>551.52</v>
      </c>
      <c r="E6" s="247">
        <f>25.87+57.06+108.25+210.51+70.44</f>
        <v>472.13</v>
      </c>
      <c r="F6" s="247">
        <f>45.92+54.88+36.01</f>
        <v>136.81</v>
      </c>
      <c r="G6" s="247">
        <v>225</v>
      </c>
      <c r="H6" s="247">
        <v>43.28</v>
      </c>
      <c r="I6" s="247">
        <v>152</v>
      </c>
      <c r="J6" s="248">
        <f>L6-K6</f>
        <v>774</v>
      </c>
      <c r="K6" s="247">
        <v>32</v>
      </c>
      <c r="L6" s="249">
        <v>806</v>
      </c>
      <c r="M6" s="690">
        <f t="shared" si="0"/>
        <v>3.0426160002171145</v>
      </c>
      <c r="N6" s="691">
        <v>3</v>
      </c>
      <c r="O6" s="692" t="s">
        <v>649</v>
      </c>
      <c r="P6" s="251">
        <f>'Guar 40h'!C114*N6</f>
        <v>0</v>
      </c>
      <c r="Q6" s="250">
        <f t="shared" si="1"/>
        <v>2</v>
      </c>
      <c r="R6" s="250">
        <v>1</v>
      </c>
      <c r="S6" s="248">
        <f t="shared" si="2"/>
        <v>3.7625000000000006E-2</v>
      </c>
      <c r="T6" s="252">
        <v>1</v>
      </c>
      <c r="U6" s="245" t="s">
        <v>651</v>
      </c>
      <c r="V6" s="703"/>
      <c r="W6" s="703"/>
      <c r="X6" s="643">
        <v>0</v>
      </c>
      <c r="Y6" s="644">
        <v>0</v>
      </c>
      <c r="Z6" s="254"/>
      <c r="AA6" s="764">
        <v>2414.5</v>
      </c>
      <c r="AB6" s="764">
        <v>28.82</v>
      </c>
      <c r="AC6" s="763">
        <v>635.03</v>
      </c>
      <c r="AD6" s="762">
        <v>3</v>
      </c>
      <c r="AE6" s="761"/>
      <c r="AF6" s="764">
        <f t="shared" si="3"/>
        <v>509.59999999999991</v>
      </c>
      <c r="AG6" s="764">
        <f t="shared" si="4"/>
        <v>391.46</v>
      </c>
      <c r="AH6" s="760">
        <f t="shared" si="5"/>
        <v>976.97</v>
      </c>
    </row>
    <row r="7" spans="1:34" x14ac:dyDescent="0.25">
      <c r="A7" s="199" t="s">
        <v>19</v>
      </c>
      <c r="B7" s="35" t="s">
        <v>651</v>
      </c>
      <c r="C7" s="247">
        <v>510</v>
      </c>
      <c r="D7" s="247">
        <v>594.79</v>
      </c>
      <c r="E7" s="247">
        <v>387.12</v>
      </c>
      <c r="F7" s="247">
        <v>33.25</v>
      </c>
      <c r="G7" s="247">
        <v>270</v>
      </c>
      <c r="H7" s="247"/>
      <c r="I7" s="247">
        <v>50</v>
      </c>
      <c r="J7" s="248">
        <v>98</v>
      </c>
      <c r="K7" s="247">
        <v>98</v>
      </c>
      <c r="L7" s="249">
        <f>J7+K7</f>
        <v>196</v>
      </c>
      <c r="M7" s="690">
        <f t="shared" si="0"/>
        <v>1.2879652415505816</v>
      </c>
      <c r="N7" s="691">
        <v>1</v>
      </c>
      <c r="O7" s="692" t="s">
        <v>649</v>
      </c>
      <c r="P7" s="251">
        <f>'Irat 40h'!C114*N7</f>
        <v>0</v>
      </c>
      <c r="Q7" s="250">
        <f t="shared" si="1"/>
        <v>0</v>
      </c>
      <c r="R7" s="250">
        <v>1</v>
      </c>
      <c r="S7" s="248">
        <f t="shared" si="2"/>
        <v>4.7638888888888896E-3</v>
      </c>
      <c r="T7" s="252">
        <v>1</v>
      </c>
      <c r="U7" s="245" t="s">
        <v>651</v>
      </c>
      <c r="V7" s="703"/>
      <c r="W7" s="703"/>
      <c r="X7" s="643">
        <v>0</v>
      </c>
      <c r="Y7" s="644">
        <v>0</v>
      </c>
      <c r="Z7" s="254"/>
      <c r="AA7" s="764">
        <v>1130.1400000000001</v>
      </c>
      <c r="AB7" s="764">
        <v>46.37</v>
      </c>
      <c r="AC7" s="763">
        <v>154.41999999999999</v>
      </c>
      <c r="AD7" s="762">
        <v>1</v>
      </c>
      <c r="AE7" s="761"/>
      <c r="AF7" s="764">
        <f t="shared" si="3"/>
        <v>395.01999999999975</v>
      </c>
      <c r="AG7" s="764">
        <f t="shared" si="4"/>
        <v>273.63</v>
      </c>
      <c r="AH7" s="760">
        <f t="shared" si="5"/>
        <v>237.58</v>
      </c>
    </row>
    <row r="8" spans="1:34" x14ac:dyDescent="0.25">
      <c r="A8" s="199" t="s">
        <v>22</v>
      </c>
      <c r="B8" s="35" t="s">
        <v>651</v>
      </c>
      <c r="C8" s="247">
        <f>457.45-5.06-2.55-12.06-33.66</f>
        <v>404.12</v>
      </c>
      <c r="D8" s="247">
        <f>470.2-7.87-7.87-8.46-8.46-7.87-12.06</f>
        <v>417.61</v>
      </c>
      <c r="E8" s="247">
        <f>2.34+2.55+12.06+5.06</f>
        <v>22.009999999999998</v>
      </c>
      <c r="F8" s="247">
        <f>7.87+8.87+8.46+8.46</f>
        <v>33.659999999999997</v>
      </c>
      <c r="G8" s="247">
        <v>150.04</v>
      </c>
      <c r="H8" s="247">
        <v>33.840000000000003</v>
      </c>
      <c r="I8" s="247">
        <v>117.3</v>
      </c>
      <c r="J8" s="248">
        <v>72.5</v>
      </c>
      <c r="K8" s="247">
        <v>72.5</v>
      </c>
      <c r="L8" s="249">
        <f>J8+K8</f>
        <v>145</v>
      </c>
      <c r="M8" s="690">
        <f t="shared" si="0"/>
        <v>0.81549551426124822</v>
      </c>
      <c r="N8" s="691">
        <v>1</v>
      </c>
      <c r="O8" s="692" t="s">
        <v>651</v>
      </c>
      <c r="P8" s="251">
        <f>'Jag 30h'!C114*N8</f>
        <v>0</v>
      </c>
      <c r="Q8" s="250">
        <f t="shared" si="1"/>
        <v>0</v>
      </c>
      <c r="R8" s="250">
        <v>1</v>
      </c>
      <c r="S8" s="248">
        <f t="shared" si="2"/>
        <v>3.5243055555555561E-3</v>
      </c>
      <c r="T8" s="252">
        <v>1</v>
      </c>
      <c r="U8" s="245" t="s">
        <v>651</v>
      </c>
      <c r="V8" s="703"/>
      <c r="W8" s="703"/>
      <c r="X8" s="643">
        <v>0</v>
      </c>
      <c r="Y8" s="644">
        <v>0</v>
      </c>
      <c r="Z8" s="254"/>
      <c r="AA8" s="764">
        <v>433.12</v>
      </c>
      <c r="AB8" s="764">
        <v>32.5</v>
      </c>
      <c r="AC8" s="763">
        <v>114.24</v>
      </c>
      <c r="AD8" s="762">
        <v>1</v>
      </c>
      <c r="AE8" s="761"/>
      <c r="AF8" s="764">
        <f t="shared" si="3"/>
        <v>444.28</v>
      </c>
      <c r="AG8" s="764">
        <f t="shared" si="4"/>
        <v>268.68</v>
      </c>
      <c r="AH8" s="760">
        <f t="shared" si="5"/>
        <v>175.76</v>
      </c>
    </row>
    <row r="9" spans="1:34" x14ac:dyDescent="0.25">
      <c r="A9" s="199" t="s">
        <v>25</v>
      </c>
      <c r="B9" s="35" t="s">
        <v>649</v>
      </c>
      <c r="C9" s="247">
        <v>310.49</v>
      </c>
      <c r="D9" s="247">
        <v>35.03</v>
      </c>
      <c r="E9" s="247">
        <v>127.8</v>
      </c>
      <c r="F9" s="247">
        <v>6.68</v>
      </c>
      <c r="G9" s="247">
        <v>83</v>
      </c>
      <c r="H9" s="247">
        <v>2.33</v>
      </c>
      <c r="I9" s="247">
        <v>92.5</v>
      </c>
      <c r="J9" s="248"/>
      <c r="K9" s="247">
        <f>243/2</f>
        <v>121.5</v>
      </c>
      <c r="L9" s="249">
        <f>K9/2</f>
        <v>60.75</v>
      </c>
      <c r="M9" s="690">
        <f t="shared" si="0"/>
        <v>0.51366361196271393</v>
      </c>
      <c r="N9" s="691">
        <v>1</v>
      </c>
      <c r="O9" s="692" t="s">
        <v>651</v>
      </c>
      <c r="P9" s="251">
        <f>'Laran 30h'!C114*N9</f>
        <v>0</v>
      </c>
      <c r="Q9" s="250">
        <f t="shared" si="1"/>
        <v>0</v>
      </c>
      <c r="R9" s="250">
        <v>1</v>
      </c>
      <c r="S9" s="248">
        <f t="shared" si="2"/>
        <v>0</v>
      </c>
      <c r="T9" s="252"/>
      <c r="U9" s="245" t="s">
        <v>652</v>
      </c>
      <c r="V9" s="703"/>
      <c r="W9" s="703"/>
      <c r="X9" s="643">
        <v>0</v>
      </c>
      <c r="Y9" s="644">
        <v>0</v>
      </c>
      <c r="Z9" s="254"/>
      <c r="AA9" s="764">
        <v>442.6</v>
      </c>
      <c r="AB9" s="764">
        <v>17.98</v>
      </c>
      <c r="AC9" s="763">
        <v>191.45</v>
      </c>
      <c r="AD9" s="762">
        <v>1</v>
      </c>
      <c r="AE9" s="761"/>
      <c r="AF9" s="764">
        <f t="shared" si="3"/>
        <v>37.399999999999977</v>
      </c>
      <c r="AG9" s="764">
        <f t="shared" si="4"/>
        <v>159.85</v>
      </c>
      <c r="AH9" s="760">
        <f t="shared" si="5"/>
        <v>-9.1999999999999886</v>
      </c>
    </row>
    <row r="10" spans="1:34" x14ac:dyDescent="0.25">
      <c r="A10" s="199" t="s">
        <v>30</v>
      </c>
      <c r="B10" s="35" t="s">
        <v>651</v>
      </c>
      <c r="C10" s="247">
        <f>875-19-24.68-8.78-4.8-8.4-8.4-11.76-8.15-69.27-6.35-40</f>
        <v>665.4100000000002</v>
      </c>
      <c r="D10" s="247">
        <v>875</v>
      </c>
      <c r="E10" s="247">
        <v>875</v>
      </c>
      <c r="F10" s="247">
        <f>24.68+8.4+8.4</f>
        <v>41.48</v>
      </c>
      <c r="G10" s="247">
        <v>652</v>
      </c>
      <c r="H10" s="247"/>
      <c r="I10" s="247">
        <v>234</v>
      </c>
      <c r="J10" s="248">
        <v>177</v>
      </c>
      <c r="K10" s="247">
        <v>177</v>
      </c>
      <c r="L10" s="255">
        <f>K10+J10</f>
        <v>354</v>
      </c>
      <c r="M10" s="690">
        <f t="shared" si="0"/>
        <v>2.1229376286357624</v>
      </c>
      <c r="N10" s="691">
        <v>2</v>
      </c>
      <c r="O10" s="692" t="s">
        <v>649</v>
      </c>
      <c r="P10" s="251">
        <f>'T. Borba 40h'!C114*N10</f>
        <v>0</v>
      </c>
      <c r="Q10" s="250">
        <f t="shared" si="1"/>
        <v>1</v>
      </c>
      <c r="R10" s="250">
        <v>1</v>
      </c>
      <c r="S10" s="248">
        <f t="shared" si="2"/>
        <v>8.6041666666666679E-3</v>
      </c>
      <c r="T10" s="252"/>
      <c r="U10" s="245" t="s">
        <v>652</v>
      </c>
      <c r="V10" s="703"/>
      <c r="W10" s="703"/>
      <c r="X10" s="643">
        <v>0</v>
      </c>
      <c r="Y10" s="644">
        <v>0</v>
      </c>
      <c r="Z10" s="254"/>
      <c r="AA10" s="764">
        <v>1274</v>
      </c>
      <c r="AB10" s="764">
        <v>113.57</v>
      </c>
      <c r="AC10" s="763">
        <v>278.91000000000003</v>
      </c>
      <c r="AD10" s="762">
        <v>2</v>
      </c>
      <c r="AE10" s="761"/>
      <c r="AF10" s="764">
        <f t="shared" si="3"/>
        <v>1182.8900000000003</v>
      </c>
      <c r="AG10" s="764">
        <f t="shared" si="4"/>
        <v>772.43000000000006</v>
      </c>
      <c r="AH10" s="760">
        <f t="shared" si="5"/>
        <v>429.09</v>
      </c>
    </row>
    <row r="11" spans="1:34" x14ac:dyDescent="0.25">
      <c r="A11" s="199" t="s">
        <v>32</v>
      </c>
      <c r="B11" s="35" t="s">
        <v>649</v>
      </c>
      <c r="C11" s="247">
        <f>1031.49-41.28-8.58-14.8-4.9-26.4-26.4-4.68-7.86-8.64-10.26-55.11-7.57-10.3-23.59-6.04-33.05-14.8</f>
        <v>727.23000000000025</v>
      </c>
      <c r="D11" s="247">
        <f>1037.45+8.58+14.8+4.9+26.4+26.4+4.68+7.86+8.64+10.26+55.11+7.57+10.3+23.59+6.04+33.05+14.8</f>
        <v>1300.4299999999998</v>
      </c>
      <c r="E11" s="247">
        <v>1045.95</v>
      </c>
      <c r="F11" s="247">
        <f>8.84+8.84+4.68+8.65+10.27</f>
        <v>41.28</v>
      </c>
      <c r="G11" s="247">
        <v>643</v>
      </c>
      <c r="H11" s="247"/>
      <c r="I11" s="247">
        <v>192</v>
      </c>
      <c r="J11" s="248">
        <v>160</v>
      </c>
      <c r="K11" s="247">
        <v>160</v>
      </c>
      <c r="L11" s="249">
        <v>320</v>
      </c>
      <c r="M11" s="690">
        <f t="shared" si="0"/>
        <v>2.4488534450107755</v>
      </c>
      <c r="N11" s="691">
        <v>2</v>
      </c>
      <c r="O11" s="692" t="s">
        <v>649</v>
      </c>
      <c r="P11" s="251">
        <f>'U. Vit 40h'!C114*N11</f>
        <v>0</v>
      </c>
      <c r="Q11" s="250">
        <f t="shared" si="1"/>
        <v>1</v>
      </c>
      <c r="R11" s="250">
        <v>1</v>
      </c>
      <c r="S11" s="248">
        <f t="shared" si="2"/>
        <v>7.7777777777777784E-3</v>
      </c>
      <c r="T11" s="252">
        <v>1</v>
      </c>
      <c r="U11" s="245" t="s">
        <v>651</v>
      </c>
      <c r="V11" s="703"/>
      <c r="W11" s="703"/>
      <c r="X11" s="643">
        <v>0</v>
      </c>
      <c r="Y11" s="643">
        <v>0</v>
      </c>
      <c r="Z11" s="254"/>
      <c r="AA11" s="764">
        <v>1506.26</v>
      </c>
      <c r="AB11" s="764">
        <v>69.98</v>
      </c>
      <c r="AC11" s="763">
        <v>252.12</v>
      </c>
      <c r="AD11" s="762">
        <v>2</v>
      </c>
      <c r="AE11" s="761"/>
      <c r="AF11" s="764">
        <f t="shared" si="3"/>
        <v>1608.6300000000003</v>
      </c>
      <c r="AG11" s="764">
        <f t="shared" si="4"/>
        <v>765.02</v>
      </c>
      <c r="AH11" s="760">
        <f t="shared" si="5"/>
        <v>387.88</v>
      </c>
    </row>
    <row r="12" spans="1:34" x14ac:dyDescent="0.25">
      <c r="A12" s="199" t="s">
        <v>36</v>
      </c>
      <c r="B12" s="35" t="s">
        <v>649</v>
      </c>
      <c r="C12" s="247">
        <v>466.68</v>
      </c>
      <c r="D12" s="247">
        <v>47.8</v>
      </c>
      <c r="E12" s="247">
        <v>18.3</v>
      </c>
      <c r="F12" s="247">
        <f>4+4.3+4.3+10.18+9.04+3.77</f>
        <v>35.590000000000003</v>
      </c>
      <c r="G12" s="247">
        <v>1378</v>
      </c>
      <c r="H12" s="247">
        <v>10.69</v>
      </c>
      <c r="I12" s="247">
        <v>122</v>
      </c>
      <c r="J12" s="248"/>
      <c r="K12" s="247">
        <v>120</v>
      </c>
      <c r="L12" s="249">
        <v>60</v>
      </c>
      <c r="M12" s="690">
        <f t="shared" si="0"/>
        <v>1.1808173955827443</v>
      </c>
      <c r="N12" s="691">
        <v>1</v>
      </c>
      <c r="O12" s="692" t="s">
        <v>649</v>
      </c>
      <c r="P12" s="251">
        <f>'Cast 40h'!C114*N12</f>
        <v>0</v>
      </c>
      <c r="Q12" s="250">
        <f t="shared" si="1"/>
        <v>0</v>
      </c>
      <c r="R12" s="250">
        <v>1</v>
      </c>
      <c r="S12" s="248">
        <f t="shared" si="2"/>
        <v>0</v>
      </c>
      <c r="T12" s="252">
        <v>1</v>
      </c>
      <c r="U12" s="245" t="s">
        <v>651</v>
      </c>
      <c r="V12" s="703"/>
      <c r="W12" s="703"/>
      <c r="X12" s="643">
        <v>0</v>
      </c>
      <c r="Y12" s="644">
        <v>0</v>
      </c>
      <c r="Z12" s="254"/>
      <c r="AA12" s="764">
        <v>528.04999999999995</v>
      </c>
      <c r="AB12" s="764">
        <v>76.510000000000005</v>
      </c>
      <c r="AC12" s="763">
        <v>28.36</v>
      </c>
      <c r="AD12" s="762">
        <v>1</v>
      </c>
      <c r="AE12" s="761"/>
      <c r="AF12" s="764">
        <f t="shared" si="3"/>
        <v>40.32000000000005</v>
      </c>
      <c r="AG12" s="764">
        <f t="shared" si="4"/>
        <v>1434.18</v>
      </c>
      <c r="AH12" s="760">
        <f t="shared" si="5"/>
        <v>151.63999999999999</v>
      </c>
    </row>
    <row r="13" spans="1:34" x14ac:dyDescent="0.25">
      <c r="A13" s="199" t="s">
        <v>43</v>
      </c>
      <c r="B13" s="35" t="s">
        <v>651</v>
      </c>
      <c r="C13" s="247">
        <v>331.4</v>
      </c>
      <c r="D13" s="247">
        <v>23.5</v>
      </c>
      <c r="E13" s="247">
        <v>29.75</v>
      </c>
      <c r="F13" s="247">
        <f>18.55+16.8</f>
        <v>35.35</v>
      </c>
      <c r="G13" s="247">
        <v>1840</v>
      </c>
      <c r="H13" s="247">
        <v>27.3</v>
      </c>
      <c r="I13" s="247">
        <v>113.95</v>
      </c>
      <c r="J13" s="248"/>
      <c r="K13" s="247">
        <v>120</v>
      </c>
      <c r="L13" s="249">
        <v>60</v>
      </c>
      <c r="M13" s="690">
        <f t="shared" si="0"/>
        <v>1.2130334955827442</v>
      </c>
      <c r="N13" s="691">
        <v>1</v>
      </c>
      <c r="O13" s="692" t="s">
        <v>649</v>
      </c>
      <c r="P13" s="251">
        <f>'Ibai 40h'!C114*N13</f>
        <v>0</v>
      </c>
      <c r="Q13" s="250">
        <f t="shared" si="1"/>
        <v>0</v>
      </c>
      <c r="R13" s="250">
        <v>1</v>
      </c>
      <c r="S13" s="248">
        <f t="shared" si="2"/>
        <v>0</v>
      </c>
      <c r="T13" s="252"/>
      <c r="U13" s="245" t="s">
        <v>652</v>
      </c>
      <c r="V13" s="703"/>
      <c r="W13" s="703"/>
      <c r="X13" s="643">
        <v>0</v>
      </c>
      <c r="Y13" s="644">
        <v>0</v>
      </c>
      <c r="Z13" s="254"/>
      <c r="AA13" s="764">
        <v>484.09</v>
      </c>
      <c r="AB13" s="764">
        <v>107.42</v>
      </c>
      <c r="AC13" s="763">
        <v>94.55</v>
      </c>
      <c r="AD13" s="762">
        <v>1</v>
      </c>
      <c r="AE13" s="761"/>
      <c r="AF13" s="764">
        <f t="shared" si="3"/>
        <v>-64.089999999999975</v>
      </c>
      <c r="AG13" s="764">
        <f t="shared" si="4"/>
        <v>1873.83</v>
      </c>
      <c r="AH13" s="760">
        <f t="shared" si="5"/>
        <v>85.45</v>
      </c>
    </row>
    <row r="14" spans="1:34" x14ac:dyDescent="0.25">
      <c r="A14" s="199" t="s">
        <v>49</v>
      </c>
      <c r="B14" s="35" t="s">
        <v>649</v>
      </c>
      <c r="C14" s="247">
        <v>281</v>
      </c>
      <c r="D14" s="247">
        <v>30</v>
      </c>
      <c r="E14" s="247"/>
      <c r="F14" s="247">
        <v>19</v>
      </c>
      <c r="G14" s="247"/>
      <c r="H14" s="247"/>
      <c r="I14" s="247">
        <v>147</v>
      </c>
      <c r="J14" s="248"/>
      <c r="K14" s="247">
        <v>32</v>
      </c>
      <c r="L14" s="249">
        <v>16</v>
      </c>
      <c r="M14" s="690">
        <f t="shared" si="0"/>
        <v>0.38337366301959608</v>
      </c>
      <c r="N14" s="691">
        <v>1</v>
      </c>
      <c r="O14" s="692" t="s">
        <v>651</v>
      </c>
      <c r="P14" s="251">
        <f>'Pit 30h'!C114*N14</f>
        <v>0</v>
      </c>
      <c r="Q14" s="250">
        <f t="shared" si="1"/>
        <v>0</v>
      </c>
      <c r="R14" s="250">
        <v>1</v>
      </c>
      <c r="S14" s="248">
        <f t="shared" si="2"/>
        <v>0</v>
      </c>
      <c r="T14" s="252"/>
      <c r="U14" s="245" t="s">
        <v>652</v>
      </c>
      <c r="V14" s="703"/>
      <c r="W14" s="703"/>
      <c r="X14" s="643">
        <v>0</v>
      </c>
      <c r="Y14" s="644">
        <v>0</v>
      </c>
      <c r="Z14" s="254"/>
      <c r="AA14" s="764">
        <v>253.57</v>
      </c>
      <c r="AB14" s="764">
        <v>0</v>
      </c>
      <c r="AC14" s="763">
        <v>25.21</v>
      </c>
      <c r="AD14" s="762">
        <v>1</v>
      </c>
      <c r="AE14" s="761"/>
      <c r="AF14" s="764">
        <f t="shared" si="3"/>
        <v>76.430000000000007</v>
      </c>
      <c r="AG14" s="764">
        <f t="shared" si="4"/>
        <v>147</v>
      </c>
      <c r="AH14" s="760">
        <f t="shared" si="5"/>
        <v>22.79</v>
      </c>
    </row>
    <row r="15" spans="1:34" x14ac:dyDescent="0.25">
      <c r="A15" s="199" t="s">
        <v>51</v>
      </c>
      <c r="B15" s="35" t="s">
        <v>651</v>
      </c>
      <c r="C15" s="247">
        <v>289</v>
      </c>
      <c r="D15" s="247">
        <v>21</v>
      </c>
      <c r="E15" s="247">
        <v>0</v>
      </c>
      <c r="F15" s="247">
        <v>24.4</v>
      </c>
      <c r="G15" s="247">
        <v>604.52</v>
      </c>
      <c r="H15" s="247">
        <v>150</v>
      </c>
      <c r="I15" s="247">
        <v>166</v>
      </c>
      <c r="J15" s="248"/>
      <c r="K15" s="247">
        <v>84.6</v>
      </c>
      <c r="L15" s="249">
        <f>K15/2</f>
        <v>42.3</v>
      </c>
      <c r="M15" s="690">
        <f t="shared" si="0"/>
        <v>0.65088069568213114</v>
      </c>
      <c r="N15" s="691">
        <v>1</v>
      </c>
      <c r="O15" s="692" t="s">
        <v>651</v>
      </c>
      <c r="P15" s="251">
        <f>'Arap 30h'!C114*N15</f>
        <v>0</v>
      </c>
      <c r="Q15" s="250">
        <f t="shared" si="1"/>
        <v>0</v>
      </c>
      <c r="R15" s="250">
        <v>1</v>
      </c>
      <c r="S15" s="248">
        <f t="shared" si="2"/>
        <v>0</v>
      </c>
      <c r="T15" s="252"/>
      <c r="U15" s="245" t="s">
        <v>652</v>
      </c>
      <c r="V15" s="703"/>
      <c r="W15" s="703"/>
      <c r="X15" s="643">
        <v>0</v>
      </c>
      <c r="Y15" s="644">
        <v>0</v>
      </c>
      <c r="Z15" s="254"/>
      <c r="AA15" s="764">
        <v>288.49</v>
      </c>
      <c r="AB15" s="764">
        <v>57.16</v>
      </c>
      <c r="AC15" s="763">
        <v>59.17</v>
      </c>
      <c r="AD15" s="762">
        <v>1</v>
      </c>
      <c r="AE15" s="761"/>
      <c r="AF15" s="764">
        <f t="shared" si="3"/>
        <v>45.909999999999968</v>
      </c>
      <c r="AG15" s="764">
        <f t="shared" si="4"/>
        <v>863.36</v>
      </c>
      <c r="AH15" s="760">
        <f t="shared" si="5"/>
        <v>67.72999999999999</v>
      </c>
    </row>
    <row r="16" spans="1:34" x14ac:dyDescent="0.25">
      <c r="A16" s="199" t="s">
        <v>53</v>
      </c>
      <c r="B16" s="35" t="s">
        <v>651</v>
      </c>
      <c r="C16" s="247">
        <v>289</v>
      </c>
      <c r="D16" s="247">
        <v>21</v>
      </c>
      <c r="E16" s="247">
        <v>0</v>
      </c>
      <c r="F16" s="247">
        <v>24.4</v>
      </c>
      <c r="G16" s="247">
        <v>476</v>
      </c>
      <c r="H16" s="247"/>
      <c r="I16" s="247">
        <v>55</v>
      </c>
      <c r="J16" s="248"/>
      <c r="K16" s="247">
        <v>84.6</v>
      </c>
      <c r="L16" s="249">
        <v>42.3</v>
      </c>
      <c r="M16" s="690">
        <f t="shared" si="0"/>
        <v>0.58944736234879769</v>
      </c>
      <c r="N16" s="691">
        <v>1</v>
      </c>
      <c r="O16" s="692" t="s">
        <v>651</v>
      </c>
      <c r="P16" s="251">
        <f>'Imb 30h'!C114*N16</f>
        <v>0</v>
      </c>
      <c r="Q16" s="250">
        <f t="shared" si="1"/>
        <v>0</v>
      </c>
      <c r="R16" s="250">
        <v>1</v>
      </c>
      <c r="S16" s="248">
        <f t="shared" si="2"/>
        <v>0</v>
      </c>
      <c r="T16" s="252"/>
      <c r="U16" s="245" t="s">
        <v>652</v>
      </c>
      <c r="V16" s="703"/>
      <c r="W16" s="703"/>
      <c r="X16" s="643">
        <v>0</v>
      </c>
      <c r="Y16" s="644">
        <v>0</v>
      </c>
      <c r="Z16" s="254"/>
      <c r="AA16" s="764">
        <v>288.49</v>
      </c>
      <c r="AB16" s="764">
        <v>52.62</v>
      </c>
      <c r="AC16" s="763">
        <v>59.17</v>
      </c>
      <c r="AD16" s="762">
        <v>1</v>
      </c>
      <c r="AE16" s="761"/>
      <c r="AF16" s="764">
        <f t="shared" si="3"/>
        <v>45.909999999999968</v>
      </c>
      <c r="AG16" s="764">
        <f t="shared" si="4"/>
        <v>478.38</v>
      </c>
      <c r="AH16" s="760">
        <f t="shared" si="5"/>
        <v>67.72999999999999</v>
      </c>
    </row>
    <row r="17" spans="1:34" x14ac:dyDescent="0.25">
      <c r="A17" s="199" t="s">
        <v>55</v>
      </c>
      <c r="B17" s="35" t="s">
        <v>651</v>
      </c>
      <c r="C17" s="247">
        <v>289</v>
      </c>
      <c r="D17" s="247">
        <v>21</v>
      </c>
      <c r="E17" s="247">
        <v>0</v>
      </c>
      <c r="F17" s="247">
        <v>24.4</v>
      </c>
      <c r="G17" s="247">
        <v>1147.47</v>
      </c>
      <c r="H17" s="247">
        <v>150</v>
      </c>
      <c r="I17" s="247">
        <v>259.2</v>
      </c>
      <c r="J17" s="248"/>
      <c r="K17" s="247">
        <v>84.6</v>
      </c>
      <c r="L17" s="249">
        <v>42.3</v>
      </c>
      <c r="M17" s="690">
        <f t="shared" si="0"/>
        <v>0.8623288438302793</v>
      </c>
      <c r="N17" s="691">
        <v>1</v>
      </c>
      <c r="O17" s="692" t="s">
        <v>651</v>
      </c>
      <c r="P17" s="251">
        <f>'Prud 30h'!C114*N17</f>
        <v>0</v>
      </c>
      <c r="Q17" s="250">
        <f t="shared" si="1"/>
        <v>0</v>
      </c>
      <c r="R17" s="250">
        <v>1</v>
      </c>
      <c r="S17" s="248">
        <f t="shared" si="2"/>
        <v>0</v>
      </c>
      <c r="T17" s="252"/>
      <c r="U17" s="245" t="s">
        <v>652</v>
      </c>
      <c r="V17" s="703"/>
      <c r="W17" s="703"/>
      <c r="X17" s="643">
        <v>0</v>
      </c>
      <c r="Y17" s="644">
        <v>0</v>
      </c>
      <c r="Z17" s="254"/>
      <c r="AA17" s="764">
        <v>288.49</v>
      </c>
      <c r="AB17" s="764">
        <v>74.489999999999995</v>
      </c>
      <c r="AC17" s="763">
        <v>59.17</v>
      </c>
      <c r="AD17" s="762">
        <v>1</v>
      </c>
      <c r="AE17" s="761"/>
      <c r="AF17" s="764">
        <f t="shared" si="3"/>
        <v>45.909999999999968</v>
      </c>
      <c r="AG17" s="764">
        <f t="shared" si="4"/>
        <v>1482.18</v>
      </c>
      <c r="AH17" s="760">
        <f t="shared" si="5"/>
        <v>67.72999999999999</v>
      </c>
    </row>
    <row r="18" spans="1:34" x14ac:dyDescent="0.25">
      <c r="A18" s="199" t="s">
        <v>58</v>
      </c>
      <c r="B18" s="35" t="s">
        <v>651</v>
      </c>
      <c r="C18" s="247">
        <v>289</v>
      </c>
      <c r="D18" s="247">
        <v>21</v>
      </c>
      <c r="E18" s="247">
        <v>0</v>
      </c>
      <c r="F18" s="247">
        <v>24.4</v>
      </c>
      <c r="G18" s="247">
        <v>1364.38</v>
      </c>
      <c r="H18" s="247">
        <v>200</v>
      </c>
      <c r="I18" s="247">
        <v>74.5</v>
      </c>
      <c r="J18" s="248"/>
      <c r="K18" s="247">
        <v>84.6</v>
      </c>
      <c r="L18" s="249">
        <v>42.3</v>
      </c>
      <c r="M18" s="690">
        <f t="shared" si="0"/>
        <v>0.92264365864509423</v>
      </c>
      <c r="N18" s="691">
        <v>1</v>
      </c>
      <c r="O18" s="692" t="s">
        <v>651</v>
      </c>
      <c r="P18" s="251">
        <f>'Pinhão 30h'!C114*N18</f>
        <v>0</v>
      </c>
      <c r="Q18" s="250">
        <f t="shared" si="1"/>
        <v>0</v>
      </c>
      <c r="R18" s="250">
        <v>1</v>
      </c>
      <c r="S18" s="248">
        <f t="shared" si="2"/>
        <v>0</v>
      </c>
      <c r="T18" s="252"/>
      <c r="U18" s="245" t="s">
        <v>652</v>
      </c>
      <c r="V18" s="703"/>
      <c r="W18" s="703"/>
      <c r="X18" s="643">
        <v>0</v>
      </c>
      <c r="Y18" s="644">
        <v>0</v>
      </c>
      <c r="Z18" s="254"/>
      <c r="AA18" s="764">
        <v>289.75</v>
      </c>
      <c r="AB18" s="764">
        <v>81.099999999999994</v>
      </c>
      <c r="AC18" s="763">
        <v>59.17</v>
      </c>
      <c r="AD18" s="759">
        <v>1</v>
      </c>
      <c r="AE18" s="761"/>
      <c r="AF18" s="764">
        <f t="shared" si="3"/>
        <v>44.649999999999977</v>
      </c>
      <c r="AG18" s="764">
        <f t="shared" si="4"/>
        <v>1557.7800000000002</v>
      </c>
      <c r="AH18" s="760">
        <f t="shared" si="5"/>
        <v>67.72999999999999</v>
      </c>
    </row>
    <row r="19" spans="1:34" x14ac:dyDescent="0.25">
      <c r="A19" s="199" t="s">
        <v>59</v>
      </c>
      <c r="B19" s="35" t="s">
        <v>651</v>
      </c>
      <c r="C19" s="247">
        <v>289</v>
      </c>
      <c r="D19" s="247">
        <v>21</v>
      </c>
      <c r="E19" s="247">
        <v>0</v>
      </c>
      <c r="F19" s="247">
        <v>24.4</v>
      </c>
      <c r="G19" s="247">
        <v>1078.0999999999999</v>
      </c>
      <c r="H19" s="247">
        <v>350</v>
      </c>
      <c r="I19" s="247">
        <v>91.5</v>
      </c>
      <c r="J19" s="248"/>
      <c r="K19" s="247">
        <v>84.6</v>
      </c>
      <c r="L19" s="249">
        <v>42.3</v>
      </c>
      <c r="M19" s="690">
        <f t="shared" si="0"/>
        <v>0.82000291790435331</v>
      </c>
      <c r="N19" s="691">
        <v>1</v>
      </c>
      <c r="O19" s="692" t="s">
        <v>651</v>
      </c>
      <c r="P19" s="251">
        <f>'Palm 30h'!C114*N19</f>
        <v>0</v>
      </c>
      <c r="Q19" s="250">
        <f t="shared" si="1"/>
        <v>0</v>
      </c>
      <c r="R19" s="250">
        <v>1</v>
      </c>
      <c r="S19" s="248">
        <f t="shared" si="2"/>
        <v>0</v>
      </c>
      <c r="T19" s="252"/>
      <c r="U19" s="245" t="s">
        <v>652</v>
      </c>
      <c r="V19" s="703"/>
      <c r="W19" s="703"/>
      <c r="X19" s="645">
        <v>0</v>
      </c>
      <c r="Y19" s="643">
        <v>0</v>
      </c>
      <c r="Z19" s="254"/>
      <c r="AA19" s="764">
        <v>289.75</v>
      </c>
      <c r="AB19" s="764">
        <v>63.98</v>
      </c>
      <c r="AC19" s="763">
        <v>59.17</v>
      </c>
      <c r="AD19" s="759">
        <v>1</v>
      </c>
      <c r="AE19" s="761"/>
      <c r="AF19" s="764">
        <f t="shared" si="3"/>
        <v>44.649999999999977</v>
      </c>
      <c r="AG19" s="764">
        <f t="shared" si="4"/>
        <v>1455.62</v>
      </c>
      <c r="AH19" s="760">
        <f t="shared" si="5"/>
        <v>67.72999999999999</v>
      </c>
    </row>
    <row r="20" spans="1:34" x14ac:dyDescent="0.25">
      <c r="A20" s="201" t="s">
        <v>60</v>
      </c>
      <c r="B20" s="256" t="s">
        <v>651</v>
      </c>
      <c r="C20" s="257">
        <v>289</v>
      </c>
      <c r="D20" s="257">
        <v>21</v>
      </c>
      <c r="E20" s="257">
        <v>0</v>
      </c>
      <c r="F20" s="257">
        <v>24.4</v>
      </c>
      <c r="G20" s="257">
        <v>878.64</v>
      </c>
      <c r="H20" s="257">
        <v>150</v>
      </c>
      <c r="I20" s="257">
        <v>66.7</v>
      </c>
      <c r="J20" s="258"/>
      <c r="K20" s="257">
        <v>84.6</v>
      </c>
      <c r="L20" s="259">
        <v>42.3</v>
      </c>
      <c r="M20" s="684">
        <f t="shared" si="0"/>
        <v>0.74137328827472371</v>
      </c>
      <c r="N20" s="685">
        <v>1</v>
      </c>
      <c r="O20" s="686" t="s">
        <v>651</v>
      </c>
      <c r="P20" s="261">
        <f>'S. Mat 30h'!C114*N20</f>
        <v>0</v>
      </c>
      <c r="Q20" s="260">
        <f t="shared" si="1"/>
        <v>0</v>
      </c>
      <c r="R20" s="260">
        <v>1</v>
      </c>
      <c r="S20" s="258">
        <f t="shared" si="2"/>
        <v>0</v>
      </c>
      <c r="T20" s="262"/>
      <c r="U20" s="263" t="s">
        <v>652</v>
      </c>
      <c r="V20" s="704"/>
      <c r="W20" s="704"/>
      <c r="X20" s="641">
        <v>0</v>
      </c>
      <c r="Y20" s="646">
        <v>0</v>
      </c>
      <c r="Z20" s="264"/>
      <c r="AA20" s="758">
        <v>289.75</v>
      </c>
      <c r="AB20" s="758">
        <v>60.74</v>
      </c>
      <c r="AC20" s="757">
        <v>59.17</v>
      </c>
      <c r="AD20" s="759">
        <v>1</v>
      </c>
      <c r="AE20" s="756"/>
      <c r="AF20" s="758">
        <f t="shared" si="3"/>
        <v>44.649999999999977</v>
      </c>
      <c r="AG20" s="758">
        <f t="shared" si="4"/>
        <v>1034.5999999999999</v>
      </c>
      <c r="AH20" s="755">
        <f t="shared" si="5"/>
        <v>67.72999999999999</v>
      </c>
    </row>
    <row r="21" spans="1:34" x14ac:dyDescent="0.25">
      <c r="A21" s="202" t="s">
        <v>653</v>
      </c>
      <c r="B21" s="265"/>
      <c r="C21" s="266">
        <f t="shared" ref="C21:N21" si="6">SUM(C3:C20)</f>
        <v>10545.78</v>
      </c>
      <c r="D21" s="266">
        <f t="shared" si="6"/>
        <v>5108.54</v>
      </c>
      <c r="E21" s="266">
        <f t="shared" si="6"/>
        <v>3336.58</v>
      </c>
      <c r="F21" s="266">
        <f t="shared" si="6"/>
        <v>795.83999999999992</v>
      </c>
      <c r="G21" s="266">
        <f t="shared" si="6"/>
        <v>12837.65</v>
      </c>
      <c r="H21" s="266">
        <f t="shared" si="6"/>
        <v>2117.4399999999996</v>
      </c>
      <c r="I21" s="266">
        <f t="shared" si="6"/>
        <v>2429.6499999999996</v>
      </c>
      <c r="J21" s="266">
        <f t="shared" si="6"/>
        <v>1549</v>
      </c>
      <c r="K21" s="266">
        <f t="shared" si="6"/>
        <v>1748.0999999999995</v>
      </c>
      <c r="L21" s="267">
        <f t="shared" si="6"/>
        <v>2846.5500000000011</v>
      </c>
      <c r="M21" s="682">
        <f t="shared" si="6"/>
        <v>23.537097129483524</v>
      </c>
      <c r="N21" s="699">
        <f t="shared" si="6"/>
        <v>24</v>
      </c>
      <c r="O21" s="698"/>
      <c r="P21" s="700">
        <f>SUM(P3:P20)</f>
        <v>0</v>
      </c>
      <c r="Q21" s="683">
        <f>SUM(Q3:Q20)</f>
        <v>6</v>
      </c>
      <c r="R21" s="683">
        <f>SUM(R3:R20)</f>
        <v>18</v>
      </c>
      <c r="S21" s="227"/>
      <c r="T21" s="696">
        <f>SUM(T3:T20)</f>
        <v>8</v>
      </c>
      <c r="U21" s="697" t="s">
        <v>652</v>
      </c>
      <c r="V21" s="678">
        <f>V3</f>
        <v>1</v>
      </c>
      <c r="W21" s="695"/>
      <c r="X21" s="679">
        <f>SUM(X3:X20)</f>
        <v>1</v>
      </c>
      <c r="Y21" s="701">
        <f>SUM(Y3:Y20)</f>
        <v>0</v>
      </c>
      <c r="Z21" s="268"/>
      <c r="AA21" s="754"/>
      <c r="AB21" s="754"/>
      <c r="AC21" s="753"/>
      <c r="AD21" s="752">
        <f>SUM(AD3:AD20)</f>
        <v>24</v>
      </c>
      <c r="AE21" s="751"/>
      <c r="AF21" s="754"/>
      <c r="AG21" s="754"/>
      <c r="AH21" s="750"/>
    </row>
    <row r="22" spans="1:34" x14ac:dyDescent="0.25">
      <c r="A22" s="269" t="s">
        <v>654</v>
      </c>
      <c r="B22" s="270"/>
      <c r="C22" s="271">
        <v>1000</v>
      </c>
      <c r="D22" s="271">
        <v>2500</v>
      </c>
      <c r="E22" s="271">
        <v>1500</v>
      </c>
      <c r="F22" s="271">
        <v>300</v>
      </c>
      <c r="G22" s="271">
        <v>2700</v>
      </c>
      <c r="H22" s="271">
        <v>100000</v>
      </c>
      <c r="I22" s="271">
        <v>9000</v>
      </c>
      <c r="J22" s="271">
        <v>160</v>
      </c>
      <c r="K22" s="271">
        <v>380</v>
      </c>
      <c r="L22" s="272">
        <v>380</v>
      </c>
      <c r="M22" s="273"/>
    </row>
    <row r="23" spans="1:34" x14ac:dyDescent="0.25">
      <c r="A23" s="274" t="s">
        <v>655</v>
      </c>
      <c r="B23" s="275"/>
      <c r="C23" s="276">
        <f t="shared" ref="C23:I23" si="7">C21/C22</f>
        <v>10.545780000000001</v>
      </c>
      <c r="D23" s="276">
        <f t="shared" si="7"/>
        <v>2.0434160000000001</v>
      </c>
      <c r="E23" s="276">
        <f t="shared" si="7"/>
        <v>2.2243866666666667</v>
      </c>
      <c r="F23" s="276">
        <f t="shared" si="7"/>
        <v>2.6527999999999996</v>
      </c>
      <c r="G23" s="276">
        <f t="shared" si="7"/>
        <v>4.7546851851851848</v>
      </c>
      <c r="H23" s="276">
        <f t="shared" si="7"/>
        <v>2.1174399999999996E-2</v>
      </c>
      <c r="I23" s="276">
        <f t="shared" si="7"/>
        <v>0.2699611111111111</v>
      </c>
      <c r="J23" s="276">
        <f>1/J22*8*1/1132.6*J21</f>
        <v>6.8382482782977233E-2</v>
      </c>
      <c r="K23" s="276">
        <f>1/K22*16*1/188.76*K21</f>
        <v>0.38993542342824628</v>
      </c>
      <c r="L23" s="277">
        <f>1/L22*16*1/188.76*L21</f>
        <v>0.63495834309231469</v>
      </c>
      <c r="M23" s="278">
        <f>SUM(C23:L23)</f>
        <v>23.6054796122665</v>
      </c>
    </row>
    <row r="24" spans="1:34" x14ac:dyDescent="0.25">
      <c r="A24" s="279" t="s">
        <v>656</v>
      </c>
      <c r="B24" s="280"/>
      <c r="C24" s="281">
        <f>C21/(N21*C22)</f>
        <v>0.43940750000000001</v>
      </c>
      <c r="D24" s="281">
        <f>D21/(N21*D22)</f>
        <v>8.5142333333333334E-2</v>
      </c>
      <c r="E24" s="281">
        <f>E21/(N21*E22)</f>
        <v>9.2682777777777781E-2</v>
      </c>
      <c r="F24" s="281">
        <f>F21/(N21*F22)</f>
        <v>0.11053333333333332</v>
      </c>
      <c r="G24" s="281">
        <f>G21/(N21*G22)</f>
        <v>0.19811188271604938</v>
      </c>
      <c r="H24" s="281">
        <f>H21/(N21*H22)</f>
        <v>8.8226666666666646E-4</v>
      </c>
      <c r="I24" s="281">
        <f>I21/(N21*I22)</f>
        <v>1.1248379629629627E-2</v>
      </c>
      <c r="J24" s="281">
        <f>1/N21*1/J22*16*1/188.76*J21</f>
        <v>3.4192448965176238E-2</v>
      </c>
      <c r="K24" s="281">
        <f>1/N21*1/K22*16*1/188.76*K21</f>
        <v>1.6247309309510263E-2</v>
      </c>
      <c r="L24" s="282">
        <f>1/N21*1/L22*16*1/188.76*L21</f>
        <v>2.6456597628846442E-2</v>
      </c>
      <c r="M24" s="279">
        <f>SUM(C24:L24)</f>
        <v>1.0149048293603231</v>
      </c>
    </row>
    <row r="25" spans="1:34" x14ac:dyDescent="0.25">
      <c r="A25" s="283" t="s">
        <v>657</v>
      </c>
      <c r="B25" s="284"/>
      <c r="C25" s="285">
        <f t="shared" ref="C25:I25" si="8">ROUND(1/C22,9)</f>
        <v>1E-3</v>
      </c>
      <c r="D25" s="285">
        <f t="shared" si="8"/>
        <v>4.0000000000000002E-4</v>
      </c>
      <c r="E25" s="285">
        <f t="shared" si="8"/>
        <v>6.6666700000000002E-4</v>
      </c>
      <c r="F25" s="285">
        <f t="shared" si="8"/>
        <v>3.333333E-3</v>
      </c>
      <c r="G25" s="285">
        <f t="shared" si="8"/>
        <v>3.7037000000000002E-4</v>
      </c>
      <c r="H25" s="285">
        <f t="shared" si="8"/>
        <v>1.0000000000000001E-5</v>
      </c>
      <c r="I25" s="285">
        <f t="shared" si="8"/>
        <v>1.11111E-4</v>
      </c>
      <c r="J25" s="286">
        <f>(1/J22)*(1/L33)*8</f>
        <v>4.8611111111111115E-5</v>
      </c>
      <c r="K25" s="286">
        <f>(1/K22)*(1/L32)*16</f>
        <v>2.4561403508771931E-4</v>
      </c>
      <c r="L25" s="287">
        <f>(1/L22)*(1/L32)*16</f>
        <v>2.4561403508771931E-4</v>
      </c>
    </row>
    <row r="26" spans="1:34" x14ac:dyDescent="0.25">
      <c r="A26" s="288" t="s">
        <v>658</v>
      </c>
      <c r="B26" s="289"/>
      <c r="C26" s="290">
        <f t="shared" ref="C26:I26" si="9">C25/$N$21</f>
        <v>4.1666666666666665E-5</v>
      </c>
      <c r="D26" s="290">
        <f t="shared" si="9"/>
        <v>1.6666666666666667E-5</v>
      </c>
      <c r="E26" s="290">
        <f t="shared" si="9"/>
        <v>2.7777791666666669E-5</v>
      </c>
      <c r="F26" s="290">
        <f t="shared" si="9"/>
        <v>1.3888887499999999E-4</v>
      </c>
      <c r="G26" s="290">
        <f t="shared" si="9"/>
        <v>1.5432083333333334E-5</v>
      </c>
      <c r="H26" s="290">
        <f t="shared" si="9"/>
        <v>4.1666666666666672E-7</v>
      </c>
      <c r="I26" s="290">
        <f t="shared" si="9"/>
        <v>4.6296249999999997E-6</v>
      </c>
      <c r="J26" s="291">
        <f>J25/4</f>
        <v>1.2152777777777779E-5</v>
      </c>
      <c r="K26" s="291">
        <f>K25/$N$21</f>
        <v>1.0233918128654972E-5</v>
      </c>
      <c r="L26" s="292">
        <f>L25/$N$21</f>
        <v>1.0233918128654972E-5</v>
      </c>
    </row>
    <row r="27" spans="1:34" x14ac:dyDescent="0.25">
      <c r="A27" s="293" t="s">
        <v>659</v>
      </c>
      <c r="B27" s="294"/>
      <c r="C27" s="295" t="s">
        <v>660</v>
      </c>
      <c r="D27" s="295" t="s">
        <v>661</v>
      </c>
      <c r="E27" s="295" t="s">
        <v>662</v>
      </c>
      <c r="F27" s="295" t="s">
        <v>663</v>
      </c>
      <c r="G27" s="296" t="s">
        <v>664</v>
      </c>
      <c r="H27" s="297">
        <v>100000</v>
      </c>
      <c r="I27" s="296" t="s">
        <v>665</v>
      </c>
      <c r="J27" s="298" t="s">
        <v>666</v>
      </c>
      <c r="K27" s="298" t="s">
        <v>667</v>
      </c>
      <c r="L27" s="299" t="s">
        <v>667</v>
      </c>
    </row>
    <row r="32" spans="1:34" x14ac:dyDescent="0.25">
      <c r="J32" s="300">
        <f>30/7</f>
        <v>4.2857142857142856</v>
      </c>
      <c r="K32" s="300">
        <v>40</v>
      </c>
      <c r="L32" s="300">
        <f>J32*K32</f>
        <v>171.42857142857142</v>
      </c>
      <c r="M32" s="300"/>
    </row>
    <row r="33" spans="10:13" x14ac:dyDescent="0.25">
      <c r="J33" s="300"/>
      <c r="K33" s="300"/>
      <c r="L33" s="300">
        <f>L32*6</f>
        <v>1028.5714285714284</v>
      </c>
      <c r="M33" s="300" t="s">
        <v>668</v>
      </c>
    </row>
  </sheetData>
  <mergeCells count="7">
    <mergeCell ref="V1:W1"/>
    <mergeCell ref="X1:Y1"/>
    <mergeCell ref="C1:F1"/>
    <mergeCell ref="G1:I1"/>
    <mergeCell ref="J1:L1"/>
    <mergeCell ref="M1:R1"/>
    <mergeCell ref="T1:U1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I201"/>
  <sheetViews>
    <sheetView topLeftCell="A59" zoomScaleNormal="100" workbookViewId="0">
      <selection activeCell="H76" sqref="H73:H76"/>
    </sheetView>
  </sheetViews>
  <sheetFormatPr defaultColWidth="10.5" defaultRowHeight="14.25" x14ac:dyDescent="0.2"/>
  <cols>
    <col min="1" max="1" width="58.125" style="300" customWidth="1"/>
    <col min="2" max="2" width="13.5" style="300" customWidth="1"/>
    <col min="3" max="3" width="12.25" style="300" customWidth="1"/>
    <col min="4" max="4" width="12.125" style="300" customWidth="1"/>
    <col min="5" max="5" width="13" style="300" customWidth="1"/>
    <col min="6" max="1023" width="10.5" style="300"/>
  </cols>
  <sheetData>
    <row r="1" spans="1:8" ht="15.75" x14ac:dyDescent="0.2">
      <c r="A1" s="935" t="s">
        <v>488</v>
      </c>
      <c r="B1" s="935"/>
      <c r="C1" s="935"/>
      <c r="D1" s="935"/>
      <c r="E1" s="935"/>
      <c r="F1" s="392"/>
      <c r="G1" s="392"/>
      <c r="H1" s="392"/>
    </row>
    <row r="2" spans="1:8" ht="15.75" x14ac:dyDescent="0.2">
      <c r="A2" s="936" t="s">
        <v>489</v>
      </c>
      <c r="B2" s="936"/>
      <c r="C2" s="936"/>
      <c r="D2" s="936"/>
      <c r="E2" s="936"/>
      <c r="F2" s="392"/>
      <c r="G2" s="392"/>
      <c r="H2" s="392"/>
    </row>
    <row r="3" spans="1:8" ht="15.75" x14ac:dyDescent="0.2">
      <c r="A3" s="936"/>
      <c r="B3" s="936"/>
      <c r="C3" s="936"/>
      <c r="D3" s="936"/>
      <c r="E3" s="936"/>
      <c r="F3" s="392"/>
      <c r="G3" s="392"/>
      <c r="H3" s="392"/>
    </row>
    <row r="4" spans="1:8" ht="15.75" x14ac:dyDescent="0.2">
      <c r="A4" s="393"/>
      <c r="B4" s="394"/>
      <c r="C4" s="395" t="s">
        <v>10</v>
      </c>
      <c r="D4" s="396" t="s">
        <v>649</v>
      </c>
      <c r="E4" s="397" t="s">
        <v>651</v>
      </c>
      <c r="F4" s="392"/>
      <c r="G4" s="392"/>
      <c r="H4" s="392"/>
    </row>
    <row r="5" spans="1:8" x14ac:dyDescent="0.2">
      <c r="A5" s="398"/>
      <c r="B5" s="399" t="s">
        <v>490</v>
      </c>
      <c r="C5" s="400">
        <f>'M. Cal'!C4</f>
        <v>0</v>
      </c>
      <c r="D5" s="401">
        <f>'M. Cal'!D4</f>
        <v>0</v>
      </c>
      <c r="E5" s="402">
        <f>'M. Cal'!E4</f>
        <v>0</v>
      </c>
      <c r="F5" s="392"/>
      <c r="G5" s="392"/>
      <c r="H5" s="392"/>
    </row>
    <row r="6" spans="1:8" x14ac:dyDescent="0.2">
      <c r="A6" s="398"/>
      <c r="B6" s="399" t="s">
        <v>491</v>
      </c>
      <c r="C6" s="403">
        <f>'M. Cal'!$D$1</f>
        <v>44228</v>
      </c>
      <c r="D6" s="404">
        <f>'M. Cal'!$D$1</f>
        <v>44228</v>
      </c>
      <c r="E6" s="405">
        <f>'M. Cal'!$D$1</f>
        <v>44228</v>
      </c>
      <c r="F6" s="392"/>
      <c r="G6" s="392"/>
      <c r="H6" s="392"/>
    </row>
    <row r="7" spans="1:8" x14ac:dyDescent="0.2">
      <c r="A7" s="398"/>
      <c r="B7" s="399" t="s">
        <v>492</v>
      </c>
      <c r="C7" s="403" t="str">
        <f>'M. Cal'!$C$1</f>
        <v>PR000326/2021</v>
      </c>
      <c r="D7" s="404" t="str">
        <f>'M. Cal'!$C$1</f>
        <v>PR000326/2021</v>
      </c>
      <c r="E7" s="402" t="str">
        <f>'M. Cal'!$C$1</f>
        <v>PR000326/2021</v>
      </c>
      <c r="F7" s="392"/>
      <c r="G7" s="392"/>
      <c r="H7" s="392"/>
    </row>
    <row r="8" spans="1:8" x14ac:dyDescent="0.2">
      <c r="A8" s="398"/>
      <c r="B8" s="399" t="s">
        <v>493</v>
      </c>
      <c r="C8" s="406" t="s">
        <v>597</v>
      </c>
      <c r="D8" s="407" t="s">
        <v>597</v>
      </c>
      <c r="E8" s="408" t="s">
        <v>597</v>
      </c>
      <c r="F8" s="392"/>
      <c r="G8" s="392"/>
      <c r="H8" s="392"/>
    </row>
    <row r="9" spans="1:8" x14ac:dyDescent="0.2">
      <c r="A9" s="905"/>
      <c r="B9" s="905"/>
      <c r="C9" s="905"/>
      <c r="D9" s="905"/>
      <c r="E9" s="905"/>
      <c r="F9" s="392"/>
      <c r="G9" s="392"/>
      <c r="H9" s="392"/>
    </row>
    <row r="10" spans="1:8" ht="66.75" customHeight="1" x14ac:dyDescent="0.2">
      <c r="A10" s="409" t="s">
        <v>494</v>
      </c>
      <c r="B10" s="410" t="s">
        <v>669</v>
      </c>
      <c r="C10" s="410" t="s">
        <v>670</v>
      </c>
      <c r="D10" s="410" t="s">
        <v>671</v>
      </c>
      <c r="E10" s="411" t="s">
        <v>672</v>
      </c>
      <c r="F10" s="392"/>
      <c r="G10" s="392"/>
      <c r="H10" s="392"/>
    </row>
    <row r="11" spans="1:8" ht="28.35" customHeight="1" x14ac:dyDescent="0.2">
      <c r="A11" s="937" t="s">
        <v>499</v>
      </c>
      <c r="B11" s="937"/>
      <c r="C11" s="937"/>
      <c r="D11" s="937"/>
      <c r="E11" s="937"/>
      <c r="F11" s="392"/>
      <c r="G11" s="392"/>
      <c r="H11" s="392"/>
    </row>
    <row r="12" spans="1:8" ht="15.75" customHeight="1" x14ac:dyDescent="0.2">
      <c r="A12" s="412" t="s">
        <v>500</v>
      </c>
      <c r="B12" s="413" t="s">
        <v>501</v>
      </c>
      <c r="C12" s="413" t="s">
        <v>502</v>
      </c>
      <c r="D12" s="413" t="s">
        <v>502</v>
      </c>
      <c r="E12" s="414" t="s">
        <v>502</v>
      </c>
      <c r="F12" s="392"/>
      <c r="G12" s="392"/>
      <c r="H12" s="392"/>
    </row>
    <row r="13" spans="1:8" ht="15.75" customHeight="1" x14ac:dyDescent="0.2">
      <c r="A13" s="415" t="s">
        <v>503</v>
      </c>
      <c r="B13" s="416"/>
      <c r="C13" s="417">
        <f>D5</f>
        <v>0</v>
      </c>
      <c r="D13" s="417">
        <f>D5</f>
        <v>0</v>
      </c>
      <c r="E13" s="418">
        <f>D5</f>
        <v>0</v>
      </c>
      <c r="F13" s="392"/>
      <c r="G13" s="392"/>
      <c r="H13" s="392"/>
    </row>
    <row r="14" spans="1:8" ht="15.75" customHeight="1" x14ac:dyDescent="0.2">
      <c r="A14" s="415" t="s">
        <v>504</v>
      </c>
      <c r="B14" s="419">
        <v>0.2</v>
      </c>
      <c r="C14" s="417"/>
      <c r="D14" s="417"/>
      <c r="E14" s="418"/>
      <c r="F14" s="392"/>
      <c r="G14" s="392"/>
      <c r="H14" s="392"/>
    </row>
    <row r="15" spans="1:8" ht="15.75" customHeight="1" x14ac:dyDescent="0.2">
      <c r="A15" s="415" t="s">
        <v>505</v>
      </c>
      <c r="B15" s="419">
        <v>0.4</v>
      </c>
      <c r="C15" s="419"/>
      <c r="D15" s="417"/>
      <c r="E15" s="418"/>
      <c r="F15" s="392"/>
      <c r="G15" s="392"/>
      <c r="H15" s="392"/>
    </row>
    <row r="16" spans="1:8" ht="15.75" customHeight="1" x14ac:dyDescent="0.2">
      <c r="A16" s="415" t="s">
        <v>506</v>
      </c>
      <c r="B16" s="420"/>
      <c r="C16" s="420"/>
      <c r="D16" s="417"/>
      <c r="E16" s="418"/>
      <c r="F16" s="392"/>
      <c r="G16" s="392"/>
      <c r="H16" s="392"/>
    </row>
    <row r="17" spans="1:8" ht="15.75" customHeight="1" x14ac:dyDescent="0.2">
      <c r="A17" s="415" t="s">
        <v>507</v>
      </c>
      <c r="B17" s="420"/>
      <c r="C17" s="420"/>
      <c r="D17" s="417"/>
      <c r="E17" s="418"/>
      <c r="F17" s="392"/>
      <c r="G17" s="392"/>
      <c r="H17" s="392"/>
    </row>
    <row r="18" spans="1:8" ht="15.75" customHeight="1" x14ac:dyDescent="0.2">
      <c r="A18" s="415" t="s">
        <v>508</v>
      </c>
      <c r="B18" s="420"/>
      <c r="C18" s="420"/>
      <c r="D18" s="417"/>
      <c r="E18" s="418"/>
      <c r="F18" s="392"/>
      <c r="G18" s="392"/>
      <c r="H18" s="392"/>
    </row>
    <row r="19" spans="1:8" ht="15.75" customHeight="1" x14ac:dyDescent="0.2">
      <c r="A19" s="415" t="s">
        <v>509</v>
      </c>
      <c r="B19" s="421"/>
      <c r="C19" s="421"/>
      <c r="D19" s="417">
        <f>'M. Cal'!C10</f>
        <v>0</v>
      </c>
      <c r="E19" s="418"/>
      <c r="F19" s="392"/>
      <c r="G19" s="392"/>
      <c r="H19" s="392"/>
    </row>
    <row r="20" spans="1:8" ht="15.75" customHeight="1" x14ac:dyDescent="0.2">
      <c r="A20" s="422" t="s">
        <v>94</v>
      </c>
      <c r="B20" s="423"/>
      <c r="C20" s="424">
        <f>SUM(C13:C19)</f>
        <v>0</v>
      </c>
      <c r="D20" s="424">
        <f>SUM(D13:D19)</f>
        <v>0</v>
      </c>
      <c r="E20" s="425">
        <f>SUM(E13:E19)</f>
        <v>0</v>
      </c>
      <c r="F20" s="392"/>
      <c r="G20" s="392"/>
      <c r="H20" s="392"/>
    </row>
    <row r="21" spans="1:8" ht="5.65" customHeight="1" x14ac:dyDescent="0.2">
      <c r="A21" s="905"/>
      <c r="B21" s="905"/>
      <c r="C21" s="905"/>
      <c r="D21" s="905"/>
      <c r="E21" s="905"/>
      <c r="F21" s="392"/>
      <c r="G21" s="392"/>
      <c r="H21" s="392"/>
    </row>
    <row r="22" spans="1:8" ht="28.35" customHeight="1" x14ac:dyDescent="0.2">
      <c r="A22" s="937" t="s">
        <v>510</v>
      </c>
      <c r="B22" s="937"/>
      <c r="C22" s="937"/>
      <c r="D22" s="937"/>
      <c r="E22" s="937"/>
      <c r="F22" s="392"/>
      <c r="G22" s="392"/>
      <c r="H22" s="392"/>
    </row>
    <row r="23" spans="1:8" ht="15.75" customHeight="1" x14ac:dyDescent="0.2">
      <c r="A23" s="426" t="s">
        <v>511</v>
      </c>
      <c r="B23" s="427" t="s">
        <v>512</v>
      </c>
      <c r="C23" s="427" t="s">
        <v>513</v>
      </c>
      <c r="D23" s="427" t="s">
        <v>513</v>
      </c>
      <c r="E23" s="428" t="s">
        <v>513</v>
      </c>
      <c r="F23" s="392"/>
      <c r="G23" s="392"/>
      <c r="H23" s="392"/>
    </row>
    <row r="24" spans="1:8" ht="15.75" customHeight="1" x14ac:dyDescent="0.2">
      <c r="A24" s="429" t="s">
        <v>514</v>
      </c>
      <c r="B24" s="419">
        <v>8.3299999999999999E-2</v>
      </c>
      <c r="C24" s="417">
        <f>ROUND($B24*C$20,2)</f>
        <v>0</v>
      </c>
      <c r="D24" s="417">
        <f>ROUND($B24*D$20,2)</f>
        <v>0</v>
      </c>
      <c r="E24" s="418">
        <f>ROUND($B24*E$20,2)</f>
        <v>0</v>
      </c>
      <c r="F24" s="392"/>
      <c r="G24" s="392"/>
      <c r="H24" s="392"/>
    </row>
    <row r="25" spans="1:8" x14ac:dyDescent="0.2">
      <c r="A25" s="429" t="s">
        <v>515</v>
      </c>
      <c r="B25" s="419">
        <v>0</v>
      </c>
      <c r="C25" s="417"/>
      <c r="D25" s="417"/>
      <c r="E25" s="418"/>
      <c r="F25" s="392"/>
      <c r="G25" s="392"/>
      <c r="H25" s="392"/>
    </row>
    <row r="26" spans="1:8" x14ac:dyDescent="0.2">
      <c r="A26" s="429" t="s">
        <v>516</v>
      </c>
      <c r="B26" s="419">
        <v>2.7799999999999998E-2</v>
      </c>
      <c r="C26" s="417">
        <f>C20*B26</f>
        <v>0</v>
      </c>
      <c r="D26" s="417">
        <f>D20*B26</f>
        <v>0</v>
      </c>
      <c r="E26" s="418">
        <f>E20*B26</f>
        <v>0</v>
      </c>
      <c r="F26" s="392"/>
      <c r="G26" s="392"/>
      <c r="H26" s="392"/>
    </row>
    <row r="27" spans="1:8" ht="15.75" customHeight="1" x14ac:dyDescent="0.2">
      <c r="A27" s="422" t="s">
        <v>94</v>
      </c>
      <c r="B27" s="423">
        <f>SUM(B24:B26)</f>
        <v>0.1111</v>
      </c>
      <c r="C27" s="424">
        <f>SUM(C24:C26)</f>
        <v>0</v>
      </c>
      <c r="D27" s="424">
        <f>SUM(D24:D26)</f>
        <v>0</v>
      </c>
      <c r="E27" s="425">
        <f>SUM(E24:E26)</f>
        <v>0</v>
      </c>
      <c r="F27" s="392"/>
      <c r="G27" s="392"/>
      <c r="H27" s="392"/>
    </row>
    <row r="28" spans="1:8" x14ac:dyDescent="0.2">
      <c r="A28" s="426" t="s">
        <v>517</v>
      </c>
      <c r="B28" s="430" t="s">
        <v>512</v>
      </c>
      <c r="C28" s="430" t="s">
        <v>513</v>
      </c>
      <c r="D28" s="430" t="s">
        <v>513</v>
      </c>
      <c r="E28" s="431" t="s">
        <v>513</v>
      </c>
      <c r="F28" s="392"/>
      <c r="G28" s="392"/>
      <c r="H28" s="392"/>
    </row>
    <row r="29" spans="1:8" ht="15.75" customHeight="1" x14ac:dyDescent="0.2">
      <c r="A29" s="432" t="s">
        <v>518</v>
      </c>
      <c r="B29" s="433"/>
      <c r="C29" s="433"/>
      <c r="D29" s="433"/>
      <c r="E29" s="434"/>
      <c r="F29" s="392"/>
      <c r="G29" s="392"/>
      <c r="H29" s="392"/>
    </row>
    <row r="30" spans="1:8" ht="15.75" customHeight="1" x14ac:dyDescent="0.2">
      <c r="A30" s="429" t="s">
        <v>519</v>
      </c>
      <c r="B30" s="435">
        <v>0.2</v>
      </c>
      <c r="C30" s="436">
        <f t="shared" ref="C30:C36" si="0">ROUND(($C$20+$C$27)*B30,2)</f>
        <v>0</v>
      </c>
      <c r="D30" s="436">
        <f t="shared" ref="D30:D36" si="1">ROUND(($D$20+$D$27)*B30,2)</f>
        <v>0</v>
      </c>
      <c r="E30" s="437">
        <f t="shared" ref="E30:E36" si="2">ROUND(($E$20+$E$27)*B30,2)</f>
        <v>0</v>
      </c>
      <c r="F30" s="392"/>
      <c r="G30" s="392"/>
      <c r="H30" s="392"/>
    </row>
    <row r="31" spans="1:8" ht="15.75" customHeight="1" x14ac:dyDescent="0.2">
      <c r="A31" s="429" t="s">
        <v>520</v>
      </c>
      <c r="B31" s="419">
        <v>2.5000000000000001E-2</v>
      </c>
      <c r="C31" s="436">
        <f t="shared" si="0"/>
        <v>0</v>
      </c>
      <c r="D31" s="436">
        <f t="shared" si="1"/>
        <v>0</v>
      </c>
      <c r="E31" s="437">
        <f t="shared" si="2"/>
        <v>0</v>
      </c>
      <c r="F31" s="392"/>
      <c r="G31" s="392"/>
      <c r="H31" s="392"/>
    </row>
    <row r="32" spans="1:8" ht="15.75" customHeight="1" x14ac:dyDescent="0.2">
      <c r="A32" s="429" t="s">
        <v>521</v>
      </c>
      <c r="B32" s="419">
        <v>2.2499999999999999E-2</v>
      </c>
      <c r="C32" s="436">
        <f t="shared" si="0"/>
        <v>0</v>
      </c>
      <c r="D32" s="436">
        <f t="shared" si="1"/>
        <v>0</v>
      </c>
      <c r="E32" s="437">
        <f t="shared" si="2"/>
        <v>0</v>
      </c>
      <c r="F32" s="392"/>
      <c r="G32" s="392"/>
      <c r="H32" s="392"/>
    </row>
    <row r="33" spans="1:8" ht="15.75" customHeight="1" x14ac:dyDescent="0.2">
      <c r="A33" s="429" t="s">
        <v>522</v>
      </c>
      <c r="B33" s="419">
        <v>1.4999999999999999E-2</v>
      </c>
      <c r="C33" s="436">
        <f t="shared" si="0"/>
        <v>0</v>
      </c>
      <c r="D33" s="436">
        <f t="shared" si="1"/>
        <v>0</v>
      </c>
      <c r="E33" s="437">
        <f t="shared" si="2"/>
        <v>0</v>
      </c>
      <c r="F33" s="392"/>
      <c r="G33" s="392"/>
      <c r="H33" s="392"/>
    </row>
    <row r="34" spans="1:8" ht="15.75" customHeight="1" x14ac:dyDescent="0.2">
      <c r="A34" s="429" t="s">
        <v>523</v>
      </c>
      <c r="B34" s="419">
        <v>0.01</v>
      </c>
      <c r="C34" s="436">
        <f t="shared" si="0"/>
        <v>0</v>
      </c>
      <c r="D34" s="436">
        <f t="shared" si="1"/>
        <v>0</v>
      </c>
      <c r="E34" s="437">
        <f t="shared" si="2"/>
        <v>0</v>
      </c>
      <c r="F34" s="392"/>
      <c r="G34" s="392"/>
      <c r="H34" s="392"/>
    </row>
    <row r="35" spans="1:8" ht="15.75" customHeight="1" x14ac:dyDescent="0.2">
      <c r="A35" s="429" t="s">
        <v>524</v>
      </c>
      <c r="B35" s="419">
        <v>6.0000000000000001E-3</v>
      </c>
      <c r="C35" s="436">
        <f t="shared" si="0"/>
        <v>0</v>
      </c>
      <c r="D35" s="436">
        <f t="shared" si="1"/>
        <v>0</v>
      </c>
      <c r="E35" s="437">
        <f t="shared" si="2"/>
        <v>0</v>
      </c>
      <c r="F35" s="392"/>
      <c r="G35" s="392"/>
      <c r="H35" s="392"/>
    </row>
    <row r="36" spans="1:8" ht="15.75" customHeight="1" x14ac:dyDescent="0.2">
      <c r="A36" s="429" t="s">
        <v>525</v>
      </c>
      <c r="B36" s="419">
        <v>2E-3</v>
      </c>
      <c r="C36" s="436">
        <f t="shared" si="0"/>
        <v>0</v>
      </c>
      <c r="D36" s="436">
        <f t="shared" si="1"/>
        <v>0</v>
      </c>
      <c r="E36" s="437">
        <f t="shared" si="2"/>
        <v>0</v>
      </c>
      <c r="F36" s="392"/>
      <c r="G36" s="392"/>
      <c r="H36" s="392"/>
    </row>
    <row r="37" spans="1:8" ht="15.75" customHeight="1" x14ac:dyDescent="0.2">
      <c r="A37" s="426" t="s">
        <v>526</v>
      </c>
      <c r="B37" s="433"/>
      <c r="C37" s="433"/>
      <c r="D37" s="433"/>
      <c r="E37" s="434"/>
      <c r="F37" s="392"/>
      <c r="G37" s="392"/>
      <c r="H37" s="392"/>
    </row>
    <row r="38" spans="1:8" ht="15.75" customHeight="1" x14ac:dyDescent="0.2">
      <c r="A38" s="429" t="s">
        <v>527</v>
      </c>
      <c r="B38" s="419">
        <v>0.08</v>
      </c>
      <c r="C38" s="436">
        <f>ROUND(($C$20+$C$27)*B38,2)</f>
        <v>0</v>
      </c>
      <c r="D38" s="436">
        <f>ROUND(($D$20+$D$27)*B38,2)</f>
        <v>0</v>
      </c>
      <c r="E38" s="437">
        <f>ROUND(($E$20+$E$27)*B38,2)</f>
        <v>0</v>
      </c>
      <c r="F38" s="392"/>
      <c r="G38" s="392"/>
      <c r="H38" s="392"/>
    </row>
    <row r="39" spans="1:8" ht="15.75" customHeight="1" x14ac:dyDescent="0.2">
      <c r="A39" s="422" t="s">
        <v>94</v>
      </c>
      <c r="B39" s="423">
        <f>SUM(B29:B38)</f>
        <v>0.36050000000000004</v>
      </c>
      <c r="C39" s="424">
        <f>SUM(C29:C38)</f>
        <v>0</v>
      </c>
      <c r="D39" s="424">
        <f>SUM(D29:D38)</f>
        <v>0</v>
      </c>
      <c r="E39" s="425">
        <f>SUM(E29:E38)</f>
        <v>0</v>
      </c>
      <c r="F39" s="392"/>
      <c r="G39" s="392"/>
      <c r="H39" s="392"/>
    </row>
    <row r="40" spans="1:8" ht="15.75" customHeight="1" x14ac:dyDescent="0.2">
      <c r="A40" s="426" t="s">
        <v>528</v>
      </c>
      <c r="B40" s="427" t="s">
        <v>529</v>
      </c>
      <c r="C40" s="427" t="s">
        <v>513</v>
      </c>
      <c r="D40" s="427" t="s">
        <v>513</v>
      </c>
      <c r="E40" s="428" t="s">
        <v>513</v>
      </c>
      <c r="F40" s="392"/>
      <c r="G40" s="392"/>
      <c r="H40" s="392"/>
    </row>
    <row r="41" spans="1:8" ht="15.75" customHeight="1" x14ac:dyDescent="0.2">
      <c r="A41" s="429" t="s">
        <v>530</v>
      </c>
      <c r="B41" s="438">
        <f>'M. Cal'!M2</f>
        <v>0</v>
      </c>
      <c r="C41" s="417">
        <f>ROUND(((2*22*$B$41)-0.06*$C$13),2)</f>
        <v>0</v>
      </c>
      <c r="D41" s="417">
        <f>ROUND(((2*22*$B$41)-0.06*$D$13),2)</f>
        <v>0</v>
      </c>
      <c r="E41" s="418">
        <f>ROUND(((2*22*$B$41)-0.06*$E$13),2)</f>
        <v>0</v>
      </c>
      <c r="F41" s="392"/>
      <c r="G41" s="392"/>
      <c r="H41" s="392"/>
    </row>
    <row r="42" spans="1:8" ht="15.75" customHeight="1" x14ac:dyDescent="0.2">
      <c r="A42" s="429" t="s">
        <v>531</v>
      </c>
      <c r="B42" s="438">
        <v>18.2</v>
      </c>
      <c r="C42" s="439">
        <f>'M. Cal'!E7</f>
        <v>0</v>
      </c>
      <c r="D42" s="439">
        <f>'M. Cal'!E7</f>
        <v>0</v>
      </c>
      <c r="E42" s="440">
        <f>'M. Cal'!E7</f>
        <v>0</v>
      </c>
      <c r="F42" s="392"/>
      <c r="G42" s="392"/>
      <c r="H42" s="392"/>
    </row>
    <row r="43" spans="1:8" ht="15.75" customHeight="1" x14ac:dyDescent="0.2">
      <c r="A43" s="429" t="s">
        <v>532</v>
      </c>
      <c r="B43" s="419">
        <f>'M. Cal'!C9</f>
        <v>1.4999999999999999E-2</v>
      </c>
      <c r="C43" s="439"/>
      <c r="D43" s="439">
        <f>B43*D13*22</f>
        <v>0</v>
      </c>
      <c r="E43" s="440"/>
      <c r="F43" s="392"/>
      <c r="G43" s="392"/>
      <c r="H43" s="392"/>
    </row>
    <row r="44" spans="1:8" ht="15.75" customHeight="1" x14ac:dyDescent="0.2">
      <c r="A44" s="429" t="s">
        <v>533</v>
      </c>
      <c r="B44" s="438">
        <f>'M. Cal'!I7</f>
        <v>0</v>
      </c>
      <c r="C44" s="439">
        <f>B44</f>
        <v>0</v>
      </c>
      <c r="D44" s="439">
        <f>B44</f>
        <v>0</v>
      </c>
      <c r="E44" s="440">
        <f>B44</f>
        <v>0</v>
      </c>
      <c r="F44" s="392"/>
      <c r="G44" s="392"/>
      <c r="H44" s="392"/>
    </row>
    <row r="45" spans="1:8" ht="15.75" customHeight="1" x14ac:dyDescent="0.2">
      <c r="A45" s="429" t="s">
        <v>534</v>
      </c>
      <c r="B45" s="438">
        <f>'M. Cal'!I8</f>
        <v>0</v>
      </c>
      <c r="C45" s="439">
        <f>B45</f>
        <v>0</v>
      </c>
      <c r="D45" s="439">
        <f>B45</f>
        <v>0</v>
      </c>
      <c r="E45" s="440">
        <f>B45</f>
        <v>0</v>
      </c>
      <c r="F45" s="392"/>
      <c r="G45" s="392"/>
      <c r="H45" s="392"/>
    </row>
    <row r="46" spans="1:8" ht="15.75" customHeight="1" x14ac:dyDescent="0.2">
      <c r="A46" s="429" t="s">
        <v>535</v>
      </c>
      <c r="B46" s="438"/>
      <c r="C46" s="439"/>
      <c r="D46" s="439"/>
      <c r="E46" s="440"/>
      <c r="F46" s="392"/>
      <c r="G46" s="392"/>
      <c r="H46" s="392"/>
    </row>
    <row r="47" spans="1:8" ht="15.75" customHeight="1" x14ac:dyDescent="0.2">
      <c r="A47" s="422" t="s">
        <v>94</v>
      </c>
      <c r="B47" s="423"/>
      <c r="C47" s="424">
        <f>SUM(C41:C46)</f>
        <v>0</v>
      </c>
      <c r="D47" s="424">
        <f>SUM(D41:D46)</f>
        <v>0</v>
      </c>
      <c r="E47" s="425">
        <f>SUM(E41:E46)</f>
        <v>0</v>
      </c>
      <c r="F47" s="392"/>
      <c r="G47" s="392"/>
      <c r="H47" s="392"/>
    </row>
    <row r="48" spans="1:8" x14ac:dyDescent="0.2">
      <c r="A48" s="441" t="s">
        <v>536</v>
      </c>
      <c r="B48" s="442" t="s">
        <v>501</v>
      </c>
      <c r="C48" s="442" t="s">
        <v>502</v>
      </c>
      <c r="D48" s="442" t="s">
        <v>502</v>
      </c>
      <c r="E48" s="443" t="s">
        <v>502</v>
      </c>
      <c r="F48" s="392"/>
      <c r="G48" s="392"/>
      <c r="H48" s="392"/>
    </row>
    <row r="49" spans="1:8" ht="15.75" customHeight="1" x14ac:dyDescent="0.2">
      <c r="A49" s="429" t="s">
        <v>537</v>
      </c>
      <c r="B49" s="444">
        <f>B27</f>
        <v>0.1111</v>
      </c>
      <c r="C49" s="445">
        <f>C27</f>
        <v>0</v>
      </c>
      <c r="D49" s="445">
        <f>D27</f>
        <v>0</v>
      </c>
      <c r="E49" s="446">
        <f>E27</f>
        <v>0</v>
      </c>
      <c r="F49" s="392"/>
      <c r="G49" s="392"/>
      <c r="H49" s="392"/>
    </row>
    <row r="50" spans="1:8" ht="15.75" customHeight="1" x14ac:dyDescent="0.2">
      <c r="A50" s="429" t="s">
        <v>538</v>
      </c>
      <c r="B50" s="444">
        <f>B39</f>
        <v>0.36050000000000004</v>
      </c>
      <c r="C50" s="445">
        <f>C39</f>
        <v>0</v>
      </c>
      <c r="D50" s="445">
        <f>D39</f>
        <v>0</v>
      </c>
      <c r="E50" s="446">
        <f>E39</f>
        <v>0</v>
      </c>
      <c r="F50" s="392"/>
      <c r="G50" s="392"/>
      <c r="H50" s="392"/>
    </row>
    <row r="51" spans="1:8" ht="15.75" customHeight="1" x14ac:dyDescent="0.2">
      <c r="A51" s="429" t="s">
        <v>539</v>
      </c>
      <c r="B51" s="444" t="s">
        <v>540</v>
      </c>
      <c r="C51" s="445">
        <f>C47</f>
        <v>0</v>
      </c>
      <c r="D51" s="445">
        <f>D47</f>
        <v>0</v>
      </c>
      <c r="E51" s="446">
        <f>E47</f>
        <v>0</v>
      </c>
      <c r="F51" s="392"/>
      <c r="G51" s="392"/>
      <c r="H51" s="392"/>
    </row>
    <row r="52" spans="1:8" ht="15.75" customHeight="1" x14ac:dyDescent="0.2">
      <c r="A52" s="422" t="s">
        <v>94</v>
      </c>
      <c r="B52" s="423"/>
      <c r="C52" s="424">
        <f>SUM(C49:C51)</f>
        <v>0</v>
      </c>
      <c r="D52" s="424">
        <f>SUM(D49:D51)</f>
        <v>0</v>
      </c>
      <c r="E52" s="425">
        <f>SUM(E49:E51)</f>
        <v>0</v>
      </c>
      <c r="F52" s="392"/>
      <c r="G52" s="392"/>
      <c r="H52" s="392"/>
    </row>
    <row r="53" spans="1:8" ht="5.65" customHeight="1" x14ac:dyDescent="0.2">
      <c r="A53" s="905"/>
      <c r="B53" s="905"/>
      <c r="C53" s="905"/>
      <c r="D53" s="905"/>
      <c r="E53" s="905"/>
      <c r="F53" s="392"/>
      <c r="G53" s="392"/>
      <c r="H53" s="392"/>
    </row>
    <row r="54" spans="1:8" s="355" customFormat="1" ht="28.35" customHeight="1" x14ac:dyDescent="0.2">
      <c r="A54" s="937" t="s">
        <v>541</v>
      </c>
      <c r="B54" s="937"/>
      <c r="C54" s="937"/>
      <c r="D54" s="937"/>
      <c r="E54" s="937"/>
      <c r="F54" s="447"/>
      <c r="G54" s="447"/>
      <c r="H54" s="447"/>
    </row>
    <row r="55" spans="1:8" ht="15.75" customHeight="1" x14ac:dyDescent="0.2">
      <c r="A55" s="412" t="s">
        <v>542</v>
      </c>
      <c r="B55" s="413" t="s">
        <v>501</v>
      </c>
      <c r="C55" s="413" t="s">
        <v>502</v>
      </c>
      <c r="D55" s="413" t="s">
        <v>502</v>
      </c>
      <c r="E55" s="414" t="s">
        <v>502</v>
      </c>
      <c r="F55" s="392"/>
      <c r="G55" s="392"/>
      <c r="H55" s="392"/>
    </row>
    <row r="56" spans="1:8" ht="15.75" customHeight="1" x14ac:dyDescent="0.2">
      <c r="A56" s="426" t="s">
        <v>543</v>
      </c>
      <c r="B56" s="448"/>
      <c r="C56" s="448"/>
      <c r="D56" s="448"/>
      <c r="E56" s="449"/>
      <c r="F56" s="392"/>
      <c r="G56" s="392"/>
      <c r="H56" s="392"/>
    </row>
    <row r="57" spans="1:8" ht="15.75" customHeight="1" x14ac:dyDescent="0.2">
      <c r="A57" s="429" t="s">
        <v>544</v>
      </c>
      <c r="B57" s="444">
        <f>1/12*'M. Cal'!C12</f>
        <v>2.8091666666666668E-2</v>
      </c>
      <c r="C57" s="450">
        <f>(C20+C27+C38+C47)*$B57</f>
        <v>0</v>
      </c>
      <c r="D57" s="450">
        <f>(D20+D27+D38+D47)*$B57</f>
        <v>0</v>
      </c>
      <c r="E57" s="451">
        <f>(E20+E27+E38+E47)*$B57</f>
        <v>0</v>
      </c>
      <c r="F57" s="392"/>
      <c r="G57" s="392"/>
      <c r="H57" s="392"/>
    </row>
    <row r="58" spans="1:8" x14ac:dyDescent="0.2">
      <c r="A58" s="429" t="s">
        <v>545</v>
      </c>
      <c r="B58" s="444">
        <f>0.4*'M. Cal'!C12</f>
        <v>0.13484000000000002</v>
      </c>
      <c r="C58" s="450">
        <f>C38*$B58</f>
        <v>0</v>
      </c>
      <c r="D58" s="450">
        <f>D38*$B58</f>
        <v>0</v>
      </c>
      <c r="E58" s="451">
        <f>E38*$B58</f>
        <v>0</v>
      </c>
      <c r="F58" s="392"/>
      <c r="G58" s="392"/>
      <c r="H58" s="392"/>
    </row>
    <row r="59" spans="1:8" x14ac:dyDescent="0.2">
      <c r="A59" s="422" t="s">
        <v>94</v>
      </c>
      <c r="B59" s="423"/>
      <c r="C59" s="424">
        <f>SUM(C57:C58)</f>
        <v>0</v>
      </c>
      <c r="D59" s="424">
        <f>SUM(D57:D58)</f>
        <v>0</v>
      </c>
      <c r="E59" s="425">
        <f>SUM(E57:E58)</f>
        <v>0</v>
      </c>
      <c r="F59" s="392"/>
      <c r="G59" s="392"/>
      <c r="H59" s="392"/>
    </row>
    <row r="60" spans="1:8" ht="15.75" customHeight="1" x14ac:dyDescent="0.2">
      <c r="A60" s="426" t="s">
        <v>546</v>
      </c>
      <c r="B60" s="448" t="s">
        <v>547</v>
      </c>
      <c r="C60" s="448" t="s">
        <v>548</v>
      </c>
      <c r="D60" s="448" t="s">
        <v>548</v>
      </c>
      <c r="E60" s="449" t="s">
        <v>548</v>
      </c>
      <c r="F60" s="392"/>
      <c r="G60" s="392"/>
      <c r="H60" s="392"/>
    </row>
    <row r="61" spans="1:8" ht="59.25" x14ac:dyDescent="0.2">
      <c r="A61" s="817" t="s">
        <v>778</v>
      </c>
      <c r="B61" s="444">
        <f>1/12*'M. Cal'!C13</f>
        <v>1.9444444444444445E-2</v>
      </c>
      <c r="C61" s="452">
        <f>(C20+C52)*$B61</f>
        <v>0</v>
      </c>
      <c r="D61" s="445">
        <f>(D20+D52)*$B61</f>
        <v>0</v>
      </c>
      <c r="E61" s="446">
        <f>(E20+E52)*$B61</f>
        <v>0</v>
      </c>
      <c r="F61" s="392"/>
      <c r="G61" s="392"/>
      <c r="H61" s="392"/>
    </row>
    <row r="62" spans="1:8" x14ac:dyDescent="0.2">
      <c r="A62" s="429" t="s">
        <v>549</v>
      </c>
      <c r="B62" s="444">
        <f>0.4*'M. Cal'!C13</f>
        <v>9.3333333333333338E-2</v>
      </c>
      <c r="C62" s="445">
        <f>C38*$B62</f>
        <v>0</v>
      </c>
      <c r="D62" s="445">
        <f>D38*$B62</f>
        <v>0</v>
      </c>
      <c r="E62" s="446">
        <f>E38*$B62</f>
        <v>0</v>
      </c>
      <c r="F62" s="392"/>
      <c r="G62" s="392"/>
      <c r="H62" s="392"/>
    </row>
    <row r="63" spans="1:8" x14ac:dyDescent="0.2">
      <c r="A63" s="422" t="s">
        <v>94</v>
      </c>
      <c r="B63" s="423"/>
      <c r="C63" s="453">
        <f>SUM(C61:C62)</f>
        <v>0</v>
      </c>
      <c r="D63" s="453">
        <f>SUM(D61:D62)</f>
        <v>0</v>
      </c>
      <c r="E63" s="454">
        <f>SUM(E61:E62)</f>
        <v>0</v>
      </c>
      <c r="F63" s="392"/>
      <c r="G63" s="392"/>
      <c r="H63" s="392"/>
    </row>
    <row r="64" spans="1:8" x14ac:dyDescent="0.2">
      <c r="A64" s="426" t="s">
        <v>550</v>
      </c>
      <c r="B64" s="448" t="s">
        <v>547</v>
      </c>
      <c r="C64" s="448" t="s">
        <v>548</v>
      </c>
      <c r="D64" s="448" t="s">
        <v>548</v>
      </c>
      <c r="E64" s="449" t="s">
        <v>548</v>
      </c>
      <c r="F64" s="392"/>
      <c r="G64" s="392"/>
      <c r="H64" s="392"/>
    </row>
    <row r="65" spans="1:8" x14ac:dyDescent="0.2">
      <c r="A65" s="429" t="s">
        <v>551</v>
      </c>
      <c r="B65" s="444">
        <f>'M. Cal'!C14</f>
        <v>1.32E-2</v>
      </c>
      <c r="C65" s="445">
        <f>(C24*B65)*-1</f>
        <v>0</v>
      </c>
      <c r="D65" s="445">
        <f>(D24*B65)*-1</f>
        <v>0</v>
      </c>
      <c r="E65" s="446">
        <f>(E24*B65)*-1</f>
        <v>0</v>
      </c>
      <c r="F65" s="392"/>
      <c r="G65" s="392"/>
      <c r="H65" s="392"/>
    </row>
    <row r="66" spans="1:8" x14ac:dyDescent="0.2">
      <c r="A66" s="429" t="s">
        <v>552</v>
      </c>
      <c r="B66" s="444">
        <f>'M. Cal'!C14</f>
        <v>1.32E-2</v>
      </c>
      <c r="C66" s="445">
        <f>(C25*B66)*-1</f>
        <v>0</v>
      </c>
      <c r="D66" s="445">
        <f>(D25*B66)*-1</f>
        <v>0</v>
      </c>
      <c r="E66" s="446">
        <f>(E25*B66)*-1</f>
        <v>0</v>
      </c>
      <c r="F66" s="392"/>
      <c r="G66" s="392"/>
      <c r="H66" s="392"/>
    </row>
    <row r="67" spans="1:8" x14ac:dyDescent="0.2">
      <c r="A67" s="429" t="s">
        <v>553</v>
      </c>
      <c r="B67" s="444">
        <f>'M. Cal'!C14</f>
        <v>1.32E-2</v>
      </c>
      <c r="C67" s="445">
        <f>(C26*B67)*-1</f>
        <v>0</v>
      </c>
      <c r="D67" s="445">
        <f>(D26*B67)*-1</f>
        <v>0</v>
      </c>
      <c r="E67" s="446">
        <f>(E26*B67)*-1</f>
        <v>0</v>
      </c>
      <c r="F67" s="392"/>
      <c r="G67" s="392"/>
      <c r="H67" s="392"/>
    </row>
    <row r="68" spans="1:8" x14ac:dyDescent="0.2">
      <c r="A68" s="422" t="s">
        <v>94</v>
      </c>
      <c r="B68" s="423"/>
      <c r="C68" s="453">
        <f>SUM(C65:C67)</f>
        <v>0</v>
      </c>
      <c r="D68" s="453">
        <f>SUM(D65:D67)</f>
        <v>0</v>
      </c>
      <c r="E68" s="454">
        <f>SUM(E65:E67)</f>
        <v>0</v>
      </c>
      <c r="F68" s="392"/>
      <c r="G68" s="392"/>
      <c r="H68" s="392"/>
    </row>
    <row r="69" spans="1:8" x14ac:dyDescent="0.2">
      <c r="A69" s="455" t="s">
        <v>542</v>
      </c>
      <c r="B69" s="456" t="s">
        <v>547</v>
      </c>
      <c r="C69" s="456" t="s">
        <v>548</v>
      </c>
      <c r="D69" s="456" t="s">
        <v>548</v>
      </c>
      <c r="E69" s="457" t="s">
        <v>548</v>
      </c>
      <c r="F69" s="392"/>
      <c r="G69" s="392"/>
      <c r="H69" s="392"/>
    </row>
    <row r="70" spans="1:8" x14ac:dyDescent="0.2">
      <c r="A70" s="429" t="s">
        <v>554</v>
      </c>
      <c r="B70" s="444">
        <f>'M. Cal'!C12</f>
        <v>0.33710000000000001</v>
      </c>
      <c r="C70" s="445">
        <f>C59</f>
        <v>0</v>
      </c>
      <c r="D70" s="445">
        <f>D59</f>
        <v>0</v>
      </c>
      <c r="E70" s="446">
        <f>E59</f>
        <v>0</v>
      </c>
      <c r="F70" s="392"/>
      <c r="G70" s="392"/>
      <c r="H70" s="392"/>
    </row>
    <row r="71" spans="1:8" x14ac:dyDescent="0.2">
      <c r="A71" s="429" t="s">
        <v>555</v>
      </c>
      <c r="B71" s="444">
        <f>'M. Cal'!C13</f>
        <v>0.23333333333333334</v>
      </c>
      <c r="C71" s="445">
        <f>C63</f>
        <v>0</v>
      </c>
      <c r="D71" s="445">
        <f>D63</f>
        <v>0</v>
      </c>
      <c r="E71" s="446">
        <f>E63</f>
        <v>0</v>
      </c>
      <c r="F71" s="392"/>
      <c r="G71" s="392"/>
      <c r="H71" s="392"/>
    </row>
    <row r="72" spans="1:8" x14ac:dyDescent="0.2">
      <c r="A72" s="429" t="s">
        <v>556</v>
      </c>
      <c r="B72" s="444">
        <f>'M. Cal'!C14</f>
        <v>1.32E-2</v>
      </c>
      <c r="C72" s="445">
        <f>C68</f>
        <v>0</v>
      </c>
      <c r="D72" s="445">
        <f>D68</f>
        <v>0</v>
      </c>
      <c r="E72" s="446">
        <f>E68</f>
        <v>0</v>
      </c>
      <c r="F72" s="392"/>
      <c r="G72" s="392"/>
      <c r="H72" s="392"/>
    </row>
    <row r="73" spans="1:8" ht="15.75" customHeight="1" x14ac:dyDescent="0.2">
      <c r="A73" s="422" t="s">
        <v>94</v>
      </c>
      <c r="B73" s="458"/>
      <c r="C73" s="453">
        <f>SUM(C70:C72)</f>
        <v>0</v>
      </c>
      <c r="D73" s="453">
        <f>SUM(D70:D72)</f>
        <v>0</v>
      </c>
      <c r="E73" s="454">
        <f>SUM(E70:E72)</f>
        <v>0</v>
      </c>
      <c r="F73" s="392"/>
      <c r="G73" s="392"/>
      <c r="H73" s="392"/>
    </row>
    <row r="74" spans="1:8" ht="5.65" customHeight="1" x14ac:dyDescent="0.2">
      <c r="A74" s="905"/>
      <c r="B74" s="905"/>
      <c r="C74" s="905"/>
      <c r="D74" s="905"/>
      <c r="E74" s="905"/>
      <c r="F74" s="392"/>
      <c r="G74" s="392"/>
      <c r="H74" s="392"/>
    </row>
    <row r="75" spans="1:8" ht="28.35" customHeight="1" x14ac:dyDescent="0.2">
      <c r="A75" s="937" t="s">
        <v>557</v>
      </c>
      <c r="B75" s="937"/>
      <c r="C75" s="937"/>
      <c r="D75" s="937"/>
      <c r="E75" s="937"/>
      <c r="F75" s="392"/>
      <c r="G75" s="392"/>
      <c r="H75" s="392"/>
    </row>
    <row r="76" spans="1:8" ht="15.75" customHeight="1" x14ac:dyDescent="0.2">
      <c r="A76" s="459" t="s">
        <v>558</v>
      </c>
      <c r="B76" s="430"/>
      <c r="C76" s="430"/>
      <c r="D76" s="430"/>
      <c r="E76" s="431"/>
      <c r="F76" s="392"/>
      <c r="G76" s="392"/>
      <c r="H76" s="392"/>
    </row>
    <row r="77" spans="1:8" ht="15.75" customHeight="1" x14ac:dyDescent="0.2">
      <c r="A77" s="429" t="s">
        <v>559</v>
      </c>
      <c r="B77" s="419"/>
      <c r="C77" s="439">
        <f>((($C$20+$C$52+$C$73)/30)*'M. Cal'!F47)/12</f>
        <v>0</v>
      </c>
      <c r="D77" s="439">
        <f>((($D$20+$D$52+$D$73)/30)*'M. Cal'!F47)/12</f>
        <v>0</v>
      </c>
      <c r="E77" s="440">
        <f>((($E$20+$E$52+$E$73)/30)*'M. Cal'!F47)/12</f>
        <v>0</v>
      </c>
      <c r="F77" s="392"/>
      <c r="G77" s="392"/>
      <c r="H77" s="392"/>
    </row>
    <row r="78" spans="1:8" ht="15.75" customHeight="1" x14ac:dyDescent="0.2">
      <c r="A78" s="429" t="s">
        <v>560</v>
      </c>
      <c r="B78" s="419"/>
      <c r="C78" s="439">
        <f>(SUM('M. Cal'!$F$48,'M. Cal'!$F$50:$F$56,'M. Cal'!$F$58)*(C20+C52+C73)/30)/12</f>
        <v>0</v>
      </c>
      <c r="D78" s="439">
        <f>(SUM('M. Cal'!$F$48,'M. Cal'!$F$50:$F$56,'M. Cal'!$F$58)*(D20+D52+D73)/30)/12</f>
        <v>0</v>
      </c>
      <c r="E78" s="440">
        <f>(SUM('M. Cal'!$F$48,'M. Cal'!$F$50:$F$56,'M. Cal'!$F$58)*(E20+E52+E73)/30)/12</f>
        <v>0</v>
      </c>
      <c r="F78" s="392"/>
      <c r="G78" s="392"/>
      <c r="H78" s="392"/>
    </row>
    <row r="79" spans="1:8" ht="15.75" customHeight="1" x14ac:dyDescent="0.2">
      <c r="A79" s="429" t="s">
        <v>561</v>
      </c>
      <c r="B79" s="460"/>
      <c r="C79" s="439">
        <f>((($C$20+$C$52+$C$73)/30)*'M. Cal'!F57)/12</f>
        <v>0</v>
      </c>
      <c r="D79" s="439">
        <f>((($D$20+$D$52+$D$73)/30)*'M. Cal'!F57)/12</f>
        <v>0</v>
      </c>
      <c r="E79" s="440">
        <f>((($E$20+$E$52+$E$73)/30)*'M. Cal'!F57)/12</f>
        <v>0</v>
      </c>
      <c r="F79" s="392"/>
      <c r="G79" s="392"/>
      <c r="H79" s="392"/>
    </row>
    <row r="80" spans="1:8" ht="15.75" customHeight="1" x14ac:dyDescent="0.2">
      <c r="A80" s="429" t="s">
        <v>562</v>
      </c>
      <c r="B80" s="460"/>
      <c r="C80" s="439">
        <f>((($C$20+$C$52+$C$73)/30)*'M. Cal'!F49)/12</f>
        <v>0</v>
      </c>
      <c r="D80" s="439">
        <f>((($D$20+$D$52+$D$73)/30)*'M. Cal'!F49)/12</f>
        <v>0</v>
      </c>
      <c r="E80" s="440">
        <f>((($E$20+$E$52+$E$73)/30)*'M. Cal'!F49)/12</f>
        <v>0</v>
      </c>
      <c r="F80" s="392"/>
      <c r="G80" s="392"/>
      <c r="H80" s="392"/>
    </row>
    <row r="81" spans="1:8" ht="15.75" customHeight="1" x14ac:dyDescent="0.2">
      <c r="A81" s="429" t="s">
        <v>563</v>
      </c>
      <c r="B81" s="419"/>
      <c r="C81" s="439"/>
      <c r="D81" s="439"/>
      <c r="E81" s="440"/>
      <c r="F81" s="392"/>
      <c r="G81" s="392"/>
      <c r="H81" s="392"/>
    </row>
    <row r="82" spans="1:8" ht="15.75" customHeight="1" x14ac:dyDescent="0.2">
      <c r="A82" s="735" t="s">
        <v>564</v>
      </c>
      <c r="B82" s="461">
        <f>SUM(B77:B81)</f>
        <v>0</v>
      </c>
      <c r="C82" s="462">
        <f>SUM(C77:C81)</f>
        <v>0</v>
      </c>
      <c r="D82" s="463">
        <f>SUM(D77:D81)</f>
        <v>0</v>
      </c>
      <c r="E82" s="464">
        <f>SUM(E77:E81)</f>
        <v>0</v>
      </c>
      <c r="F82" s="392"/>
      <c r="G82" s="392"/>
      <c r="H82" s="392"/>
    </row>
    <row r="83" spans="1:8" ht="5.65" customHeight="1" x14ac:dyDescent="0.2">
      <c r="A83" s="905"/>
      <c r="B83" s="905"/>
      <c r="C83" s="905"/>
      <c r="D83" s="905"/>
      <c r="E83" s="905"/>
      <c r="F83" s="392"/>
      <c r="G83" s="392"/>
      <c r="H83" s="392"/>
    </row>
    <row r="84" spans="1:8" ht="28.35" customHeight="1" x14ac:dyDescent="0.2">
      <c r="A84" s="937" t="s">
        <v>565</v>
      </c>
      <c r="B84" s="937"/>
      <c r="C84" s="937"/>
      <c r="D84" s="937"/>
      <c r="E84" s="937"/>
      <c r="F84" s="392"/>
      <c r="G84" s="392"/>
      <c r="H84" s="392"/>
    </row>
    <row r="85" spans="1:8" ht="15.75" customHeight="1" x14ac:dyDescent="0.2">
      <c r="A85" s="412" t="s">
        <v>566</v>
      </c>
      <c r="B85" s="413" t="s">
        <v>567</v>
      </c>
      <c r="C85" s="413" t="s">
        <v>502</v>
      </c>
      <c r="D85" s="413" t="s">
        <v>502</v>
      </c>
      <c r="E85" s="414" t="s">
        <v>502</v>
      </c>
      <c r="F85" s="392"/>
      <c r="G85" s="392"/>
      <c r="H85" s="392"/>
    </row>
    <row r="86" spans="1:8" ht="15.75" customHeight="1" x14ac:dyDescent="0.2">
      <c r="A86" s="429" t="s">
        <v>568</v>
      </c>
      <c r="B86" s="465">
        <f>Insumos!F124</f>
        <v>0</v>
      </c>
      <c r="C86" s="417">
        <f>B86</f>
        <v>0</v>
      </c>
      <c r="D86" s="417">
        <f>B86</f>
        <v>0</v>
      </c>
      <c r="E86" s="418">
        <f>B86</f>
        <v>0</v>
      </c>
      <c r="F86" s="392"/>
      <c r="G86" s="392"/>
      <c r="H86" s="392"/>
    </row>
    <row r="87" spans="1:8" ht="15.75" customHeight="1" x14ac:dyDescent="0.2">
      <c r="A87" s="376" t="s">
        <v>569</v>
      </c>
      <c r="B87" s="465"/>
      <c r="C87" s="417">
        <f>Insumos!F58</f>
        <v>0</v>
      </c>
      <c r="D87" s="417"/>
      <c r="E87" s="418">
        <f>Insumos!F69</f>
        <v>0</v>
      </c>
      <c r="F87" s="392"/>
      <c r="G87" s="392"/>
      <c r="H87" s="392"/>
    </row>
    <row r="88" spans="1:8" ht="15.75" customHeight="1" x14ac:dyDescent="0.2">
      <c r="A88" s="376" t="s">
        <v>571</v>
      </c>
      <c r="B88" s="466">
        <f>Insumos!F106</f>
        <v>0</v>
      </c>
      <c r="C88" s="417">
        <f>B88</f>
        <v>0</v>
      </c>
      <c r="D88" s="417"/>
      <c r="E88" s="418">
        <v>0</v>
      </c>
      <c r="F88" s="392"/>
      <c r="G88" s="392"/>
      <c r="H88" s="392"/>
    </row>
    <row r="89" spans="1:8" ht="15.75" customHeight="1" x14ac:dyDescent="0.2">
      <c r="A89" s="376" t="s">
        <v>572</v>
      </c>
      <c r="B89" s="465"/>
      <c r="C89" s="417">
        <f>Insumos!F143</f>
        <v>0</v>
      </c>
      <c r="D89" s="417"/>
      <c r="E89" s="418">
        <f>Insumos!F142</f>
        <v>0</v>
      </c>
      <c r="F89" s="392"/>
      <c r="G89" s="392"/>
      <c r="H89" s="392"/>
    </row>
    <row r="90" spans="1:8" ht="15.75" customHeight="1" x14ac:dyDescent="0.2">
      <c r="A90" s="376" t="s">
        <v>673</v>
      </c>
      <c r="B90" s="467">
        <v>0.12</v>
      </c>
      <c r="C90" s="417"/>
      <c r="D90" s="417">
        <f>(D107+D108+D86)*B90</f>
        <v>0</v>
      </c>
      <c r="E90" s="418"/>
      <c r="F90" s="392"/>
      <c r="G90" s="392"/>
      <c r="H90" s="392"/>
    </row>
    <row r="91" spans="1:8" ht="15.75" customHeight="1" x14ac:dyDescent="0.2">
      <c r="A91" s="735" t="s">
        <v>94</v>
      </c>
      <c r="B91" s="468"/>
      <c r="C91" s="463">
        <f>SUM(C86:C90)</f>
        <v>0</v>
      </c>
      <c r="D91" s="463">
        <f>SUM(D86:D90)</f>
        <v>0</v>
      </c>
      <c r="E91" s="464">
        <f>SUM(E86:E90)</f>
        <v>0</v>
      </c>
      <c r="F91" s="392"/>
      <c r="G91" s="392"/>
      <c r="H91" s="392"/>
    </row>
    <row r="92" spans="1:8" ht="5.65" customHeight="1" x14ac:dyDescent="0.2">
      <c r="A92" s="905"/>
      <c r="B92" s="905"/>
      <c r="C92" s="905"/>
      <c r="D92" s="905"/>
      <c r="E92" s="905"/>
      <c r="F92" s="392"/>
      <c r="G92" s="392"/>
      <c r="H92" s="392"/>
    </row>
    <row r="93" spans="1:8" ht="28.35" customHeight="1" x14ac:dyDescent="0.2">
      <c r="A93" s="937" t="s">
        <v>573</v>
      </c>
      <c r="B93" s="937"/>
      <c r="C93" s="937"/>
      <c r="D93" s="937"/>
      <c r="E93" s="937"/>
      <c r="F93" s="392"/>
      <c r="G93" s="392"/>
      <c r="H93" s="392"/>
    </row>
    <row r="94" spans="1:8" ht="15.75" customHeight="1" x14ac:dyDescent="0.2">
      <c r="A94" s="412" t="s">
        <v>574</v>
      </c>
      <c r="B94" s="413" t="s">
        <v>501</v>
      </c>
      <c r="C94" s="413" t="s">
        <v>502</v>
      </c>
      <c r="D94" s="413" t="s">
        <v>502</v>
      </c>
      <c r="E94" s="414" t="s">
        <v>502</v>
      </c>
      <c r="F94" s="392"/>
      <c r="G94" s="392"/>
      <c r="H94" s="392"/>
    </row>
    <row r="95" spans="1:8" ht="15.75" customHeight="1" x14ac:dyDescent="0.2">
      <c r="A95" s="415" t="s">
        <v>575</v>
      </c>
      <c r="B95" s="419">
        <v>0.03</v>
      </c>
      <c r="C95" s="439">
        <f>($C$20+$C$52+$C$73+$C$82+$C$91)*$B$95</f>
        <v>0</v>
      </c>
      <c r="D95" s="439">
        <f t="shared" ref="D95:D100" si="3">($D$20+$D$52+$D$73+$D$82+$D$91)*B95</f>
        <v>0</v>
      </c>
      <c r="E95" s="440">
        <f t="shared" ref="E95:E100" si="4">($E$20+$E$52+$E$73+$E$82+$E$91)*B95</f>
        <v>0</v>
      </c>
      <c r="F95" s="392"/>
      <c r="G95" s="392"/>
      <c r="H95" s="392"/>
    </row>
    <row r="96" spans="1:8" ht="15.75" customHeight="1" x14ac:dyDescent="0.2">
      <c r="A96" s="415" t="s">
        <v>576</v>
      </c>
      <c r="B96" s="419">
        <f>'M. Cal'!J10</f>
        <v>0</v>
      </c>
      <c r="C96" s="439">
        <f>($C$20+$C$52+$C$73+$C$82+$C$91)*B96</f>
        <v>0</v>
      </c>
      <c r="D96" s="439">
        <f t="shared" si="3"/>
        <v>0</v>
      </c>
      <c r="E96" s="440">
        <f t="shared" si="4"/>
        <v>0</v>
      </c>
      <c r="F96" s="392"/>
      <c r="G96" s="392"/>
      <c r="H96" s="392"/>
    </row>
    <row r="97" spans="1:8" ht="24.75" x14ac:dyDescent="0.2">
      <c r="A97" s="379" t="s">
        <v>577</v>
      </c>
      <c r="B97" s="419">
        <f>SUM(B98:B101)</f>
        <v>9.2499999999999999E-2</v>
      </c>
      <c r="C97" s="439">
        <f>($C$20+$C$52+$C$73+$C$82+$C$91)*B97</f>
        <v>0</v>
      </c>
      <c r="D97" s="439">
        <f t="shared" si="3"/>
        <v>0</v>
      </c>
      <c r="E97" s="440">
        <f t="shared" si="4"/>
        <v>0</v>
      </c>
      <c r="F97" s="392"/>
      <c r="G97" s="392"/>
      <c r="H97" s="392"/>
    </row>
    <row r="98" spans="1:8" ht="15.75" customHeight="1" x14ac:dyDescent="0.2">
      <c r="A98" s="415" t="s">
        <v>578</v>
      </c>
      <c r="B98" s="469">
        <f>1.65%+7.6%</f>
        <v>9.2499999999999999E-2</v>
      </c>
      <c r="C98" s="439">
        <f>($C$20+$C$52+$C$73+$C$82+$C$91)*B98</f>
        <v>0</v>
      </c>
      <c r="D98" s="439">
        <f t="shared" si="3"/>
        <v>0</v>
      </c>
      <c r="E98" s="440">
        <f t="shared" si="4"/>
        <v>0</v>
      </c>
      <c r="F98" s="392"/>
      <c r="G98" s="392"/>
      <c r="H98" s="392"/>
    </row>
    <row r="99" spans="1:8" ht="15.75" customHeight="1" x14ac:dyDescent="0.2">
      <c r="A99" s="415" t="s">
        <v>579</v>
      </c>
      <c r="B99" s="469"/>
      <c r="C99" s="439">
        <f>($C$20+$C$52+$C$73+$C$82+$C$91)*B99</f>
        <v>0</v>
      </c>
      <c r="D99" s="439">
        <f t="shared" si="3"/>
        <v>0</v>
      </c>
      <c r="E99" s="440">
        <f t="shared" si="4"/>
        <v>0</v>
      </c>
      <c r="F99" s="392"/>
      <c r="G99" s="392"/>
      <c r="H99" s="392"/>
    </row>
    <row r="100" spans="1:8" ht="15.75" customHeight="1" x14ac:dyDescent="0.2">
      <c r="A100" s="415" t="s">
        <v>580</v>
      </c>
      <c r="B100" s="469">
        <f>'M. Cal'!L2</f>
        <v>0</v>
      </c>
      <c r="C100" s="439">
        <f>($C$20+$C$52+$C$73+$C$82+$C$91)*B100</f>
        <v>0</v>
      </c>
      <c r="D100" s="439">
        <f t="shared" si="3"/>
        <v>0</v>
      </c>
      <c r="E100" s="440">
        <f t="shared" si="4"/>
        <v>0</v>
      </c>
      <c r="F100" s="392"/>
      <c r="G100" s="392"/>
      <c r="H100" s="392"/>
    </row>
    <row r="101" spans="1:8" ht="15.75" customHeight="1" x14ac:dyDescent="0.2">
      <c r="A101" s="415" t="s">
        <v>581</v>
      </c>
      <c r="B101" s="438"/>
      <c r="C101" s="470"/>
      <c r="D101" s="470"/>
      <c r="E101" s="471"/>
      <c r="F101" s="392"/>
      <c r="G101" s="392"/>
      <c r="H101" s="392"/>
    </row>
    <row r="102" spans="1:8" ht="15.75" customHeight="1" x14ac:dyDescent="0.2">
      <c r="A102" s="735" t="s">
        <v>94</v>
      </c>
      <c r="B102" s="461"/>
      <c r="C102" s="462">
        <f>SUM(C95:C97)</f>
        <v>0</v>
      </c>
      <c r="D102" s="463">
        <f>SUM(D95:D97)</f>
        <v>0</v>
      </c>
      <c r="E102" s="464">
        <f>SUM(E95:E97)</f>
        <v>0</v>
      </c>
      <c r="F102" s="392"/>
      <c r="G102" s="392"/>
      <c r="H102" s="392"/>
    </row>
    <row r="103" spans="1:8" ht="5.65" customHeight="1" x14ac:dyDescent="0.2">
      <c r="A103" s="905"/>
      <c r="B103" s="905"/>
      <c r="C103" s="905"/>
      <c r="D103" s="905"/>
      <c r="E103" s="905"/>
      <c r="F103" s="392"/>
      <c r="G103" s="392"/>
      <c r="H103" s="392"/>
    </row>
    <row r="104" spans="1:8" ht="5.65" customHeight="1" x14ac:dyDescent="0.2">
      <c r="A104" s="905"/>
      <c r="B104" s="905"/>
      <c r="C104" s="905"/>
      <c r="D104" s="905"/>
      <c r="E104" s="905"/>
      <c r="F104" s="392"/>
      <c r="G104" s="392"/>
      <c r="H104" s="392"/>
    </row>
    <row r="105" spans="1:8" ht="57" customHeight="1" x14ac:dyDescent="0.2">
      <c r="A105" s="910" t="s">
        <v>582</v>
      </c>
      <c r="B105" s="910"/>
      <c r="C105" s="472" t="str">
        <f>C10</f>
        <v>Servente 40h</v>
      </c>
      <c r="D105" s="472" t="str">
        <f>D10</f>
        <v>Servente 40h - limpeza de esquadrias com Risco</v>
      </c>
      <c r="E105" s="473" t="str">
        <f>E10</f>
        <v>Servente 40h
COVID</v>
      </c>
      <c r="F105" s="392"/>
      <c r="G105" s="392"/>
      <c r="H105" s="392"/>
    </row>
    <row r="106" spans="1:8" ht="15.75" customHeight="1" x14ac:dyDescent="0.2">
      <c r="A106" s="914" t="s">
        <v>583</v>
      </c>
      <c r="B106" s="914"/>
      <c r="C106" s="474" t="s">
        <v>513</v>
      </c>
      <c r="D106" s="474" t="s">
        <v>513</v>
      </c>
      <c r="E106" s="475" t="s">
        <v>513</v>
      </c>
      <c r="F106" s="392"/>
      <c r="G106" s="392"/>
      <c r="H106" s="392"/>
    </row>
    <row r="107" spans="1:8" ht="15.75" customHeight="1" x14ac:dyDescent="0.2">
      <c r="A107" s="912" t="s">
        <v>584</v>
      </c>
      <c r="B107" s="912"/>
      <c r="C107" s="476">
        <f>C20</f>
        <v>0</v>
      </c>
      <c r="D107" s="476">
        <f>D20</f>
        <v>0</v>
      </c>
      <c r="E107" s="477">
        <f>E20</f>
        <v>0</v>
      </c>
      <c r="F107" s="392"/>
      <c r="G107" s="392"/>
      <c r="H107" s="392"/>
    </row>
    <row r="108" spans="1:8" ht="15.75" customHeight="1" x14ac:dyDescent="0.2">
      <c r="A108" s="912" t="s">
        <v>585</v>
      </c>
      <c r="B108" s="912"/>
      <c r="C108" s="476">
        <f>C52</f>
        <v>0</v>
      </c>
      <c r="D108" s="476">
        <f>D52</f>
        <v>0</v>
      </c>
      <c r="E108" s="477">
        <f>E52</f>
        <v>0</v>
      </c>
      <c r="F108" s="392"/>
      <c r="G108" s="392"/>
      <c r="H108" s="392"/>
    </row>
    <row r="109" spans="1:8" ht="15.75" customHeight="1" x14ac:dyDescent="0.2">
      <c r="A109" s="912" t="s">
        <v>586</v>
      </c>
      <c r="B109" s="912"/>
      <c r="C109" s="476">
        <f>C73</f>
        <v>0</v>
      </c>
      <c r="D109" s="476">
        <f>D73</f>
        <v>0</v>
      </c>
      <c r="E109" s="477">
        <f>E73</f>
        <v>0</v>
      </c>
      <c r="F109" s="392"/>
      <c r="G109" s="392"/>
      <c r="H109" s="392"/>
    </row>
    <row r="110" spans="1:8" ht="15.75" customHeight="1" x14ac:dyDescent="0.2">
      <c r="A110" s="912" t="s">
        <v>587</v>
      </c>
      <c r="B110" s="912"/>
      <c r="C110" s="476">
        <f>C82</f>
        <v>0</v>
      </c>
      <c r="D110" s="476">
        <f>D82</f>
        <v>0</v>
      </c>
      <c r="E110" s="477">
        <f>E82</f>
        <v>0</v>
      </c>
      <c r="F110" s="392"/>
      <c r="G110" s="392"/>
      <c r="H110" s="392"/>
    </row>
    <row r="111" spans="1:8" ht="15.75" customHeight="1" x14ac:dyDescent="0.2">
      <c r="A111" s="912" t="s">
        <v>588</v>
      </c>
      <c r="B111" s="912"/>
      <c r="C111" s="476">
        <f>C91</f>
        <v>0</v>
      </c>
      <c r="D111" s="476">
        <f>D91</f>
        <v>0</v>
      </c>
      <c r="E111" s="477">
        <f>E91</f>
        <v>0</v>
      </c>
      <c r="F111" s="392"/>
      <c r="G111" s="392"/>
      <c r="H111" s="392"/>
    </row>
    <row r="112" spans="1:8" ht="15.75" customHeight="1" x14ac:dyDescent="0.2">
      <c r="A112" s="911" t="s">
        <v>589</v>
      </c>
      <c r="B112" s="911"/>
      <c r="C112" s="478">
        <f>SUM(C107:C111)</f>
        <v>0</v>
      </c>
      <c r="D112" s="478">
        <f>SUM(D107:D111)</f>
        <v>0</v>
      </c>
      <c r="E112" s="479">
        <f>SUM(E107:E111)</f>
        <v>0</v>
      </c>
      <c r="F112" s="392"/>
      <c r="G112" s="392"/>
      <c r="H112" s="392"/>
    </row>
    <row r="113" spans="1:8" ht="15.75" customHeight="1" x14ac:dyDescent="0.2">
      <c r="A113" s="912" t="s">
        <v>590</v>
      </c>
      <c r="B113" s="912"/>
      <c r="C113" s="476">
        <f>C102</f>
        <v>0</v>
      </c>
      <c r="D113" s="476">
        <f>D102</f>
        <v>0</v>
      </c>
      <c r="E113" s="477">
        <f>E102</f>
        <v>0</v>
      </c>
      <c r="F113" s="392"/>
      <c r="G113" s="392"/>
      <c r="H113" s="392"/>
    </row>
    <row r="114" spans="1:8" ht="15.75" customHeight="1" x14ac:dyDescent="0.2">
      <c r="A114" s="913" t="s">
        <v>608</v>
      </c>
      <c r="B114" s="913"/>
      <c r="C114" s="480">
        <f>SUM(C112:C113)</f>
        <v>0</v>
      </c>
      <c r="D114" s="480">
        <f>SUM(D112:D113)</f>
        <v>0</v>
      </c>
      <c r="E114" s="481">
        <f>SUM(E112:E113)</f>
        <v>0</v>
      </c>
      <c r="F114" s="392"/>
      <c r="G114" s="392"/>
      <c r="H114" s="392"/>
    </row>
    <row r="115" spans="1:8" ht="5.65" customHeight="1" x14ac:dyDescent="0.2">
      <c r="A115" s="482"/>
      <c r="B115" s="483"/>
      <c r="C115" s="483"/>
      <c r="D115" s="484"/>
      <c r="E115" s="484"/>
      <c r="F115" s="392"/>
      <c r="G115" s="392"/>
      <c r="H115" s="392"/>
    </row>
    <row r="116" spans="1:8" ht="5.65" customHeight="1" x14ac:dyDescent="0.2">
      <c r="A116" s="482"/>
      <c r="B116" s="485"/>
      <c r="C116" s="485"/>
      <c r="D116" s="486"/>
      <c r="E116" s="486"/>
      <c r="F116" s="392"/>
      <c r="G116" s="392"/>
      <c r="H116" s="392"/>
    </row>
    <row r="117" spans="1:8" ht="13.9" customHeight="1" x14ac:dyDescent="0.2">
      <c r="A117" s="938" t="s">
        <v>674</v>
      </c>
      <c r="B117" s="938"/>
      <c r="C117" s="938"/>
      <c r="D117" s="938"/>
      <c r="E117" s="938"/>
    </row>
    <row r="118" spans="1:8" ht="38.25" x14ac:dyDescent="0.2">
      <c r="A118" s="487" t="s">
        <v>675</v>
      </c>
      <c r="B118" s="488" t="s">
        <v>676</v>
      </c>
      <c r="C118" s="488" t="s">
        <v>677</v>
      </c>
      <c r="D118" s="488" t="s">
        <v>678</v>
      </c>
      <c r="E118" s="488" t="s">
        <v>678</v>
      </c>
    </row>
    <row r="119" spans="1:8" x14ac:dyDescent="0.2">
      <c r="A119" s="489" t="s">
        <v>679</v>
      </c>
      <c r="B119" s="490">
        <f>'Produt. Postos PGR'!C25</f>
        <v>1E-3</v>
      </c>
      <c r="C119" s="491">
        <f>C114</f>
        <v>0</v>
      </c>
      <c r="D119" s="491">
        <f>B119*C119</f>
        <v>0</v>
      </c>
      <c r="E119" s="491">
        <f>C119*D119</f>
        <v>0</v>
      </c>
    </row>
    <row r="120" spans="1:8" x14ac:dyDescent="0.2">
      <c r="A120" s="492" t="s">
        <v>680</v>
      </c>
      <c r="B120" s="490">
        <f>'Produt. Postos PGR'!C26</f>
        <v>4.1666666666666665E-5</v>
      </c>
      <c r="C120" s="491">
        <f>'Encar PGR e CTB'!D112</f>
        <v>0</v>
      </c>
      <c r="D120" s="491">
        <f>C120*B120</f>
        <v>0</v>
      </c>
      <c r="E120" s="491">
        <f>D120*C120</f>
        <v>0</v>
      </c>
    </row>
    <row r="121" spans="1:8" x14ac:dyDescent="0.2">
      <c r="A121" s="493" t="s">
        <v>681</v>
      </c>
      <c r="B121" s="494"/>
      <c r="C121" s="495"/>
      <c r="D121" s="495">
        <f>SUM(D119:D120)</f>
        <v>0</v>
      </c>
      <c r="E121" s="495"/>
    </row>
    <row r="122" spans="1:8" x14ac:dyDescent="0.2">
      <c r="A122" s="489" t="s">
        <v>682</v>
      </c>
      <c r="B122" s="490">
        <f>'Produt. Postos PGR'!C25</f>
        <v>1E-3</v>
      </c>
      <c r="C122" s="491">
        <f>D114</f>
        <v>0</v>
      </c>
      <c r="D122" s="491">
        <f>B122*C122</f>
        <v>0</v>
      </c>
      <c r="E122" s="491">
        <f>C122*D122</f>
        <v>0</v>
      </c>
    </row>
    <row r="123" spans="1:8" x14ac:dyDescent="0.2">
      <c r="A123" s="492" t="s">
        <v>680</v>
      </c>
      <c r="B123" s="490">
        <f>'Produt. Postos PGR'!C26</f>
        <v>4.1666666666666665E-5</v>
      </c>
      <c r="C123" s="491"/>
      <c r="D123" s="491">
        <f>C123*B123</f>
        <v>0</v>
      </c>
      <c r="E123" s="491">
        <f>D123*C123</f>
        <v>0</v>
      </c>
    </row>
    <row r="124" spans="1:8" x14ac:dyDescent="0.2">
      <c r="A124" s="493" t="s">
        <v>683</v>
      </c>
      <c r="B124" s="494"/>
      <c r="C124" s="495"/>
      <c r="D124" s="495">
        <f>SUM(D122:D123)</f>
        <v>0</v>
      </c>
      <c r="E124" s="495"/>
    </row>
    <row r="125" spans="1:8" ht="15" customHeight="1" x14ac:dyDescent="0.2">
      <c r="A125" s="482"/>
      <c r="B125" s="485"/>
      <c r="C125" s="485"/>
      <c r="D125" s="486"/>
      <c r="E125" s="486"/>
    </row>
    <row r="126" spans="1:8" ht="13.9" customHeight="1" x14ac:dyDescent="0.2">
      <c r="A126" s="938" t="s">
        <v>684</v>
      </c>
      <c r="B126" s="938"/>
      <c r="C126" s="938"/>
      <c r="D126" s="938"/>
      <c r="E126" s="938"/>
    </row>
    <row r="127" spans="1:8" ht="38.25" x14ac:dyDescent="0.2">
      <c r="A127" s="487" t="s">
        <v>675</v>
      </c>
      <c r="B127" s="488" t="s">
        <v>676</v>
      </c>
      <c r="C127" s="488" t="s">
        <v>677</v>
      </c>
      <c r="D127" s="488" t="s">
        <v>678</v>
      </c>
      <c r="E127" s="488" t="s">
        <v>678</v>
      </c>
    </row>
    <row r="128" spans="1:8" x14ac:dyDescent="0.2">
      <c r="A128" s="489" t="s">
        <v>679</v>
      </c>
      <c r="B128" s="496">
        <f>'Produt. Postos PGR'!$D$25</f>
        <v>4.0000000000000002E-4</v>
      </c>
      <c r="C128" s="497">
        <f>C114</f>
        <v>0</v>
      </c>
      <c r="D128" s="491">
        <f>C128*B128</f>
        <v>0</v>
      </c>
      <c r="E128" s="491">
        <f>C128*D128</f>
        <v>0</v>
      </c>
    </row>
    <row r="129" spans="1:5" x14ac:dyDescent="0.2">
      <c r="A129" s="492" t="s">
        <v>680</v>
      </c>
      <c r="B129" s="490">
        <f>'Produt. Postos PGR'!$D$26</f>
        <v>1.6666666666666667E-5</v>
      </c>
      <c r="C129" s="491">
        <f>C120</f>
        <v>0</v>
      </c>
      <c r="D129" s="491">
        <f>C129*B129</f>
        <v>0</v>
      </c>
      <c r="E129" s="491">
        <f>D129*C129</f>
        <v>0</v>
      </c>
    </row>
    <row r="130" spans="1:5" x14ac:dyDescent="0.2">
      <c r="A130" s="493" t="s">
        <v>685</v>
      </c>
      <c r="B130" s="494"/>
      <c r="C130" s="495"/>
      <c r="D130" s="495">
        <f>SUM(D128:D129)</f>
        <v>0</v>
      </c>
      <c r="E130" s="495"/>
    </row>
    <row r="131" spans="1:5" x14ac:dyDescent="0.2">
      <c r="A131" s="489" t="s">
        <v>682</v>
      </c>
      <c r="B131" s="496">
        <f>B128</f>
        <v>4.0000000000000002E-4</v>
      </c>
      <c r="C131" s="491">
        <f>D114</f>
        <v>0</v>
      </c>
      <c r="D131" s="491">
        <f>B131*C131</f>
        <v>0</v>
      </c>
      <c r="E131" s="491">
        <f>C131*D131</f>
        <v>0</v>
      </c>
    </row>
    <row r="132" spans="1:5" x14ac:dyDescent="0.2">
      <c r="A132" s="492" t="s">
        <v>680</v>
      </c>
      <c r="B132" s="490">
        <f>B129</f>
        <v>1.6666666666666667E-5</v>
      </c>
      <c r="C132" s="491"/>
      <c r="D132" s="491">
        <f>C132*B132</f>
        <v>0</v>
      </c>
      <c r="E132" s="491">
        <f>D132*C132</f>
        <v>0</v>
      </c>
    </row>
    <row r="133" spans="1:5" x14ac:dyDescent="0.2">
      <c r="A133" s="493" t="s">
        <v>683</v>
      </c>
      <c r="B133" s="494"/>
      <c r="C133" s="495"/>
      <c r="D133" s="495">
        <f>SUM(D131:D132)</f>
        <v>0</v>
      </c>
      <c r="E133" s="495"/>
    </row>
    <row r="134" spans="1:5" x14ac:dyDescent="0.2">
      <c r="A134" s="482"/>
      <c r="B134" s="498"/>
      <c r="C134" s="498"/>
      <c r="D134" s="498"/>
      <c r="E134" s="498"/>
    </row>
    <row r="135" spans="1:5" ht="13.9" customHeight="1" x14ac:dyDescent="0.2">
      <c r="A135" s="938" t="s">
        <v>686</v>
      </c>
      <c r="B135" s="938"/>
      <c r="C135" s="938"/>
      <c r="D135" s="938"/>
      <c r="E135" s="938"/>
    </row>
    <row r="136" spans="1:5" ht="38.25" x14ac:dyDescent="0.2">
      <c r="A136" s="487" t="s">
        <v>675</v>
      </c>
      <c r="B136" s="488" t="s">
        <v>676</v>
      </c>
      <c r="C136" s="488" t="s">
        <v>677</v>
      </c>
      <c r="D136" s="488" t="s">
        <v>678</v>
      </c>
      <c r="E136" s="488" t="s">
        <v>678</v>
      </c>
    </row>
    <row r="137" spans="1:5" x14ac:dyDescent="0.2">
      <c r="A137" s="489" t="s">
        <v>679</v>
      </c>
      <c r="B137" s="496">
        <f>'Produt. Postos PGR'!$E$25</f>
        <v>6.6666700000000002E-4</v>
      </c>
      <c r="C137" s="497">
        <f>C114</f>
        <v>0</v>
      </c>
      <c r="D137" s="491">
        <f>B137*C137</f>
        <v>0</v>
      </c>
      <c r="E137" s="491">
        <f>C137*D137</f>
        <v>0</v>
      </c>
    </row>
    <row r="138" spans="1:5" x14ac:dyDescent="0.2">
      <c r="A138" s="492" t="s">
        <v>680</v>
      </c>
      <c r="B138" s="496">
        <f>'Produt. Postos PGR'!$E$26</f>
        <v>2.7777791666666669E-5</v>
      </c>
      <c r="C138" s="491">
        <f>C129</f>
        <v>0</v>
      </c>
      <c r="D138" s="491">
        <f>C138*B138</f>
        <v>0</v>
      </c>
      <c r="E138" s="491">
        <f>D138*C138</f>
        <v>0</v>
      </c>
    </row>
    <row r="139" spans="1:5" x14ac:dyDescent="0.2">
      <c r="A139" s="493" t="s">
        <v>685</v>
      </c>
      <c r="B139" s="494"/>
      <c r="C139" s="495"/>
      <c r="D139" s="495">
        <f>SUM(D137:D138)</f>
        <v>0</v>
      </c>
      <c r="E139" s="495"/>
    </row>
    <row r="140" spans="1:5" x14ac:dyDescent="0.2">
      <c r="A140" s="489" t="s">
        <v>682</v>
      </c>
      <c r="B140" s="496">
        <f>B137</f>
        <v>6.6666700000000002E-4</v>
      </c>
      <c r="C140" s="491">
        <f>D114</f>
        <v>0</v>
      </c>
      <c r="D140" s="491">
        <f>B140*C140</f>
        <v>0</v>
      </c>
      <c r="E140" s="491">
        <f>C140*D140</f>
        <v>0</v>
      </c>
    </row>
    <row r="141" spans="1:5" x14ac:dyDescent="0.2">
      <c r="A141" s="492" t="s">
        <v>680</v>
      </c>
      <c r="B141" s="490">
        <f>B138</f>
        <v>2.7777791666666669E-5</v>
      </c>
      <c r="C141" s="491"/>
      <c r="D141" s="491">
        <f>C141*B141</f>
        <v>0</v>
      </c>
      <c r="E141" s="491">
        <f>D141*C141</f>
        <v>0</v>
      </c>
    </row>
    <row r="142" spans="1:5" x14ac:dyDescent="0.2">
      <c r="A142" s="493" t="s">
        <v>683</v>
      </c>
      <c r="B142" s="494"/>
      <c r="C142" s="495"/>
      <c r="D142" s="495">
        <f>SUM(D140:D141)</f>
        <v>0</v>
      </c>
      <c r="E142" s="495"/>
    </row>
    <row r="143" spans="1:5" x14ac:dyDescent="0.2">
      <c r="A143" s="482"/>
      <c r="B143" s="498"/>
      <c r="C143" s="498"/>
      <c r="D143" s="498"/>
      <c r="E143" s="498"/>
    </row>
    <row r="144" spans="1:5" ht="13.9" customHeight="1" x14ac:dyDescent="0.2">
      <c r="A144" s="938" t="s">
        <v>687</v>
      </c>
      <c r="B144" s="938"/>
      <c r="C144" s="938"/>
      <c r="D144" s="938"/>
      <c r="E144" s="938"/>
    </row>
    <row r="145" spans="1:5" ht="38.25" x14ac:dyDescent="0.2">
      <c r="A145" s="487" t="s">
        <v>675</v>
      </c>
      <c r="B145" s="488" t="s">
        <v>676</v>
      </c>
      <c r="C145" s="488" t="s">
        <v>677</v>
      </c>
      <c r="D145" s="488" t="s">
        <v>678</v>
      </c>
      <c r="E145" s="488" t="s">
        <v>678</v>
      </c>
    </row>
    <row r="146" spans="1:5" x14ac:dyDescent="0.2">
      <c r="A146" s="489" t="s">
        <v>682</v>
      </c>
      <c r="B146" s="496">
        <f>'Produt. Postos PGR'!F25</f>
        <v>3.333333E-3</v>
      </c>
      <c r="C146" s="491">
        <f>C114</f>
        <v>0</v>
      </c>
      <c r="D146" s="491">
        <f>B146*C146</f>
        <v>0</v>
      </c>
      <c r="E146" s="491">
        <f>C146*D146</f>
        <v>0</v>
      </c>
    </row>
    <row r="147" spans="1:5" x14ac:dyDescent="0.2">
      <c r="A147" s="492" t="s">
        <v>680</v>
      </c>
      <c r="B147" s="496">
        <f>'Produt. Postos PGR'!F26</f>
        <v>1.3888887499999999E-4</v>
      </c>
      <c r="C147" s="491">
        <f>C138</f>
        <v>0</v>
      </c>
      <c r="D147" s="491">
        <f>C147*B147</f>
        <v>0</v>
      </c>
      <c r="E147" s="491">
        <f>D147*C147</f>
        <v>0</v>
      </c>
    </row>
    <row r="148" spans="1:5" x14ac:dyDescent="0.2">
      <c r="A148" s="493" t="s">
        <v>685</v>
      </c>
      <c r="B148" s="494"/>
      <c r="C148" s="495"/>
      <c r="D148" s="495">
        <f>SUM(D146:D147)</f>
        <v>0</v>
      </c>
      <c r="E148" s="495"/>
    </row>
    <row r="149" spans="1:5" x14ac:dyDescent="0.2">
      <c r="A149" s="482"/>
      <c r="B149" s="499"/>
      <c r="C149" s="499"/>
      <c r="D149" s="499"/>
      <c r="E149" s="499"/>
    </row>
    <row r="150" spans="1:5" ht="13.9" customHeight="1" x14ac:dyDescent="0.2">
      <c r="A150" s="939" t="s">
        <v>688</v>
      </c>
      <c r="B150" s="939"/>
      <c r="C150" s="939"/>
      <c r="D150" s="939"/>
      <c r="E150" s="939"/>
    </row>
    <row r="151" spans="1:5" ht="38.25" x14ac:dyDescent="0.2">
      <c r="A151" s="487" t="s">
        <v>675</v>
      </c>
      <c r="B151" s="488" t="s">
        <v>676</v>
      </c>
      <c r="C151" s="488" t="s">
        <v>677</v>
      </c>
      <c r="D151" s="488" t="s">
        <v>678</v>
      </c>
      <c r="E151" s="488" t="s">
        <v>678</v>
      </c>
    </row>
    <row r="152" spans="1:5" x14ac:dyDescent="0.2">
      <c r="A152" s="489" t="s">
        <v>689</v>
      </c>
      <c r="B152" s="496">
        <f>'Produt. Postos PGR'!G25</f>
        <v>3.7037000000000002E-4</v>
      </c>
      <c r="C152" s="491">
        <f>C114</f>
        <v>0</v>
      </c>
      <c r="D152" s="491">
        <f>C152*B152</f>
        <v>0</v>
      </c>
      <c r="E152" s="491">
        <f>D152*C152</f>
        <v>0</v>
      </c>
    </row>
    <row r="153" spans="1:5" x14ac:dyDescent="0.2">
      <c r="A153" s="492" t="s">
        <v>680</v>
      </c>
      <c r="B153" s="496">
        <f>'Produt. Postos PGR'!G26</f>
        <v>1.5432083333333334E-5</v>
      </c>
      <c r="C153" s="491">
        <f>C147</f>
        <v>0</v>
      </c>
      <c r="D153" s="491">
        <f>C153*B153</f>
        <v>0</v>
      </c>
      <c r="E153" s="491">
        <f>D153*C153</f>
        <v>0</v>
      </c>
    </row>
    <row r="154" spans="1:5" x14ac:dyDescent="0.2">
      <c r="A154" s="500" t="s">
        <v>690</v>
      </c>
      <c r="B154" s="501"/>
      <c r="C154" s="502"/>
      <c r="D154" s="503">
        <f>SUM(D152:D153)</f>
        <v>0</v>
      </c>
      <c r="E154" s="504"/>
    </row>
    <row r="155" spans="1:5" x14ac:dyDescent="0.2">
      <c r="A155" s="489" t="s">
        <v>691</v>
      </c>
      <c r="B155" s="496">
        <f>'Produt. Postos PGR'!H25</f>
        <v>1.0000000000000001E-5</v>
      </c>
      <c r="C155" s="491">
        <f>C114</f>
        <v>0</v>
      </c>
      <c r="D155" s="491">
        <f>C155*B155</f>
        <v>0</v>
      </c>
      <c r="E155" s="491">
        <f>D155*C155</f>
        <v>0</v>
      </c>
    </row>
    <row r="156" spans="1:5" x14ac:dyDescent="0.2">
      <c r="A156" s="492" t="s">
        <v>680</v>
      </c>
      <c r="B156" s="496">
        <f>'Produt. Postos PGR'!H26</f>
        <v>4.1666666666666672E-7</v>
      </c>
      <c r="C156" s="491">
        <f>'Encar PGR e CTB'!D112</f>
        <v>0</v>
      </c>
      <c r="D156" s="491">
        <f>C156*B156</f>
        <v>0</v>
      </c>
      <c r="E156" s="491">
        <f>D156*C156</f>
        <v>0</v>
      </c>
    </row>
    <row r="157" spans="1:5" x14ac:dyDescent="0.2">
      <c r="A157" s="500" t="s">
        <v>692</v>
      </c>
      <c r="B157" s="505"/>
      <c r="C157" s="502"/>
      <c r="D157" s="503">
        <f>SUM(D155:D156)</f>
        <v>0</v>
      </c>
      <c r="E157" s="504"/>
    </row>
    <row r="158" spans="1:5" x14ac:dyDescent="0.2">
      <c r="A158" s="489" t="s">
        <v>693</v>
      </c>
      <c r="B158" s="496">
        <f>'Produt. Postos PGR'!I25</f>
        <v>1.11111E-4</v>
      </c>
      <c r="C158" s="491">
        <f>C114</f>
        <v>0</v>
      </c>
      <c r="D158" s="491">
        <f>C158*B158</f>
        <v>0</v>
      </c>
      <c r="E158" s="491">
        <f>D158*C158</f>
        <v>0</v>
      </c>
    </row>
    <row r="159" spans="1:5" x14ac:dyDescent="0.2">
      <c r="A159" s="492" t="s">
        <v>680</v>
      </c>
      <c r="B159" s="496">
        <f>'Produt. Postos PGR'!I26</f>
        <v>4.6296249999999997E-6</v>
      </c>
      <c r="C159" s="491">
        <f>'Encar PGR e CTB'!D112</f>
        <v>0</v>
      </c>
      <c r="D159" s="491">
        <f>C159*B159</f>
        <v>0</v>
      </c>
      <c r="E159" s="491">
        <f>D159*C159</f>
        <v>0</v>
      </c>
    </row>
    <row r="160" spans="1:5" x14ac:dyDescent="0.2">
      <c r="A160" s="500" t="s">
        <v>694</v>
      </c>
      <c r="B160" s="505"/>
      <c r="C160" s="502"/>
      <c r="D160" s="503">
        <f>SUM(D158:D159)</f>
        <v>0</v>
      </c>
      <c r="E160" s="504"/>
    </row>
    <row r="161" spans="1:7" x14ac:dyDescent="0.2">
      <c r="A161" s="482"/>
      <c r="B161" s="498"/>
      <c r="C161" s="498"/>
      <c r="D161" s="498"/>
      <c r="E161" s="498"/>
    </row>
    <row r="162" spans="1:7" ht="13.9" customHeight="1" x14ac:dyDescent="0.2">
      <c r="A162" s="940" t="s">
        <v>695</v>
      </c>
      <c r="B162" s="940"/>
      <c r="C162" s="940"/>
      <c r="D162" s="940"/>
      <c r="E162" s="940"/>
    </row>
    <row r="163" spans="1:7" ht="38.25" x14ac:dyDescent="0.2">
      <c r="A163" s="487" t="s">
        <v>675</v>
      </c>
      <c r="B163" s="488" t="s">
        <v>676</v>
      </c>
      <c r="C163" s="488" t="s">
        <v>677</v>
      </c>
      <c r="D163" s="488" t="s">
        <v>678</v>
      </c>
      <c r="E163" s="488" t="s">
        <v>678</v>
      </c>
    </row>
    <row r="164" spans="1:7" x14ac:dyDescent="0.2">
      <c r="A164" s="506" t="s">
        <v>696</v>
      </c>
      <c r="B164" s="496">
        <f>'Produt. Postos PGR'!J25</f>
        <v>4.8611111111111115E-5</v>
      </c>
      <c r="C164" s="491">
        <f>D114</f>
        <v>0</v>
      </c>
      <c r="D164" s="491">
        <f>C164*B164</f>
        <v>0</v>
      </c>
      <c r="E164" s="491">
        <f>D164*C164</f>
        <v>0</v>
      </c>
    </row>
    <row r="165" spans="1:7" x14ac:dyDescent="0.2">
      <c r="A165" s="492" t="s">
        <v>680</v>
      </c>
      <c r="B165" s="496">
        <f>'Produt. Postos PGR'!J26</f>
        <v>1.2152777777777779E-5</v>
      </c>
      <c r="C165" s="491">
        <f>'Encar PGR e CTB'!D112</f>
        <v>0</v>
      </c>
      <c r="D165" s="491">
        <f>C165*B165</f>
        <v>0</v>
      </c>
      <c r="E165" s="491">
        <f>D165*C165</f>
        <v>0</v>
      </c>
    </row>
    <row r="166" spans="1:7" x14ac:dyDescent="0.2">
      <c r="A166" s="507" t="s">
        <v>697</v>
      </c>
      <c r="B166" s="508"/>
      <c r="C166" s="509"/>
      <c r="D166" s="510">
        <f>SUM(D164:D165)</f>
        <v>0</v>
      </c>
      <c r="E166" s="511"/>
    </row>
    <row r="167" spans="1:7" x14ac:dyDescent="0.2">
      <c r="A167" s="506" t="s">
        <v>698</v>
      </c>
      <c r="B167" s="496">
        <f>'Produt. Postos PGR'!K25</f>
        <v>2.4561403508771931E-4</v>
      </c>
      <c r="C167" s="491">
        <f>C114</f>
        <v>0</v>
      </c>
      <c r="D167" s="491">
        <f>C167*B167</f>
        <v>0</v>
      </c>
      <c r="E167" s="491">
        <f>D167*C167</f>
        <v>0</v>
      </c>
    </row>
    <row r="168" spans="1:7" x14ac:dyDescent="0.2">
      <c r="A168" s="492" t="s">
        <v>680</v>
      </c>
      <c r="B168" s="496">
        <f>'Produt. Postos PGR'!K26</f>
        <v>1.0233918128654972E-5</v>
      </c>
      <c r="C168" s="491">
        <f>'Encar PGR e CTB'!D112</f>
        <v>0</v>
      </c>
      <c r="D168" s="491">
        <f>C168*B168</f>
        <v>0</v>
      </c>
      <c r="E168" s="491">
        <f>D168*C168</f>
        <v>0</v>
      </c>
    </row>
    <row r="169" spans="1:7" x14ac:dyDescent="0.2">
      <c r="A169" s="507" t="s">
        <v>699</v>
      </c>
      <c r="B169" s="508"/>
      <c r="C169" s="509"/>
      <c r="D169" s="510">
        <f>SUM(D167:D168)</f>
        <v>0</v>
      </c>
      <c r="E169" s="511"/>
    </row>
    <row r="170" spans="1:7" x14ac:dyDescent="0.2">
      <c r="A170" s="489" t="s">
        <v>700</v>
      </c>
      <c r="B170" s="496">
        <f>'Produt. Postos PGR'!L25</f>
        <v>2.4561403508771931E-4</v>
      </c>
      <c r="C170" s="491">
        <f>C114</f>
        <v>0</v>
      </c>
      <c r="D170" s="491">
        <f>C170*B170</f>
        <v>0</v>
      </c>
      <c r="E170" s="491">
        <f>D170*C170</f>
        <v>0</v>
      </c>
    </row>
    <row r="171" spans="1:7" x14ac:dyDescent="0.2">
      <c r="A171" s="492" t="s">
        <v>680</v>
      </c>
      <c r="B171" s="496">
        <f>'Produt. Postos PGR'!L26</f>
        <v>1.0233918128654972E-5</v>
      </c>
      <c r="C171" s="491">
        <f>C114</f>
        <v>0</v>
      </c>
      <c r="D171" s="491">
        <f>C171*B171</f>
        <v>0</v>
      </c>
      <c r="E171" s="491">
        <f>D171*C171</f>
        <v>0</v>
      </c>
      <c r="G171" s="512"/>
    </row>
    <row r="172" spans="1:7" x14ac:dyDescent="0.2">
      <c r="A172" s="507" t="s">
        <v>701</v>
      </c>
      <c r="B172" s="508"/>
      <c r="C172" s="509"/>
      <c r="D172" s="510">
        <f>SUM(D170:D171)</f>
        <v>0</v>
      </c>
      <c r="E172" s="511"/>
    </row>
    <row r="173" spans="1:7" ht="7.5" customHeight="1" x14ac:dyDescent="0.2"/>
    <row r="175" spans="1:7" ht="36.6" customHeight="1" x14ac:dyDescent="0.2">
      <c r="A175" s="941" t="s">
        <v>702</v>
      </c>
      <c r="B175" s="941"/>
      <c r="C175" s="941"/>
      <c r="D175" s="941"/>
      <c r="E175" s="941"/>
    </row>
    <row r="176" spans="1:7" ht="25.5" customHeight="1" x14ac:dyDescent="0.2">
      <c r="A176" s="942" t="s">
        <v>703</v>
      </c>
      <c r="B176" s="942"/>
      <c r="C176" s="734" t="s">
        <v>704</v>
      </c>
      <c r="D176" s="734" t="s">
        <v>705</v>
      </c>
      <c r="E176" s="734" t="s">
        <v>706</v>
      </c>
    </row>
    <row r="177" spans="1:5" x14ac:dyDescent="0.2">
      <c r="A177" s="943" t="str">
        <f>$A$117</f>
        <v>AI-1 Área Interna pisos frios</v>
      </c>
      <c r="B177" s="943"/>
      <c r="C177" s="1">
        <f>$D$121</f>
        <v>0</v>
      </c>
      <c r="D177" s="513">
        <f>'Produt. Postos PGR'!C3</f>
        <v>1747.93</v>
      </c>
      <c r="E177" s="514">
        <f t="shared" ref="E177:E186" si="5">C177*D177</f>
        <v>0</v>
      </c>
    </row>
    <row r="178" spans="1:5" x14ac:dyDescent="0.2">
      <c r="A178" s="943" t="str">
        <f>$A$126</f>
        <v>AI-2 Área interna (Almoxarifado, Galpões, arquivos )</v>
      </c>
      <c r="B178" s="943"/>
      <c r="C178" s="1">
        <f>$D$130</f>
        <v>0</v>
      </c>
      <c r="D178" s="513">
        <f>'Produt. Postos PGR'!D3</f>
        <v>204.45</v>
      </c>
      <c r="E178" s="514">
        <f t="shared" si="5"/>
        <v>0</v>
      </c>
    </row>
    <row r="179" spans="1:5" x14ac:dyDescent="0.2">
      <c r="A179" s="943" t="str">
        <f>$A$135</f>
        <v>AI-3 Área interna Espaços Livres (saguão, hall, salão)</v>
      </c>
      <c r="B179" s="943"/>
      <c r="C179" s="1">
        <f>$D$139</f>
        <v>0</v>
      </c>
      <c r="D179" s="513">
        <f>'Produt. Postos PGR'!E3</f>
        <v>153.06</v>
      </c>
      <c r="E179" s="514">
        <f t="shared" si="5"/>
        <v>0</v>
      </c>
    </row>
    <row r="180" spans="1:5" x14ac:dyDescent="0.2">
      <c r="A180" s="943" t="str">
        <f>$A$144</f>
        <v>AI-4 Área interna  Banheiros</v>
      </c>
      <c r="B180" s="943"/>
      <c r="C180" s="1">
        <f>$D$148</f>
        <v>0</v>
      </c>
      <c r="D180" s="513">
        <f>'Produt. Postos PGR'!F3</f>
        <v>125.06</v>
      </c>
      <c r="E180" s="514">
        <f t="shared" si="5"/>
        <v>0</v>
      </c>
    </row>
    <row r="181" spans="1:5" x14ac:dyDescent="0.2">
      <c r="A181" s="943" t="str">
        <f>$A$152</f>
        <v>AE-1 Área Externa pisos adjacentes às edificações</v>
      </c>
      <c r="B181" s="943"/>
      <c r="C181" s="1">
        <f>$D$154</f>
        <v>0</v>
      </c>
      <c r="D181" s="513">
        <f>'Produt. Postos PGR'!G3</f>
        <v>1995</v>
      </c>
      <c r="E181" s="514">
        <f t="shared" si="5"/>
        <v>0</v>
      </c>
    </row>
    <row r="182" spans="1:5" x14ac:dyDescent="0.2">
      <c r="A182" s="943" t="str">
        <f>$A$155</f>
        <v>AE-2 Área Externa áreas verdes</v>
      </c>
      <c r="B182" s="943"/>
      <c r="C182" s="1">
        <f>$D$157</f>
        <v>0</v>
      </c>
      <c r="D182" s="513">
        <f>'Produt. Postos PGR'!H3</f>
        <v>1000</v>
      </c>
      <c r="E182" s="514">
        <f t="shared" si="5"/>
        <v>0</v>
      </c>
    </row>
    <row r="183" spans="1:5" x14ac:dyDescent="0.2">
      <c r="A183" s="943" t="str">
        <f>$A$158</f>
        <v>AE-3 Área Externa arruamento, passeios</v>
      </c>
      <c r="B183" s="943"/>
      <c r="C183" s="1">
        <f>$D$160</f>
        <v>0</v>
      </c>
      <c r="D183" s="513">
        <f>'Produt. Postos PGR'!I3</f>
        <v>480</v>
      </c>
      <c r="E183" s="514">
        <f t="shared" si="5"/>
        <v>0</v>
      </c>
    </row>
    <row r="184" spans="1:5" x14ac:dyDescent="0.2">
      <c r="A184" s="943" t="str">
        <f>$A$164</f>
        <v xml:space="preserve">EER Área de Esquadria Face Externa COM exposição a risco </v>
      </c>
      <c r="B184" s="943"/>
      <c r="C184" s="1">
        <f>$D$166</f>
        <v>0</v>
      </c>
      <c r="D184" s="513">
        <f>'Produt. Postos PGR'!J3</f>
        <v>210</v>
      </c>
      <c r="E184" s="514">
        <f t="shared" si="5"/>
        <v>0</v>
      </c>
    </row>
    <row r="185" spans="1:5" x14ac:dyDescent="0.2">
      <c r="A185" s="943" t="str">
        <f>$A$167</f>
        <v>EE Área de Esquadria Face Externa SEM exposição a risco</v>
      </c>
      <c r="B185" s="943"/>
      <c r="C185" s="1">
        <f>$D$169</f>
        <v>0</v>
      </c>
      <c r="D185" s="513">
        <f>'Produt. Postos PGR'!K3</f>
        <v>250</v>
      </c>
      <c r="E185" s="514">
        <f t="shared" si="5"/>
        <v>0</v>
      </c>
    </row>
    <row r="186" spans="1:5" x14ac:dyDescent="0.2">
      <c r="A186" s="943" t="str">
        <f>$A$170</f>
        <v>EI Área de Esquadria Face Interna</v>
      </c>
      <c r="B186" s="943"/>
      <c r="C186" s="1">
        <f>$D$172</f>
        <v>0</v>
      </c>
      <c r="D186" s="513">
        <f>'Produt. Postos PGR'!L3</f>
        <v>460</v>
      </c>
      <c r="E186" s="515">
        <f t="shared" si="5"/>
        <v>0</v>
      </c>
    </row>
    <row r="187" spans="1:5" x14ac:dyDescent="0.2">
      <c r="E187" s="516">
        <f>SUM(E177:E186)</f>
        <v>0</v>
      </c>
    </row>
    <row r="189" spans="1:5" ht="25.5" customHeight="1" x14ac:dyDescent="0.2">
      <c r="A189" s="941" t="s">
        <v>707</v>
      </c>
      <c r="B189" s="941"/>
      <c r="C189" s="941"/>
      <c r="D189" s="941"/>
      <c r="E189" s="941"/>
    </row>
    <row r="190" spans="1:5" ht="25.5" customHeight="1" x14ac:dyDescent="0.2">
      <c r="A190" s="942" t="s">
        <v>703</v>
      </c>
      <c r="B190" s="942"/>
      <c r="C190" s="734" t="s">
        <v>704</v>
      </c>
      <c r="D190" s="734" t="s">
        <v>705</v>
      </c>
      <c r="E190" s="734" t="s">
        <v>706</v>
      </c>
    </row>
    <row r="191" spans="1:5" x14ac:dyDescent="0.2">
      <c r="A191" s="943" t="str">
        <f>$A$117</f>
        <v>AI-1 Área Interna pisos frios</v>
      </c>
      <c r="B191" s="943"/>
      <c r="C191" s="1">
        <f>$D$121</f>
        <v>0</v>
      </c>
      <c r="D191" s="513">
        <f>'Produt. Postos PGR'!C4</f>
        <v>1552.8700000000001</v>
      </c>
      <c r="E191" s="514">
        <f t="shared" ref="E191:E200" si="6">C191*D191</f>
        <v>0</v>
      </c>
    </row>
    <row r="192" spans="1:5" x14ac:dyDescent="0.2">
      <c r="A192" s="943" t="str">
        <f>$A$126</f>
        <v>AI-2 Área interna (Almoxarifado, Galpões, arquivos )</v>
      </c>
      <c r="B192" s="943"/>
      <c r="C192" s="1">
        <f>$D$130</f>
        <v>0</v>
      </c>
      <c r="D192" s="513">
        <f>'Produt. Postos PGR'!D4</f>
        <v>0</v>
      </c>
      <c r="E192" s="514">
        <f t="shared" si="6"/>
        <v>0</v>
      </c>
    </row>
    <row r="193" spans="1:5" x14ac:dyDescent="0.2">
      <c r="A193" s="943" t="str">
        <f>$A$135</f>
        <v>AI-3 Área interna Espaços Livres (saguão, hall, salão)</v>
      </c>
      <c r="B193" s="943"/>
      <c r="C193" s="1">
        <f>$D$139</f>
        <v>0</v>
      </c>
      <c r="D193" s="513">
        <f>'Produt. Postos PGR'!E4</f>
        <v>70</v>
      </c>
      <c r="E193" s="514">
        <f t="shared" si="6"/>
        <v>0</v>
      </c>
    </row>
    <row r="194" spans="1:5" x14ac:dyDescent="0.2">
      <c r="A194" s="943" t="str">
        <f>$A$144</f>
        <v>AI-4 Área interna  Banheiros</v>
      </c>
      <c r="B194" s="943"/>
      <c r="C194" s="1">
        <f>$D$148</f>
        <v>0</v>
      </c>
      <c r="D194" s="513">
        <f>'Produt. Postos PGR'!F4</f>
        <v>125.06</v>
      </c>
      <c r="E194" s="514">
        <f t="shared" si="6"/>
        <v>0</v>
      </c>
    </row>
    <row r="195" spans="1:5" x14ac:dyDescent="0.2">
      <c r="A195" s="943" t="str">
        <f>$A$152</f>
        <v>AE-1 Área Externa pisos adjacentes às edificações</v>
      </c>
      <c r="B195" s="943"/>
      <c r="C195" s="1">
        <f>$D$154</f>
        <v>0</v>
      </c>
      <c r="D195" s="513">
        <f>'Produt. Postos PGR'!G4</f>
        <v>0</v>
      </c>
      <c r="E195" s="514">
        <f t="shared" si="6"/>
        <v>0</v>
      </c>
    </row>
    <row r="196" spans="1:5" x14ac:dyDescent="0.2">
      <c r="A196" s="943" t="str">
        <f>$A$155</f>
        <v>AE-2 Área Externa áreas verdes</v>
      </c>
      <c r="B196" s="943"/>
      <c r="C196" s="1">
        <f>$D$157</f>
        <v>0</v>
      </c>
      <c r="D196" s="513">
        <f>'Produt. Postos PGR'!H4</f>
        <v>0</v>
      </c>
      <c r="E196" s="514">
        <f t="shared" si="6"/>
        <v>0</v>
      </c>
    </row>
    <row r="197" spans="1:5" x14ac:dyDescent="0.2">
      <c r="A197" s="943" t="str">
        <f>$A$158</f>
        <v>AE-3 Área Externa arruamento, passeios</v>
      </c>
      <c r="B197" s="943"/>
      <c r="C197" s="1">
        <f>$D$160</f>
        <v>0</v>
      </c>
      <c r="D197" s="513">
        <f>'Produt. Postos PGR'!I4</f>
        <v>0</v>
      </c>
      <c r="E197" s="514">
        <f t="shared" si="6"/>
        <v>0</v>
      </c>
    </row>
    <row r="198" spans="1:5" x14ac:dyDescent="0.2">
      <c r="A198" s="943" t="str">
        <f>$A$164</f>
        <v xml:space="preserve">EER Área de Esquadria Face Externa COM exposição a risco </v>
      </c>
      <c r="B198" s="943"/>
      <c r="C198" s="1">
        <f>$D$166</f>
        <v>0</v>
      </c>
      <c r="D198" s="513">
        <f>'Produt. Postos PGR'!J4</f>
        <v>0</v>
      </c>
      <c r="E198" s="514">
        <f t="shared" si="6"/>
        <v>0</v>
      </c>
    </row>
    <row r="199" spans="1:5" x14ac:dyDescent="0.2">
      <c r="A199" s="943" t="str">
        <f>$A$167</f>
        <v>EE Área de Esquadria Face Externa SEM exposição a risco</v>
      </c>
      <c r="B199" s="943"/>
      <c r="C199" s="1">
        <f>$D$169</f>
        <v>0</v>
      </c>
      <c r="D199" s="513">
        <f>'Produt. Postos PGR'!K4</f>
        <v>0</v>
      </c>
      <c r="E199" s="514">
        <f t="shared" si="6"/>
        <v>0</v>
      </c>
    </row>
    <row r="200" spans="1:5" x14ac:dyDescent="0.2">
      <c r="A200" s="943" t="str">
        <f>$A$170</f>
        <v>EI Área de Esquadria Face Interna</v>
      </c>
      <c r="B200" s="943"/>
      <c r="C200" s="1">
        <f>$D$172</f>
        <v>0</v>
      </c>
      <c r="D200" s="513">
        <f>'Produt. Postos PGR'!L4</f>
        <v>0</v>
      </c>
      <c r="E200" s="515">
        <f t="shared" si="6"/>
        <v>0</v>
      </c>
    </row>
    <row r="201" spans="1:5" x14ac:dyDescent="0.2">
      <c r="E201" s="516">
        <f>SUM(E191:E200)</f>
        <v>0</v>
      </c>
    </row>
  </sheetData>
  <mergeCells count="57">
    <mergeCell ref="A199:B199"/>
    <mergeCell ref="A200:B200"/>
    <mergeCell ref="A194:B194"/>
    <mergeCell ref="A195:B195"/>
    <mergeCell ref="A196:B196"/>
    <mergeCell ref="A197:B197"/>
    <mergeCell ref="A198:B198"/>
    <mergeCell ref="A189:E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44:E144"/>
    <mergeCell ref="A150:E150"/>
    <mergeCell ref="A162:E162"/>
    <mergeCell ref="A175:E175"/>
    <mergeCell ref="A176:B176"/>
    <mergeCell ref="A113:B113"/>
    <mergeCell ref="A114:B114"/>
    <mergeCell ref="A117:E117"/>
    <mergeCell ref="A126:E126"/>
    <mergeCell ref="A135:E135"/>
    <mergeCell ref="A108:B108"/>
    <mergeCell ref="A109:B109"/>
    <mergeCell ref="A110:B110"/>
    <mergeCell ref="A111:B111"/>
    <mergeCell ref="A112:B112"/>
    <mergeCell ref="A103:E103"/>
    <mergeCell ref="A104:E104"/>
    <mergeCell ref="A105:B105"/>
    <mergeCell ref="A106:B106"/>
    <mergeCell ref="A107:B107"/>
    <mergeCell ref="A75:E75"/>
    <mergeCell ref="A83:E83"/>
    <mergeCell ref="A84:E84"/>
    <mergeCell ref="A92:E92"/>
    <mergeCell ref="A93:E93"/>
    <mergeCell ref="A21:E21"/>
    <mergeCell ref="A22:E22"/>
    <mergeCell ref="A53:E53"/>
    <mergeCell ref="A54:E54"/>
    <mergeCell ref="A74:E74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2779F605D534DA1B3FC3D1B1B4DA1" ma:contentTypeVersion="2" ma:contentTypeDescription="Create a new document." ma:contentTypeScope="" ma:versionID="0c1b59798d678cdec0ad717681e87593">
  <xsd:schema xmlns:xsd="http://www.w3.org/2001/XMLSchema" xmlns:xs="http://www.w3.org/2001/XMLSchema" xmlns:p="http://schemas.microsoft.com/office/2006/metadata/properties" xmlns:ns2="c3daeb68-ee4a-4fef-ab94-779009af24c2" targetNamespace="http://schemas.microsoft.com/office/2006/metadata/properties" ma:root="true" ma:fieldsID="d3f747f44ef4dfd9355a559db69f8d3f" ns2:_="">
    <xsd:import namespace="c3daeb68-ee4a-4fef-ab94-779009af2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eb68-ee4a-4fef-ab94-779009af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4AE09-B55C-4FF0-AC46-70B655957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eb68-ee4a-4fef-ab94-779009af2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4F0A3-A4BB-45F8-BD7A-1CB07186F02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c3daeb68-ee4a-4fef-ab94-779009af24c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719E4B-E10C-454E-9FAA-F290E79D1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33</vt:i4>
      </vt:variant>
    </vt:vector>
  </HeadingPairs>
  <TitlesOfParts>
    <vt:vector size="71" baseType="lpstr">
      <vt:lpstr>Modelo de Proposta</vt:lpstr>
      <vt:lpstr>M. Cal</vt:lpstr>
      <vt:lpstr>Insumos</vt:lpstr>
      <vt:lpstr>Resumo PGR e CTB</vt:lpstr>
      <vt:lpstr>End</vt:lpstr>
      <vt:lpstr>Carregador PGR e CTB</vt:lpstr>
      <vt:lpstr>Encar PGR e CTB</vt:lpstr>
      <vt:lpstr>Produt. Postos PGR</vt:lpstr>
      <vt:lpstr>PGR 40h</vt:lpstr>
      <vt:lpstr>PGR 30h</vt:lpstr>
      <vt:lpstr>Guar 40h</vt:lpstr>
      <vt:lpstr>Irat 40h</vt:lpstr>
      <vt:lpstr>Jag 30h</vt:lpstr>
      <vt:lpstr>Laran 30h</vt:lpstr>
      <vt:lpstr>T. Borba 40h</vt:lpstr>
      <vt:lpstr>U. Vit 40h</vt:lpstr>
      <vt:lpstr>Cast 40h</vt:lpstr>
      <vt:lpstr>Ibai 40h</vt:lpstr>
      <vt:lpstr>Pit 30h</vt:lpstr>
      <vt:lpstr>Arap 30h</vt:lpstr>
      <vt:lpstr>Imb 30h</vt:lpstr>
      <vt:lpstr>Prud 30h</vt:lpstr>
      <vt:lpstr>Pinhão 30h</vt:lpstr>
      <vt:lpstr>Palm 30h</vt:lpstr>
      <vt:lpstr>S. Mat 30h</vt:lpstr>
      <vt:lpstr>Produt. Postos CBT</vt:lpstr>
      <vt:lpstr>CRB 40h</vt:lpstr>
      <vt:lpstr>CRB 30h</vt:lpstr>
      <vt:lpstr>Par 40h</vt:lpstr>
      <vt:lpstr>Arauc 40h</vt:lpstr>
      <vt:lpstr>SJP 40h</vt:lpstr>
      <vt:lpstr>Colom 40h</vt:lpstr>
      <vt:lpstr>FRG 30h</vt:lpstr>
      <vt:lpstr>C. Largo 30h</vt:lpstr>
      <vt:lpstr>Pinhais 30h </vt:lpstr>
      <vt:lpstr>Lapa 30h</vt:lpstr>
      <vt:lpstr>Mand 30h</vt:lpstr>
      <vt:lpstr>Itap 30h</vt:lpstr>
      <vt:lpstr>'Modelo de Proposta'!Area_de_impressao</vt:lpstr>
      <vt:lpstr>'Arap 30h'!Print_Area</vt:lpstr>
      <vt:lpstr>'Arauc 40h'!Print_Area</vt:lpstr>
      <vt:lpstr>'C. Largo 30h'!Print_Area</vt:lpstr>
      <vt:lpstr>'Carregador PGR e CTB'!Print_Area</vt:lpstr>
      <vt:lpstr>'Cast 40h'!Print_Area</vt:lpstr>
      <vt:lpstr>'Colom 40h'!Print_Area</vt:lpstr>
      <vt:lpstr>'CRB 30h'!Print_Area</vt:lpstr>
      <vt:lpstr>'CRB 40h'!Print_Area</vt:lpstr>
      <vt:lpstr>'Encar PGR e CTB'!Print_Area</vt:lpstr>
      <vt:lpstr>'FRG 30h'!Print_Area</vt:lpstr>
      <vt:lpstr>'Guar 40h'!Print_Area</vt:lpstr>
      <vt:lpstr>'Ibai 40h'!Print_Area</vt:lpstr>
      <vt:lpstr>'Imb 30h'!Print_Area</vt:lpstr>
      <vt:lpstr>'Irat 40h'!Print_Area</vt:lpstr>
      <vt:lpstr>'Itap 30h'!Print_Area</vt:lpstr>
      <vt:lpstr>'Jag 30h'!Print_Area</vt:lpstr>
      <vt:lpstr>'Lapa 30h'!Print_Area</vt:lpstr>
      <vt:lpstr>'Laran 30h'!Print_Area</vt:lpstr>
      <vt:lpstr>'M. Cal'!Print_Area</vt:lpstr>
      <vt:lpstr>'Mand 30h'!Print_Area</vt:lpstr>
      <vt:lpstr>'Palm 30h'!Print_Area</vt:lpstr>
      <vt:lpstr>'Par 40h'!Print_Area</vt:lpstr>
      <vt:lpstr>'PGR 30h'!Print_Area</vt:lpstr>
      <vt:lpstr>'PGR 40h'!Print_Area</vt:lpstr>
      <vt:lpstr>'Pinhais 30h '!Print_Area</vt:lpstr>
      <vt:lpstr>'Pinhão 30h'!Print_Area</vt:lpstr>
      <vt:lpstr>'Pit 30h'!Print_Area</vt:lpstr>
      <vt:lpstr>'Prud 30h'!Print_Area</vt:lpstr>
      <vt:lpstr>'S. Mat 30h'!Print_Area</vt:lpstr>
      <vt:lpstr>'SJP 40h'!Print_Area</vt:lpstr>
      <vt:lpstr>'T. Borba 40h'!Print_Area</vt:lpstr>
      <vt:lpstr>'U. Vit 40h'!Print_Area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Carolina Alves Miranda</dc:creator>
  <cp:keywords/>
  <dc:description/>
  <cp:lastModifiedBy>inss</cp:lastModifiedBy>
  <cp:revision>89</cp:revision>
  <dcterms:created xsi:type="dcterms:W3CDTF">2020-03-17T09:48:25Z</dcterms:created>
  <dcterms:modified xsi:type="dcterms:W3CDTF">2021-10-14T17:46:54Z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0x0101002802779F605D534DA1B3FC3D1B1B4DA1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