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s\vanessa.marques\Documents\Documentos de licitações e contratos\Vigilancia centralizada - SUL\"/>
    </mc:Choice>
  </mc:AlternateContent>
  <xr:revisionPtr revIDLastSave="0" documentId="8_{BEFB0CF3-0852-4719-B90A-379869BCC744}" xr6:coauthVersionLast="47" xr6:coauthVersionMax="47" xr10:uidLastSave="{00000000-0000-0000-0000-000000000000}"/>
  <workbookProtection lockWindows="1"/>
  <bookViews>
    <workbookView xWindow="-120" yWindow="-120" windowWidth="29040" windowHeight="15840" tabRatio="603" activeTab="2" xr2:uid="{00000000-000D-0000-FFFF-FFFF00000000}"/>
  </bookViews>
  <sheets>
    <sheet name="RESUMO" sheetId="1" r:id="rId1"/>
    <sheet name="PR" sheetId="2" r:id="rId2"/>
    <sheet name="Insumos" sheetId="3" r:id="rId3"/>
    <sheet name="VT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8" i="4" l="1"/>
  <c r="E88" i="4" s="1"/>
  <c r="D86" i="4"/>
  <c r="E86" i="4" s="1"/>
  <c r="D85" i="4"/>
  <c r="E85" i="4" s="1"/>
  <c r="D81" i="4"/>
  <c r="E81" i="4" s="1"/>
  <c r="D79" i="4"/>
  <c r="E79" i="4" s="1"/>
  <c r="D78" i="4"/>
  <c r="E78" i="4" s="1"/>
  <c r="D77" i="4"/>
  <c r="E77" i="4" s="1"/>
  <c r="D76" i="4"/>
  <c r="E76" i="4" s="1"/>
  <c r="D75" i="4"/>
  <c r="E75" i="4" s="1"/>
  <c r="D74" i="4"/>
  <c r="E74" i="4" s="1"/>
  <c r="D73" i="4"/>
  <c r="E73" i="4" s="1"/>
  <c r="D72" i="4"/>
  <c r="E72" i="4" s="1"/>
  <c r="D71" i="4"/>
  <c r="E71" i="4" s="1"/>
  <c r="D70" i="4"/>
  <c r="E70" i="4" s="1"/>
  <c r="D69" i="4"/>
  <c r="E69" i="4" s="1"/>
  <c r="D68" i="4"/>
  <c r="E68" i="4" s="1"/>
  <c r="D67" i="4"/>
  <c r="E67" i="4" s="1"/>
  <c r="D63" i="4"/>
  <c r="E63" i="4" s="1"/>
  <c r="D61" i="4"/>
  <c r="E61" i="4" s="1"/>
  <c r="D60" i="4"/>
  <c r="E60" i="4" s="1"/>
  <c r="D59" i="4"/>
  <c r="E59" i="4" s="1"/>
  <c r="D57" i="4"/>
  <c r="E57" i="4" s="1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E49" i="4" s="1"/>
  <c r="D48" i="4"/>
  <c r="E48" i="4" s="1"/>
  <c r="D45" i="4"/>
  <c r="E45" i="4" s="1"/>
  <c r="D43" i="4"/>
  <c r="E43" i="4" s="1"/>
  <c r="D42" i="4"/>
  <c r="E42" i="4" s="1"/>
  <c r="D41" i="4"/>
  <c r="E41" i="4" s="1"/>
  <c r="D40" i="4"/>
  <c r="E40" i="4" s="1"/>
  <c r="D37" i="4"/>
  <c r="E37" i="4" s="1"/>
  <c r="D35" i="4"/>
  <c r="E35" i="4" s="1"/>
  <c r="D33" i="4"/>
  <c r="E33" i="4" s="1"/>
  <c r="D32" i="4"/>
  <c r="E32" i="4" s="1"/>
  <c r="D30" i="4"/>
  <c r="E30" i="4" s="1"/>
  <c r="D29" i="4"/>
  <c r="E29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D18" i="4"/>
  <c r="E18" i="4" s="1"/>
  <c r="D17" i="4"/>
  <c r="E17" i="4" s="1"/>
  <c r="D16" i="4"/>
  <c r="E16" i="4" s="1"/>
  <c r="D15" i="4"/>
  <c r="E15" i="4" s="1"/>
  <c r="D14" i="4"/>
  <c r="E14" i="4" s="1"/>
  <c r="D13" i="4"/>
  <c r="E13" i="4" s="1"/>
  <c r="D12" i="4"/>
  <c r="E12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D5" i="4"/>
  <c r="C4" i="4"/>
  <c r="F35" i="3"/>
  <c r="F34" i="3"/>
  <c r="F33" i="3"/>
  <c r="F32" i="3"/>
  <c r="F31" i="3"/>
  <c r="F23" i="3"/>
  <c r="D23" i="3"/>
  <c r="F22" i="3"/>
  <c r="D22" i="3"/>
  <c r="F9" i="3"/>
  <c r="F8" i="3"/>
  <c r="F7" i="3"/>
  <c r="F6" i="3"/>
  <c r="F5" i="3"/>
  <c r="F10" i="3" s="1"/>
  <c r="F11" i="3" s="1"/>
  <c r="B115" i="2"/>
  <c r="B112" i="2"/>
  <c r="B109" i="2"/>
  <c r="B106" i="2"/>
  <c r="B103" i="2"/>
  <c r="B100" i="2"/>
  <c r="F90" i="2"/>
  <c r="B90" i="2"/>
  <c r="E85" i="2"/>
  <c r="D85" i="2"/>
  <c r="C85" i="2"/>
  <c r="B85" i="2"/>
  <c r="B79" i="2"/>
  <c r="B84" i="2" s="1"/>
  <c r="B86" i="2" s="1"/>
  <c r="B59" i="2"/>
  <c r="B58" i="2"/>
  <c r="B55" i="2"/>
  <c r="B54" i="2"/>
  <c r="G43" i="2"/>
  <c r="F43" i="2"/>
  <c r="E43" i="2"/>
  <c r="D43" i="2"/>
  <c r="C43" i="2"/>
  <c r="G42" i="2"/>
  <c r="F42" i="2"/>
  <c r="E42" i="2"/>
  <c r="D42" i="2"/>
  <c r="C42" i="2"/>
  <c r="G41" i="2"/>
  <c r="F41" i="2"/>
  <c r="E41" i="2"/>
  <c r="D41" i="2"/>
  <c r="C41" i="2"/>
  <c r="B38" i="2"/>
  <c r="B48" i="2" s="1"/>
  <c r="B26" i="2"/>
  <c r="B47" i="2" s="1"/>
  <c r="B25" i="2"/>
  <c r="B23" i="2"/>
  <c r="D13" i="2"/>
  <c r="D19" i="2" s="1"/>
  <c r="G12" i="2"/>
  <c r="D12" i="2"/>
  <c r="G6" i="2"/>
  <c r="F6" i="2"/>
  <c r="E6" i="2"/>
  <c r="D6" i="2"/>
  <c r="G5" i="2"/>
  <c r="F5" i="2"/>
  <c r="E5" i="2"/>
  <c r="D5" i="2"/>
  <c r="G4" i="2"/>
  <c r="F4" i="2"/>
  <c r="F12" i="2" s="1"/>
  <c r="F13" i="2" s="1"/>
  <c r="E4" i="2"/>
  <c r="E12" i="2" s="1"/>
  <c r="C4" i="2"/>
  <c r="C12" i="2" s="1"/>
  <c r="C91" i="1"/>
  <c r="K88" i="1"/>
  <c r="K91" i="1" s="1"/>
  <c r="K92" i="1" s="1"/>
  <c r="F88" i="1"/>
  <c r="F91" i="1" s="1"/>
  <c r="E88" i="1"/>
  <c r="E91" i="1" s="1"/>
  <c r="D88" i="1"/>
  <c r="D91" i="1" s="1"/>
  <c r="D24" i="3" s="1"/>
  <c r="F24" i="3" s="1"/>
  <c r="C88" i="1"/>
  <c r="C13" i="2" l="1"/>
  <c r="C19" i="2" s="1"/>
  <c r="D20" i="3"/>
  <c r="F20" i="3" s="1"/>
  <c r="D18" i="3"/>
  <c r="F18" i="3" s="1"/>
  <c r="D21" i="3"/>
  <c r="F21" i="3" s="1"/>
  <c r="D19" i="3"/>
  <c r="F19" i="3" s="1"/>
  <c r="D17" i="3"/>
  <c r="F17" i="3" s="1"/>
  <c r="F25" i="3" s="1"/>
  <c r="B91" i="2" s="1"/>
  <c r="B94" i="2" s="1"/>
  <c r="D25" i="2"/>
  <c r="D64" i="2" s="1"/>
  <c r="D128" i="2"/>
  <c r="D24" i="2"/>
  <c r="D63" i="2" s="1"/>
  <c r="D23" i="2"/>
  <c r="E13" i="2"/>
  <c r="E16" i="2" s="1"/>
  <c r="E15" i="2"/>
  <c r="F81" i="2"/>
  <c r="F85" i="2" s="1"/>
  <c r="F19" i="2"/>
  <c r="G15" i="2"/>
  <c r="G19" i="2"/>
  <c r="G16" i="2"/>
  <c r="G13" i="2"/>
  <c r="G81" i="2" s="1"/>
  <c r="G85" i="2" s="1"/>
  <c r="F36" i="3"/>
  <c r="C92" i="2" s="1"/>
  <c r="F38" i="3"/>
  <c r="F37" i="3"/>
  <c r="E90" i="2"/>
  <c r="D90" i="2"/>
  <c r="G90" i="2"/>
  <c r="C90" i="2"/>
  <c r="D89" i="4"/>
  <c r="E5" i="4"/>
  <c r="E89" i="4" s="1"/>
  <c r="E4" i="4" s="1"/>
  <c r="B40" i="2" s="1"/>
  <c r="E19" i="2" l="1"/>
  <c r="C128" i="2"/>
  <c r="C25" i="2"/>
  <c r="C64" i="2" s="1"/>
  <c r="C24" i="2"/>
  <c r="C63" i="2" s="1"/>
  <c r="C23" i="2"/>
  <c r="E40" i="2"/>
  <c r="E45" i="2" s="1"/>
  <c r="E49" i="2" s="1"/>
  <c r="D40" i="2"/>
  <c r="D45" i="2" s="1"/>
  <c r="D49" i="2" s="1"/>
  <c r="G40" i="2"/>
  <c r="G45" i="2" s="1"/>
  <c r="G49" i="2" s="1"/>
  <c r="C40" i="2"/>
  <c r="C45" i="2" s="1"/>
  <c r="C49" i="2" s="1"/>
  <c r="F40" i="2"/>
  <c r="F45" i="2" s="1"/>
  <c r="F49" i="2" s="1"/>
  <c r="G94" i="2"/>
  <c r="G132" i="2" s="1"/>
  <c r="E92" i="2"/>
  <c r="D92" i="2"/>
  <c r="D62" i="2"/>
  <c r="D65" i="2" s="1"/>
  <c r="D69" i="2" s="1"/>
  <c r="D26" i="2"/>
  <c r="G128" i="2"/>
  <c r="G25" i="2"/>
  <c r="G64" i="2" s="1"/>
  <c r="G24" i="2"/>
  <c r="G63" i="2" s="1"/>
  <c r="G23" i="2"/>
  <c r="G91" i="2"/>
  <c r="C91" i="2"/>
  <c r="C94" i="2" s="1"/>
  <c r="C132" i="2" s="1"/>
  <c r="F91" i="2"/>
  <c r="E91" i="2"/>
  <c r="E94" i="2" s="1"/>
  <c r="E132" i="2" s="1"/>
  <c r="D91" i="2"/>
  <c r="D94" i="2"/>
  <c r="D132" i="2" s="1"/>
  <c r="F92" i="2"/>
  <c r="G92" i="2"/>
  <c r="F128" i="2"/>
  <c r="F23" i="2"/>
  <c r="F25" i="2"/>
  <c r="F64" i="2" s="1"/>
  <c r="F24" i="2"/>
  <c r="F63" i="2" s="1"/>
  <c r="F62" i="2" l="1"/>
  <c r="F65" i="2" s="1"/>
  <c r="F69" i="2" s="1"/>
  <c r="F26" i="2"/>
  <c r="D47" i="2"/>
  <c r="D31" i="2"/>
  <c r="D30" i="2"/>
  <c r="D33" i="2"/>
  <c r="D37" i="2"/>
  <c r="D34" i="2"/>
  <c r="D54" i="2"/>
  <c r="D29" i="2"/>
  <c r="D32" i="2"/>
  <c r="D35" i="2"/>
  <c r="G62" i="2"/>
  <c r="G65" i="2" s="1"/>
  <c r="G69" i="2" s="1"/>
  <c r="G26" i="2"/>
  <c r="F94" i="2"/>
  <c r="F132" i="2" s="1"/>
  <c r="C62" i="2"/>
  <c r="C65" i="2" s="1"/>
  <c r="C69" i="2" s="1"/>
  <c r="C26" i="2"/>
  <c r="E128" i="2"/>
  <c r="E24" i="2"/>
  <c r="E63" i="2" s="1"/>
  <c r="E23" i="2"/>
  <c r="E25" i="2"/>
  <c r="E64" i="2" s="1"/>
  <c r="C47" i="2" l="1"/>
  <c r="C34" i="2"/>
  <c r="C29" i="2"/>
  <c r="C30" i="2"/>
  <c r="C54" i="2"/>
  <c r="C37" i="2"/>
  <c r="C35" i="2"/>
  <c r="C33" i="2"/>
  <c r="C32" i="2"/>
  <c r="C31" i="2"/>
  <c r="D55" i="2"/>
  <c r="D56" i="2" s="1"/>
  <c r="D67" i="2" s="1"/>
  <c r="D59" i="2"/>
  <c r="E26" i="2"/>
  <c r="E62" i="2"/>
  <c r="E65" i="2" s="1"/>
  <c r="E69" i="2" s="1"/>
  <c r="G47" i="2"/>
  <c r="G29" i="2"/>
  <c r="G35" i="2"/>
  <c r="G33" i="2"/>
  <c r="G30" i="2"/>
  <c r="G32" i="2"/>
  <c r="G34" i="2"/>
  <c r="G37" i="2"/>
  <c r="G31" i="2"/>
  <c r="D38" i="2"/>
  <c r="D48" i="2" s="1"/>
  <c r="D50" i="2" s="1"/>
  <c r="F47" i="2"/>
  <c r="F34" i="2"/>
  <c r="F33" i="2"/>
  <c r="F32" i="2"/>
  <c r="F30" i="2"/>
  <c r="F37" i="2"/>
  <c r="F54" i="2" s="1"/>
  <c r="F35" i="2"/>
  <c r="F29" i="2"/>
  <c r="F31" i="2"/>
  <c r="D129" i="2" l="1"/>
  <c r="D58" i="2"/>
  <c r="D60" i="2" s="1"/>
  <c r="D68" i="2" s="1"/>
  <c r="D77" i="2"/>
  <c r="D75" i="2"/>
  <c r="D70" i="2"/>
  <c r="D130" i="2" s="1"/>
  <c r="E47" i="2"/>
  <c r="E32" i="2"/>
  <c r="E34" i="2"/>
  <c r="E31" i="2"/>
  <c r="E35" i="2"/>
  <c r="E30" i="2"/>
  <c r="E33" i="2"/>
  <c r="E37" i="2"/>
  <c r="E29" i="2"/>
  <c r="E38" i="2" s="1"/>
  <c r="E48" i="2" s="1"/>
  <c r="C55" i="2"/>
  <c r="C59" i="2"/>
  <c r="C56" i="2"/>
  <c r="C67" i="2" s="1"/>
  <c r="C50" i="2"/>
  <c r="G38" i="2"/>
  <c r="G48" i="2" s="1"/>
  <c r="G55" i="2"/>
  <c r="G59" i="2"/>
  <c r="G54" i="2"/>
  <c r="G56" i="2" s="1"/>
  <c r="G67" i="2" s="1"/>
  <c r="G50" i="2"/>
  <c r="F55" i="2"/>
  <c r="F56" i="2" s="1"/>
  <c r="F67" i="2" s="1"/>
  <c r="F59" i="2"/>
  <c r="F38" i="2"/>
  <c r="F48" i="2" s="1"/>
  <c r="F50" i="2" s="1"/>
  <c r="C38" i="2"/>
  <c r="C48" i="2" s="1"/>
  <c r="F129" i="2" l="1"/>
  <c r="F58" i="2"/>
  <c r="F60" i="2" s="1"/>
  <c r="F68" i="2" s="1"/>
  <c r="F76" i="2"/>
  <c r="F74" i="2"/>
  <c r="F77" i="2"/>
  <c r="F70" i="2"/>
  <c r="F130" i="2" s="1"/>
  <c r="E50" i="2"/>
  <c r="C129" i="2"/>
  <c r="C58" i="2"/>
  <c r="C60" i="2" s="1"/>
  <c r="C68" i="2" s="1"/>
  <c r="C70" i="2" s="1"/>
  <c r="D76" i="2"/>
  <c r="D74" i="2"/>
  <c r="D79" i="2" s="1"/>
  <c r="D84" i="2" s="1"/>
  <c r="D86" i="2" s="1"/>
  <c r="E55" i="2"/>
  <c r="E59" i="2"/>
  <c r="G129" i="2"/>
  <c r="G58" i="2"/>
  <c r="G60" i="2" s="1"/>
  <c r="G68" i="2" s="1"/>
  <c r="G70" i="2" s="1"/>
  <c r="E54" i="2"/>
  <c r="G130" i="2" l="1"/>
  <c r="G74" i="2"/>
  <c r="G76" i="2"/>
  <c r="G77" i="2"/>
  <c r="G75" i="2"/>
  <c r="C130" i="2"/>
  <c r="C76" i="2"/>
  <c r="C74" i="2"/>
  <c r="C79" i="2" s="1"/>
  <c r="C84" i="2" s="1"/>
  <c r="C86" i="2" s="1"/>
  <c r="C131" i="2" s="1"/>
  <c r="C133" i="2" s="1"/>
  <c r="C75" i="2"/>
  <c r="C77" i="2"/>
  <c r="E129" i="2"/>
  <c r="E58" i="2"/>
  <c r="E60" i="2" s="1"/>
  <c r="E68" i="2" s="1"/>
  <c r="E74" i="2"/>
  <c r="E76" i="2"/>
  <c r="D131" i="2"/>
  <c r="D133" i="2" s="1"/>
  <c r="D98" i="2"/>
  <c r="E56" i="2"/>
  <c r="E67" i="2" s="1"/>
  <c r="E70" i="2" s="1"/>
  <c r="E130" i="2" s="1"/>
  <c r="F75" i="2"/>
  <c r="F79" i="2" s="1"/>
  <c r="F84" i="2" s="1"/>
  <c r="F86" i="2" s="1"/>
  <c r="F131" i="2" l="1"/>
  <c r="F133" i="2" s="1"/>
  <c r="F98" i="2"/>
  <c r="G79" i="2"/>
  <c r="G84" i="2" s="1"/>
  <c r="G86" i="2" s="1"/>
  <c r="E77" i="2"/>
  <c r="E75" i="2"/>
  <c r="E79" i="2" s="1"/>
  <c r="E84" i="2" s="1"/>
  <c r="E86" i="2" s="1"/>
  <c r="C98" i="2"/>
  <c r="D99" i="2"/>
  <c r="D105" i="2" s="1"/>
  <c r="E131" i="2" l="1"/>
  <c r="E133" i="2" s="1"/>
  <c r="E98" i="2"/>
  <c r="D101" i="2"/>
  <c r="D104" i="2"/>
  <c r="D103" i="2" s="1"/>
  <c r="D113" i="2"/>
  <c r="D107" i="2"/>
  <c r="D111" i="2"/>
  <c r="D102" i="2"/>
  <c r="D110" i="2"/>
  <c r="D114" i="2"/>
  <c r="D116" i="2"/>
  <c r="D115" i="2" s="1"/>
  <c r="D123" i="2" s="1"/>
  <c r="D139" i="2" s="1"/>
  <c r="D145" i="2" s="1"/>
  <c r="D117" i="2"/>
  <c r="G131" i="2"/>
  <c r="G133" i="2" s="1"/>
  <c r="G99" i="2"/>
  <c r="G110" i="2" s="1"/>
  <c r="G98" i="2"/>
  <c r="F99" i="2"/>
  <c r="D119" i="2"/>
  <c r="C99" i="2"/>
  <c r="D108" i="2"/>
  <c r="D157" i="2" l="1"/>
  <c r="J83" i="1"/>
  <c r="J82" i="1"/>
  <c r="J81" i="1"/>
  <c r="J75" i="1"/>
  <c r="J72" i="1"/>
  <c r="D151" i="2"/>
  <c r="J36" i="1"/>
  <c r="C116" i="2"/>
  <c r="C113" i="2"/>
  <c r="C107" i="2"/>
  <c r="C104" i="2"/>
  <c r="C110" i="2"/>
  <c r="C101" i="2"/>
  <c r="G107" i="2"/>
  <c r="G102" i="2"/>
  <c r="G105" i="2"/>
  <c r="C108" i="2"/>
  <c r="F117" i="2"/>
  <c r="D100" i="2"/>
  <c r="D118" i="2" s="1"/>
  <c r="D134" i="2" s="1"/>
  <c r="D140" i="2" s="1"/>
  <c r="C105" i="2"/>
  <c r="E108" i="2"/>
  <c r="E99" i="2"/>
  <c r="F116" i="2"/>
  <c r="F115" i="2" s="1"/>
  <c r="F123" i="2" s="1"/>
  <c r="F139" i="2" s="1"/>
  <c r="F145" i="2" s="1"/>
  <c r="F151" i="2" s="1"/>
  <c r="F101" i="2"/>
  <c r="F104" i="2"/>
  <c r="F113" i="2"/>
  <c r="F107" i="2"/>
  <c r="F110" i="2"/>
  <c r="G117" i="2"/>
  <c r="G108" i="2"/>
  <c r="C111" i="2"/>
  <c r="D135" i="2"/>
  <c r="D141" i="2" s="1"/>
  <c r="J8" i="1"/>
  <c r="F114" i="2"/>
  <c r="G113" i="2"/>
  <c r="G116" i="2"/>
  <c r="G104" i="2"/>
  <c r="G103" i="2" s="1"/>
  <c r="G119" i="2" s="1"/>
  <c r="G135" i="2" s="1"/>
  <c r="G141" i="2" s="1"/>
  <c r="D106" i="2"/>
  <c r="D120" i="2" s="1"/>
  <c r="D136" i="2" s="1"/>
  <c r="D142" i="2" s="1"/>
  <c r="F108" i="2"/>
  <c r="E117" i="2"/>
  <c r="G114" i="2"/>
  <c r="C117" i="2"/>
  <c r="C114" i="2"/>
  <c r="F102" i="2"/>
  <c r="G101" i="2"/>
  <c r="G100" i="2" s="1"/>
  <c r="G118" i="2" s="1"/>
  <c r="G134" i="2" s="1"/>
  <c r="G140" i="2" s="1"/>
  <c r="G146" i="2" s="1"/>
  <c r="G111" i="2"/>
  <c r="G109" i="2" s="1"/>
  <c r="G121" i="2" s="1"/>
  <c r="G137" i="2" s="1"/>
  <c r="G143" i="2" s="1"/>
  <c r="G149" i="2" s="1"/>
  <c r="C102" i="2"/>
  <c r="D109" i="2"/>
  <c r="D121" i="2" s="1"/>
  <c r="D137" i="2" s="1"/>
  <c r="D143" i="2" s="1"/>
  <c r="D112" i="2"/>
  <c r="D122" i="2" s="1"/>
  <c r="D138" i="2" s="1"/>
  <c r="D144" i="2" s="1"/>
  <c r="F111" i="2"/>
  <c r="E111" i="2"/>
  <c r="E114" i="2"/>
  <c r="F105" i="2"/>
  <c r="G147" i="2" l="1"/>
  <c r="H7" i="1"/>
  <c r="H40" i="1"/>
  <c r="H8" i="1"/>
  <c r="H4" i="1"/>
  <c r="F112" i="2"/>
  <c r="F122" i="2" s="1"/>
  <c r="F138" i="2" s="1"/>
  <c r="F144" i="2" s="1"/>
  <c r="F150" i="2" s="1"/>
  <c r="E107" i="2"/>
  <c r="E106" i="2" s="1"/>
  <c r="E110" i="2"/>
  <c r="E109" i="2" s="1"/>
  <c r="E116" i="2"/>
  <c r="E115" i="2" s="1"/>
  <c r="E101" i="2"/>
  <c r="E113" i="2"/>
  <c r="E112" i="2" s="1"/>
  <c r="E122" i="2" s="1"/>
  <c r="E138" i="2" s="1"/>
  <c r="E144" i="2" s="1"/>
  <c r="E104" i="2"/>
  <c r="E103" i="2" s="1"/>
  <c r="E102" i="2"/>
  <c r="G106" i="2"/>
  <c r="G120" i="2" s="1"/>
  <c r="G136" i="2" s="1"/>
  <c r="G142" i="2" s="1"/>
  <c r="C109" i="2"/>
  <c r="C121" i="2" s="1"/>
  <c r="C137" i="2" s="1"/>
  <c r="C143" i="2" s="1"/>
  <c r="C149" i="2" s="1"/>
  <c r="C115" i="2"/>
  <c r="C123" i="2" s="1"/>
  <c r="C139" i="2" s="1"/>
  <c r="C145" i="2" s="1"/>
  <c r="F103" i="2"/>
  <c r="F119" i="2" s="1"/>
  <c r="F135" i="2" s="1"/>
  <c r="F141" i="2" s="1"/>
  <c r="F147" i="2" s="1"/>
  <c r="E121" i="2"/>
  <c r="E137" i="2" s="1"/>
  <c r="E143" i="2" s="1"/>
  <c r="C103" i="2"/>
  <c r="C119" i="2" s="1"/>
  <c r="C135" i="2" s="1"/>
  <c r="C141" i="2" s="1"/>
  <c r="E105" i="2"/>
  <c r="D150" i="2"/>
  <c r="D156" i="2"/>
  <c r="J10" i="1"/>
  <c r="J29" i="1"/>
  <c r="J85" i="1"/>
  <c r="D148" i="2"/>
  <c r="J78" i="1"/>
  <c r="D154" i="2"/>
  <c r="J84" i="1"/>
  <c r="J87" i="1"/>
  <c r="J49" i="1"/>
  <c r="J35" i="1"/>
  <c r="J33" i="1"/>
  <c r="J32" i="1"/>
  <c r="J30" i="1"/>
  <c r="G115" i="2"/>
  <c r="G123" i="2" s="1"/>
  <c r="G139" i="2" s="1"/>
  <c r="G145" i="2" s="1"/>
  <c r="D153" i="2"/>
  <c r="D147" i="2"/>
  <c r="J19" i="1"/>
  <c r="J7" i="1"/>
  <c r="J9" i="1"/>
  <c r="F109" i="2"/>
  <c r="F121" i="2" s="1"/>
  <c r="F137" i="2" s="1"/>
  <c r="F143" i="2" s="1"/>
  <c r="F149" i="2" s="1"/>
  <c r="F100" i="2"/>
  <c r="F118" i="2" s="1"/>
  <c r="F134" i="2" s="1"/>
  <c r="F140" i="2" s="1"/>
  <c r="F146" i="2" s="1"/>
  <c r="E119" i="2"/>
  <c r="E135" i="2" s="1"/>
  <c r="E141" i="2" s="1"/>
  <c r="C106" i="2"/>
  <c r="C120" i="2" s="1"/>
  <c r="C136" i="2" s="1"/>
  <c r="C142" i="2" s="1"/>
  <c r="L71" i="1"/>
  <c r="L65" i="1"/>
  <c r="L60" i="1"/>
  <c r="L72" i="1"/>
  <c r="L83" i="1"/>
  <c r="L75" i="1"/>
  <c r="L55" i="1"/>
  <c r="L54" i="1"/>
  <c r="L50" i="1"/>
  <c r="L36" i="1"/>
  <c r="L81" i="1"/>
  <c r="L11" i="1"/>
  <c r="L82" i="1"/>
  <c r="L74" i="1"/>
  <c r="L44" i="1"/>
  <c r="L42" i="1"/>
  <c r="L41" i="1"/>
  <c r="L12" i="1"/>
  <c r="D149" i="2"/>
  <c r="D155" i="2"/>
  <c r="G112" i="2"/>
  <c r="G122" i="2" s="1"/>
  <c r="G138" i="2" s="1"/>
  <c r="G144" i="2" s="1"/>
  <c r="F106" i="2"/>
  <c r="F120" i="2" s="1"/>
  <c r="F136" i="2" s="1"/>
  <c r="F142" i="2" s="1"/>
  <c r="E120" i="2"/>
  <c r="E136" i="2" s="1"/>
  <c r="E142" i="2" s="1"/>
  <c r="E123" i="2"/>
  <c r="E139" i="2" s="1"/>
  <c r="E145" i="2" s="1"/>
  <c r="D146" i="2"/>
  <c r="D152" i="2"/>
  <c r="J80" i="1"/>
  <c r="J18" i="1"/>
  <c r="J17" i="1"/>
  <c r="J14" i="1"/>
  <c r="J38" i="1"/>
  <c r="C100" i="2"/>
  <c r="C118" i="2" s="1"/>
  <c r="C134" i="2" s="1"/>
  <c r="C140" i="2" s="1"/>
  <c r="C112" i="2"/>
  <c r="C122" i="2" s="1"/>
  <c r="C138" i="2" s="1"/>
  <c r="C144" i="2" s="1"/>
  <c r="E156" i="2" l="1"/>
  <c r="E150" i="2"/>
  <c r="L66" i="1"/>
  <c r="L80" i="1"/>
  <c r="L73" i="1"/>
  <c r="L16" i="1"/>
  <c r="L38" i="1"/>
  <c r="L26" i="1"/>
  <c r="L17" i="1"/>
  <c r="L14" i="1"/>
  <c r="L18" i="1"/>
  <c r="E155" i="2"/>
  <c r="E149" i="2"/>
  <c r="G150" i="2"/>
  <c r="H59" i="1"/>
  <c r="H10" i="1"/>
  <c r="J88" i="1"/>
  <c r="J91" i="1" s="1"/>
  <c r="J92" i="1" s="1"/>
  <c r="G151" i="2"/>
  <c r="H41" i="1"/>
  <c r="L70" i="1"/>
  <c r="L69" i="1"/>
  <c r="L67" i="1"/>
  <c r="L63" i="1"/>
  <c r="L62" i="1"/>
  <c r="L87" i="1"/>
  <c r="L84" i="1"/>
  <c r="L68" i="1"/>
  <c r="L58" i="1"/>
  <c r="L39" i="1"/>
  <c r="L28" i="1"/>
  <c r="L25" i="1"/>
  <c r="L22" i="1"/>
  <c r="L13" i="1"/>
  <c r="L79" i="1"/>
  <c r="L57" i="1"/>
  <c r="L53" i="1"/>
  <c r="L52" i="1"/>
  <c r="L51" i="1"/>
  <c r="L49" i="1"/>
  <c r="L37" i="1"/>
  <c r="L35" i="1"/>
  <c r="L34" i="1"/>
  <c r="L33" i="1"/>
  <c r="L32" i="1"/>
  <c r="L24" i="1"/>
  <c r="L78" i="1"/>
  <c r="L48" i="1"/>
  <c r="L47" i="1"/>
  <c r="L46" i="1"/>
  <c r="L45" i="1"/>
  <c r="L31" i="1"/>
  <c r="L30" i="1"/>
  <c r="L77" i="1"/>
  <c r="L27" i="1"/>
  <c r="L20" i="1"/>
  <c r="L15" i="1"/>
  <c r="G148" i="2"/>
  <c r="H68" i="1"/>
  <c r="H39" i="1"/>
  <c r="H58" i="1"/>
  <c r="E147" i="2"/>
  <c r="E153" i="2"/>
  <c r="L76" i="1"/>
  <c r="L7" i="1"/>
  <c r="L4" i="1"/>
  <c r="L19" i="1"/>
  <c r="L9" i="1"/>
  <c r="L5" i="1"/>
  <c r="L8" i="1"/>
  <c r="L6" i="1"/>
  <c r="L40" i="1"/>
  <c r="C150" i="2"/>
  <c r="I64" i="1"/>
  <c r="I61" i="1"/>
  <c r="I59" i="1"/>
  <c r="I29" i="1"/>
  <c r="I23" i="1"/>
  <c r="I21" i="1"/>
  <c r="I10" i="1"/>
  <c r="I56" i="1"/>
  <c r="I43" i="1"/>
  <c r="E151" i="2"/>
  <c r="E157" i="2"/>
  <c r="E100" i="2"/>
  <c r="E118" i="2" s="1"/>
  <c r="E134" i="2" s="1"/>
  <c r="E140" i="2" s="1"/>
  <c r="F148" i="2"/>
  <c r="G68" i="1"/>
  <c r="G20" i="1"/>
  <c r="G39" i="1"/>
  <c r="C146" i="2"/>
  <c r="I73" i="1"/>
  <c r="I66" i="1"/>
  <c r="I26" i="1"/>
  <c r="I16" i="1"/>
  <c r="E154" i="2"/>
  <c r="E148" i="2"/>
  <c r="C148" i="2"/>
  <c r="I84" i="1"/>
  <c r="I79" i="1"/>
  <c r="I77" i="1"/>
  <c r="I70" i="1"/>
  <c r="I67" i="1"/>
  <c r="I63" i="1"/>
  <c r="I62" i="1"/>
  <c r="I28" i="1"/>
  <c r="I27" i="1"/>
  <c r="I25" i="1"/>
  <c r="I24" i="1"/>
  <c r="I22" i="1"/>
  <c r="I15" i="1"/>
  <c r="I13" i="1"/>
  <c r="I48" i="1"/>
  <c r="I45" i="1"/>
  <c r="I31" i="1"/>
  <c r="I58" i="1"/>
  <c r="I49" i="1"/>
  <c r="I46" i="1"/>
  <c r="I57" i="1"/>
  <c r="I53" i="1"/>
  <c r="I52" i="1"/>
  <c r="I51" i="1"/>
  <c r="I37" i="1"/>
  <c r="I34" i="1"/>
  <c r="I47" i="1"/>
  <c r="I32" i="1"/>
  <c r="L64" i="1"/>
  <c r="L61" i="1"/>
  <c r="L59" i="1"/>
  <c r="L85" i="1"/>
  <c r="L10" i="1"/>
  <c r="L56" i="1"/>
  <c r="L21" i="1"/>
  <c r="L43" i="1"/>
  <c r="L29" i="1"/>
  <c r="L23" i="1"/>
  <c r="C147" i="2"/>
  <c r="I76" i="1"/>
  <c r="I40" i="1"/>
  <c r="I8" i="1"/>
  <c r="I4" i="1"/>
  <c r="I9" i="1"/>
  <c r="I7" i="1"/>
  <c r="C151" i="2"/>
  <c r="I74" i="1"/>
  <c r="I72" i="1"/>
  <c r="I71" i="1"/>
  <c r="I65" i="1"/>
  <c r="I60" i="1"/>
  <c r="I12" i="1"/>
  <c r="I11" i="1"/>
  <c r="I42" i="1"/>
  <c r="I44" i="1"/>
  <c r="I41" i="1"/>
  <c r="I55" i="1"/>
  <c r="I54" i="1"/>
  <c r="I50" i="1"/>
  <c r="H88" i="1"/>
  <c r="H91" i="1" s="1"/>
  <c r="H92" i="1" s="1"/>
  <c r="L88" i="1" l="1"/>
  <c r="L91" i="1" s="1"/>
  <c r="L92" i="1" s="1"/>
  <c r="O63" i="1"/>
  <c r="M58" i="1"/>
  <c r="M87" i="1"/>
  <c r="O87" i="1" s="1"/>
  <c r="M84" i="1"/>
  <c r="M79" i="1"/>
  <c r="O79" i="1" s="1"/>
  <c r="M78" i="1"/>
  <c r="O78" i="1" s="1"/>
  <c r="M77" i="1"/>
  <c r="O77" i="1" s="1"/>
  <c r="M68" i="1"/>
  <c r="M57" i="1"/>
  <c r="M53" i="1"/>
  <c r="O53" i="1" s="1"/>
  <c r="M52" i="1"/>
  <c r="O52" i="1" s="1"/>
  <c r="M51" i="1"/>
  <c r="M49" i="1"/>
  <c r="O49" i="1" s="1"/>
  <c r="M37" i="1"/>
  <c r="M35" i="1"/>
  <c r="O35" i="1" s="1"/>
  <c r="M34" i="1"/>
  <c r="O34" i="1" s="1"/>
  <c r="M33" i="1"/>
  <c r="O33" i="1" s="1"/>
  <c r="M32" i="1"/>
  <c r="M39" i="1"/>
  <c r="M67" i="1"/>
  <c r="M63" i="1"/>
  <c r="M48" i="1"/>
  <c r="O48" i="1" s="1"/>
  <c r="M47" i="1"/>
  <c r="O47" i="1" s="1"/>
  <c r="M46" i="1"/>
  <c r="M45" i="1"/>
  <c r="M31" i="1"/>
  <c r="M30" i="1"/>
  <c r="O30" i="1" s="1"/>
  <c r="M69" i="1"/>
  <c r="M70" i="1"/>
  <c r="M62" i="1"/>
  <c r="O62" i="1" s="1"/>
  <c r="M28" i="1"/>
  <c r="M27" i="1"/>
  <c r="O27" i="1" s="1"/>
  <c r="M25" i="1"/>
  <c r="O25" i="1" s="1"/>
  <c r="M24" i="1"/>
  <c r="O24" i="1" s="1"/>
  <c r="M22" i="1"/>
  <c r="M20" i="1"/>
  <c r="M15" i="1"/>
  <c r="M13" i="1"/>
  <c r="O13" i="1" s="1"/>
  <c r="O39" i="1"/>
  <c r="O37" i="1"/>
  <c r="O57" i="1"/>
  <c r="O31" i="1"/>
  <c r="O15" i="1"/>
  <c r="O67" i="1"/>
  <c r="O84" i="1"/>
  <c r="G88" i="1"/>
  <c r="G91" i="1" s="1"/>
  <c r="G92" i="1" s="1"/>
  <c r="O20" i="1"/>
  <c r="E152" i="2"/>
  <c r="E146" i="2"/>
  <c r="M83" i="1"/>
  <c r="O83" i="1" s="1"/>
  <c r="M82" i="1"/>
  <c r="O82" i="1" s="1"/>
  <c r="M81" i="1"/>
  <c r="O81" i="1" s="1"/>
  <c r="M75" i="1"/>
  <c r="O75" i="1" s="1"/>
  <c r="M74" i="1"/>
  <c r="O74" i="1" s="1"/>
  <c r="M72" i="1"/>
  <c r="O72" i="1" s="1"/>
  <c r="M60" i="1"/>
  <c r="M55" i="1"/>
  <c r="O55" i="1" s="1"/>
  <c r="M54" i="1"/>
  <c r="O54" i="1" s="1"/>
  <c r="M50" i="1"/>
  <c r="M36" i="1"/>
  <c r="O36" i="1" s="1"/>
  <c r="M71" i="1"/>
  <c r="O71" i="1" s="1"/>
  <c r="M44" i="1"/>
  <c r="O44" i="1" s="1"/>
  <c r="M42" i="1"/>
  <c r="O42" i="1" s="1"/>
  <c r="M41" i="1"/>
  <c r="O41" i="1" s="1"/>
  <c r="M12" i="1"/>
  <c r="O12" i="1" s="1"/>
  <c r="M11" i="1"/>
  <c r="O11" i="1" s="1"/>
  <c r="M65" i="1"/>
  <c r="O65" i="1" s="1"/>
  <c r="O69" i="1"/>
  <c r="M85" i="1"/>
  <c r="O85" i="1" s="1"/>
  <c r="M64" i="1"/>
  <c r="O64" i="1" s="1"/>
  <c r="M56" i="1"/>
  <c r="O56" i="1" s="1"/>
  <c r="M59" i="1"/>
  <c r="O59" i="1" s="1"/>
  <c r="M43" i="1"/>
  <c r="O43" i="1" s="1"/>
  <c r="M29" i="1"/>
  <c r="O29" i="1" s="1"/>
  <c r="M61" i="1"/>
  <c r="M23" i="1"/>
  <c r="O23" i="1" s="1"/>
  <c r="M21" i="1"/>
  <c r="M10" i="1"/>
  <c r="O10" i="1" s="1"/>
  <c r="O50" i="1"/>
  <c r="O60" i="1"/>
  <c r="I88" i="1"/>
  <c r="I91" i="1" s="1"/>
  <c r="I92" i="1" s="1"/>
  <c r="O32" i="1"/>
  <c r="O51" i="1"/>
  <c r="O46" i="1"/>
  <c r="O45" i="1"/>
  <c r="O22" i="1"/>
  <c r="O28" i="1"/>
  <c r="O70" i="1"/>
  <c r="O68" i="1"/>
  <c r="O21" i="1"/>
  <c r="O61" i="1"/>
  <c r="M76" i="1"/>
  <c r="O76" i="1" s="1"/>
  <c r="M9" i="1"/>
  <c r="O9" i="1" s="1"/>
  <c r="M5" i="1"/>
  <c r="O5" i="1" s="1"/>
  <c r="M8" i="1"/>
  <c r="O8" i="1" s="1"/>
  <c r="M6" i="1"/>
  <c r="O6" i="1" s="1"/>
  <c r="M40" i="1"/>
  <c r="O40" i="1" s="1"/>
  <c r="M19" i="1"/>
  <c r="O19" i="1" s="1"/>
  <c r="M7" i="1"/>
  <c r="O7" i="1" s="1"/>
  <c r="M4" i="1"/>
  <c r="O58" i="1"/>
  <c r="M80" i="1" l="1"/>
  <c r="O80" i="1" s="1"/>
  <c r="M73" i="1"/>
  <c r="O73" i="1" s="1"/>
  <c r="M38" i="1"/>
  <c r="O38" i="1" s="1"/>
  <c r="M66" i="1"/>
  <c r="O66" i="1" s="1"/>
  <c r="M26" i="1"/>
  <c r="O26" i="1" s="1"/>
  <c r="M18" i="1"/>
  <c r="O18" i="1" s="1"/>
  <c r="M17" i="1"/>
  <c r="O17" i="1" s="1"/>
  <c r="M16" i="1"/>
  <c r="O16" i="1" s="1"/>
  <c r="M14" i="1"/>
  <c r="O14" i="1" s="1"/>
  <c r="O4" i="1"/>
  <c r="M88" i="1" l="1"/>
  <c r="M91" i="1" s="1"/>
  <c r="M92" i="1" s="1"/>
  <c r="O88" i="1"/>
  <c r="O93" i="1" s="1"/>
  <c r="O94" i="1" s="1"/>
</calcChain>
</file>

<file path=xl/sharedStrings.xml><?xml version="1.0" encoding="utf-8"?>
<sst xmlns="http://schemas.openxmlformats.org/spreadsheetml/2006/main" count="539" uniqueCount="281">
  <si>
    <t>ANEXO XII – MODELO DE PLANILHA PARANÁ</t>
  </si>
  <si>
    <t>UNIDADE</t>
  </si>
  <si>
    <t>Postos</t>
  </si>
  <si>
    <t>Valores dos Postos</t>
  </si>
  <si>
    <t>Valor fixos</t>
  </si>
  <si>
    <t>Total</t>
  </si>
  <si>
    <t>Seq.</t>
  </si>
  <si>
    <t>Unidade</t>
  </si>
  <si>
    <t>12x36 diurno</t>
  </si>
  <si>
    <t>12x36 noturno</t>
  </si>
  <si>
    <t>30h</t>
  </si>
  <si>
    <t>44h</t>
  </si>
  <si>
    <t>12x36 diurno2</t>
  </si>
  <si>
    <t>12x36 noturno2</t>
  </si>
  <si>
    <t>30h2</t>
  </si>
  <si>
    <t>44h2</t>
  </si>
  <si>
    <t>Ponto de Monitoramento</t>
  </si>
  <si>
    <t>HED</t>
  </si>
  <si>
    <t>HEN</t>
  </si>
  <si>
    <t>Coluna1</t>
  </si>
  <si>
    <t>R$</t>
  </si>
  <si>
    <t>GERÊNCIA EXECUTIVA CURITIBA</t>
  </si>
  <si>
    <t>CEDOC Prev</t>
  </si>
  <si>
    <t>Imóvel Mal. Deodoro</t>
  </si>
  <si>
    <t>APS CURITIBA - CÂNDIDO LOPES</t>
  </si>
  <si>
    <t>APS CURITIBA - HAUER</t>
  </si>
  <si>
    <t>APS CURITIBA - VISCONDE DE GUARAPUAVA</t>
  </si>
  <si>
    <t>APS PARANAGUÁ</t>
  </si>
  <si>
    <t>APS ARAUCÁRIA</t>
  </si>
  <si>
    <t>APS SÃO JOSÉ DOS PINHAIS</t>
  </si>
  <si>
    <t>APS COLOMBO</t>
  </si>
  <si>
    <t>APS FAZENDA RIO GRANDE</t>
  </si>
  <si>
    <t>APS CAMPO LARGO</t>
  </si>
  <si>
    <t>APS PINHAIS</t>
  </si>
  <si>
    <t>APS LAPA</t>
  </si>
  <si>
    <t>APS MANDIRITUBA</t>
  </si>
  <si>
    <t>APS ITAPERUÇU</t>
  </si>
  <si>
    <t>GERÊNCIA EXECUTIVA CASCAVEL</t>
  </si>
  <si>
    <t>APS CHATEAUBRIAND</t>
  </si>
  <si>
    <t>APS CASCAVEL/PR</t>
  </si>
  <si>
    <t>APS FOZ DO IGUAÇU</t>
  </si>
  <si>
    <t>APS FRANCISCO BELTRÃO</t>
  </si>
  <si>
    <t>APS MEDIANEIRA</t>
  </si>
  <si>
    <t>APS PATO BRANCO</t>
  </si>
  <si>
    <t>APS REALEZA</t>
  </si>
  <si>
    <t>APS TOLEDO/PR</t>
  </si>
  <si>
    <t>APS GUAÍRA/PR</t>
  </si>
  <si>
    <t>APS MANGUEIRINHA</t>
  </si>
  <si>
    <t>APS MARECHAL CÂNDIDO RONDON</t>
  </si>
  <si>
    <t>APS PALMAS/PR</t>
  </si>
  <si>
    <t>APS SANTO ANTONIO DO SUDOESTE</t>
  </si>
  <si>
    <t>APS DOIS VIZINHOS</t>
  </si>
  <si>
    <t>APS PALOTINA</t>
  </si>
  <si>
    <t>APS CORONEL VIVIDA</t>
  </si>
  <si>
    <t>APS SÃO MIGUEL DO IGUAÇU</t>
  </si>
  <si>
    <t>APS QUEDAS DO IGUAÇU</t>
  </si>
  <si>
    <t>GERÊNCIA EXECUTIVA LONDRINA</t>
  </si>
  <si>
    <t>APS APUCARANA</t>
  </si>
  <si>
    <t>APS CORNÉLIO PROCÓPIO</t>
  </si>
  <si>
    <t>APS ARAPONGAS</t>
  </si>
  <si>
    <t>APS IVAIPORÃ</t>
  </si>
  <si>
    <t>APS JACAREZINHO</t>
  </si>
  <si>
    <t>APS ANDIRÁ</t>
  </si>
  <si>
    <t>APS CAMBARÁ</t>
  </si>
  <si>
    <t>APS SANTO ANTÔNIO DA PLATINA</t>
  </si>
  <si>
    <t>APS LONDRINA - CENTRO</t>
  </si>
  <si>
    <t>APS LONDRINA - SHANGRILÁ</t>
  </si>
  <si>
    <t>APS ROLÂNDIA</t>
  </si>
  <si>
    <t>APS BANDEIRANTES/PR</t>
  </si>
  <si>
    <t>APS CAMBÉ</t>
  </si>
  <si>
    <t>GERÊNCIA EXECUTIVA MARINGÁ</t>
  </si>
  <si>
    <t>APS CAMPO MOURÃO</t>
  </si>
  <si>
    <t>APS CIANORTE</t>
  </si>
  <si>
    <t>APS GOIOERÊ</t>
  </si>
  <si>
    <t>APS LOANDA</t>
  </si>
  <si>
    <t>APS MARINGÁ</t>
  </si>
  <si>
    <t>APS PARANAVAÍ</t>
  </si>
  <si>
    <t>APS UMUARAMA</t>
  </si>
  <si>
    <t>APS COLORADO/PR</t>
  </si>
  <si>
    <t>APS PAIÇANDU</t>
  </si>
  <si>
    <t>APS ASTORGA</t>
  </si>
  <si>
    <t>APS CRUZEIRO DO OESTE</t>
  </si>
  <si>
    <t>APS NOVA ESPERANÇA</t>
  </si>
  <si>
    <t>APS MANDAGUARI</t>
  </si>
  <si>
    <t>SLLCE** / CEDOC</t>
  </si>
  <si>
    <t>GERÊNCIA EXECUTIVA PONTA GROSSA</t>
  </si>
  <si>
    <t>APS Ponta Grossa</t>
  </si>
  <si>
    <t>APS GUARAPUAVA</t>
  </si>
  <si>
    <t>APS IRATI/PR</t>
  </si>
  <si>
    <t>APS JAGUARIAIVA</t>
  </si>
  <si>
    <t>APS LARANJEIRAS DO SUL</t>
  </si>
  <si>
    <t>APS TELÊMACO BORBA</t>
  </si>
  <si>
    <t>APS UNIÃO DA VITÓRIA</t>
  </si>
  <si>
    <t>APS CASTRO</t>
  </si>
  <si>
    <t>APS IBAITI</t>
  </si>
  <si>
    <t>APS PITANGA</t>
  </si>
  <si>
    <t>APS ARAPOTI</t>
  </si>
  <si>
    <t>APS IMBITUVA</t>
  </si>
  <si>
    <t>APS PRUDENTÓPOLIS</t>
  </si>
  <si>
    <t>APS PINHÃO/PR</t>
  </si>
  <si>
    <t>APS PALMEIRA/PR</t>
  </si>
  <si>
    <t>APS SÃO MATEUS DO SUL</t>
  </si>
  <si>
    <t>GERÊNCIA EXECUTIVA JOINVILLE</t>
  </si>
  <si>
    <t>APS RIO NEGRO/PR</t>
  </si>
  <si>
    <t>TOTAIS</t>
  </si>
  <si>
    <t>PR - PARANÁ</t>
  </si>
  <si>
    <t>Valor médio unitário Posto/mês</t>
  </si>
  <si>
    <t>TOTAL</t>
  </si>
  <si>
    <t>MENSAL</t>
  </si>
  <si>
    <t>ANUAL</t>
  </si>
  <si>
    <r>
      <t xml:space="preserve">* Caso necessário, alterar preferencialmente somente as células </t>
    </r>
    <r>
      <rPr>
        <sz val="11"/>
        <color rgb="FF3333FF"/>
        <rFont val="Calibri"/>
        <family val="2"/>
        <charset val="1"/>
      </rPr>
      <t>(em azul)</t>
    </r>
  </si>
  <si>
    <t>Planilha Estimativa de Custos e Formação de Preços para Serviços de Vigilância</t>
  </si>
  <si>
    <t>ESTADO DO PARANÁ</t>
  </si>
  <si>
    <t>Salário Normativo da Categoria:</t>
  </si>
  <si>
    <t>Data base da Categoria:</t>
  </si>
  <si>
    <t>Convenção Coletiva:</t>
  </si>
  <si>
    <t>PR000320/2020</t>
  </si>
  <si>
    <t>CBO/MTE:</t>
  </si>
  <si>
    <t>5173-30</t>
  </si>
  <si>
    <t>CUSTOS</t>
  </si>
  <si>
    <t>Percentuais e Valores de Referência</t>
  </si>
  <si>
    <t>Posto de 30 horas semanais de segunda sexta DIURNO</t>
  </si>
  <si>
    <t>Posto de 44 horas semanais de segunda sexta DIURNO</t>
  </si>
  <si>
    <t>Posto de 44 horas semanais de segunda sexta NOTURNO</t>
  </si>
  <si>
    <t>Posto de 12 x 36 diurno de segunda a domingo</t>
  </si>
  <si>
    <t>Posto de 12 x 36 noturno de segunda a domingo</t>
  </si>
  <si>
    <t>MÓDULO 1: COMPOSIÇÃO DA REMUNERAÇÃO</t>
  </si>
  <si>
    <t>1 - Composição da Remuneração</t>
  </si>
  <si>
    <t>Percentuais</t>
  </si>
  <si>
    <t>Valor (R$)</t>
  </si>
  <si>
    <t>A - Salário-Base</t>
  </si>
  <si>
    <t>B - Adicional de Periculosidade</t>
  </si>
  <si>
    <t>C - Adicional de Insalubridade</t>
  </si>
  <si>
    <t>D - Adicional Noturno</t>
  </si>
  <si>
    <t>E - Adicional de Hora Noturna Reduzida</t>
  </si>
  <si>
    <t>F - Adicional de Hora Extra no Feriado Trabalhado</t>
  </si>
  <si>
    <t>E - Outros (especificar)</t>
  </si>
  <si>
    <t>MÓDULO 2: ENCARGOS E BENEFÍCIOS ANUAIS, MENSAIS E DIÁRIOS</t>
  </si>
  <si>
    <t>2.1 - 13º Salário, Férias e Adicional de Férias</t>
  </si>
  <si>
    <t>A - 13º salário</t>
  </si>
  <si>
    <t>B - Férias</t>
  </si>
  <si>
    <t>C - Adicional de Férias</t>
  </si>
  <si>
    <t>2.2 - Encargos Previdenciários e FGTS</t>
  </si>
  <si>
    <t>2.2.1 - GPS</t>
  </si>
  <si>
    <t>A - INSS</t>
  </si>
  <si>
    <t>B - Salário Educação</t>
  </si>
  <si>
    <t>C - SAT</t>
  </si>
  <si>
    <t>D - SESI ou SESC</t>
  </si>
  <si>
    <t>E - SENAI ou SENAC</t>
  </si>
  <si>
    <t>F - SEBRAE</t>
  </si>
  <si>
    <t>G - INCRA</t>
  </si>
  <si>
    <t>2.2.2 - FGTS</t>
  </si>
  <si>
    <t>A - FGTS</t>
  </si>
  <si>
    <t>2.3 - Benefícios Mensais e Diários</t>
  </si>
  <si>
    <t>A - Transporte</t>
  </si>
  <si>
    <t>B - Auxílio-Refeição/Alimentação ( COM DESCONTO DE 20% - CCT PARANÁ)</t>
  </si>
  <si>
    <t>C - Assistência Médica e Familiar ( PREVISTO NA CCT PARANÁ)</t>
  </si>
  <si>
    <t>D - Seguro de vida (PREVISTO NA CCT PARANÁ)</t>
  </si>
  <si>
    <t>F - Auxílio creche</t>
  </si>
  <si>
    <t>2 - Encargos e Benefícios Anuais, Mensais e Diários</t>
  </si>
  <si>
    <t>2.2 - GPS, FGTS e outras contribuições</t>
  </si>
  <si>
    <t>MÓDULO 3: PROVISÃO PARA RESCISÃO</t>
  </si>
  <si>
    <t>3.1 - Aviso Prévio Indenizado</t>
  </si>
  <si>
    <t>A - Aviso Prévio Indenizado</t>
  </si>
  <si>
    <t>B - Multa do FGTS sobre Aviso Prévio Indenizado (incide sobre item 2.2.2)</t>
  </si>
  <si>
    <t>3.2 - Aviso Prévio Trabalhado</t>
  </si>
  <si>
    <t>A - Aviso Prévio Trabalhado</t>
  </si>
  <si>
    <t>B - Multa do FGTS sobre Aviso Prévio Trabalhado (incide sobre item 2.2.2)</t>
  </si>
  <si>
    <t>3.3 - Demissão por Justa Causa</t>
  </si>
  <si>
    <t>A - Valor Provisionado do 13º Salário</t>
  </si>
  <si>
    <t>B - Valor Provisionado de Férias</t>
  </si>
  <si>
    <t>C - Valor Provisionado do Adicional de Férias</t>
  </si>
  <si>
    <t>3 - Provisão para Rescisão</t>
  </si>
  <si>
    <t>B - Aviso Prévio Trabalhado</t>
  </si>
  <si>
    <t>C - Demissão por Justa Causa</t>
  </si>
  <si>
    <t>MÓDULO 4: CUSTO DE REPOSIÇÃO DO PROFISSIONAL AUSENTE</t>
  </si>
  <si>
    <t>4.1 - Ausências Legais</t>
  </si>
  <si>
    <t>A - Férias</t>
  </si>
  <si>
    <t>B – Ausências Legais</t>
  </si>
  <si>
    <t>C - Licença-Paternidade</t>
  </si>
  <si>
    <t>D - Ausências por acidente de trabalho</t>
  </si>
  <si>
    <t>E - Outros</t>
  </si>
  <si>
    <t>4.2 - Intrajornada</t>
  </si>
  <si>
    <t>A - Intervalo para repouso ou alimentação (intrajornada indenizado)</t>
  </si>
  <si>
    <t>4 - Custo de Reposição do Profissional Ausente</t>
  </si>
  <si>
    <t>A - Ausências Legais</t>
  </si>
  <si>
    <t>B - Intrajornada Indenizado</t>
  </si>
  <si>
    <t>MÓDULO 5: INSUMOS DE MÃO DE OBRA</t>
  </si>
  <si>
    <t>5 - Insumos Diversos</t>
  </si>
  <si>
    <t>A - Uniformes</t>
  </si>
  <si>
    <t>B - Materiais e equipamentos</t>
  </si>
  <si>
    <t>C - EPI COVID-19</t>
  </si>
  <si>
    <t>D - Outros (especificar)</t>
  </si>
  <si>
    <t>MÓDULO 6: CUSTOS INDIRETOS, TRIBUTOS E LUCRO</t>
  </si>
  <si>
    <t>6 - Custos Indiretos, Tributos e Lucro</t>
  </si>
  <si>
    <t>A - Custos Indiretos</t>
  </si>
  <si>
    <t>B - Lucro</t>
  </si>
  <si>
    <t>C - Tributos (ISS 2,00%)</t>
  </si>
  <si>
    <t>C.1 - Tributos Federais (PIS e COFINS)</t>
  </si>
  <si>
    <t>C.3 - Tributos Municipais (especificar)</t>
  </si>
  <si>
    <t>C - Tributos (ISS 2,50%)</t>
  </si>
  <si>
    <t>C - Tributos (ISS 3,00%)</t>
  </si>
  <si>
    <t>C - Tributos (ISS 3,50%)</t>
  </si>
  <si>
    <t>C - Tributos (ISS 4,00%)</t>
  </si>
  <si>
    <t>C - Tributos (ISS 5,00%)</t>
  </si>
  <si>
    <t>Total Tributos por ISS Municipal</t>
  </si>
  <si>
    <t>QUADRO RESUMO DO CUSTO POR POSTO DE SERVIÇO</t>
  </si>
  <si>
    <t>Mão de obra vinculada à execução contratual (valor por Posto)</t>
  </si>
  <si>
    <t>A - Módulo 1 - Composição da Remuneração</t>
  </si>
  <si>
    <t>B - Módulo 2 - Encargos e Benefícios Anuais, Mensais e Diários</t>
  </si>
  <si>
    <t>C - Módulo 3 - Provisão para Rescisão</t>
  </si>
  <si>
    <t>D - Módulo 4 - Custos de Reposição do Profissional Ausente</t>
  </si>
  <si>
    <t>E - Módulo 5 - Insumos da Mão de Obra</t>
  </si>
  <si>
    <t>Subtotal (A + B + C + D + E)</t>
  </si>
  <si>
    <t>F - Módulo 6 - Custos Indiretos, Tributos e Lucro (ISS 2,00%)</t>
  </si>
  <si>
    <t>F - Módulo 6 - Custos Indiretos, Tributos e Lucro (ISS 2,50%)</t>
  </si>
  <si>
    <t>F - Módulo 6 - Custos Indiretos, Tributos e Lucro (ISS 3,00%)</t>
  </si>
  <si>
    <t>F - Módulo 6 - Custos Indiretos, Tributos e Lucro (ISS 3,50%)</t>
  </si>
  <si>
    <t>F - Módulo 6 - Custos Indiretos, Tributos e Lucro (ISS 4,00%)</t>
  </si>
  <si>
    <t>F - Módulo 6 - Custos Indiretos, Tributos e Lucro (ISS 5,00%)</t>
  </si>
  <si>
    <t>VALOR TOTAL POR POSTO</t>
  </si>
  <si>
    <t>ISS 2,00%</t>
  </si>
  <si>
    <t>ISS 2,50%</t>
  </si>
  <si>
    <t>ISS 3,00%</t>
  </si>
  <si>
    <t>ISS 3,50%</t>
  </si>
  <si>
    <t>ISS 4,00%</t>
  </si>
  <si>
    <t>ISS 5,00%</t>
  </si>
  <si>
    <t>VALOR TOTAL POR EMPREGADO</t>
  </si>
  <si>
    <t>VALOR DA HORA HORISTA</t>
  </si>
  <si>
    <t>INSUMOS</t>
  </si>
  <si>
    <t>ESTIMATIVA ANUAL DE UNIFORMES POR VIGILANTE</t>
  </si>
  <si>
    <t>ITEM</t>
  </si>
  <si>
    <t>DISCRIMINAÇÃO</t>
  </si>
  <si>
    <t>QUANT.</t>
  </si>
  <si>
    <t>VALOR UNITÁRIO</t>
  </si>
  <si>
    <t>VALOR TOTAL</t>
  </si>
  <si>
    <t>Camisa Social manga curta/longa com logotipo</t>
  </si>
  <si>
    <t>Calça Tática</t>
  </si>
  <si>
    <t>Jaqueta de Naylon</t>
  </si>
  <si>
    <t>Boné em Brim com logotipo</t>
  </si>
  <si>
    <t>Calçado Coturno tático</t>
  </si>
  <si>
    <t>par</t>
  </si>
  <si>
    <t>TOTAL ANUAL DE UNIFORMES</t>
  </si>
  <si>
    <t>CUSTO MENSAL DE UNIFORMES POR VIGILANTE</t>
  </si>
  <si>
    <t>MATERIAIS E EQUIPAMENTOS POR POSTO</t>
  </si>
  <si>
    <t>VALOR TOTAL - depreciação anual 20%</t>
  </si>
  <si>
    <t>Cassetete/Tonfa Fibra de Carbono</t>
  </si>
  <si>
    <t>Cinto Tático</t>
  </si>
  <si>
    <t>Crachá de PVC com jacaré</t>
  </si>
  <si>
    <t>Porta cassetete/Tonfa de nylon</t>
  </si>
  <si>
    <t>Apito c/ cordão</t>
  </si>
  <si>
    <t>Livro de ocorrência capa dura (POR UNIDADE)</t>
  </si>
  <si>
    <t>Detector metais portátil (POR UNIDADE)</t>
  </si>
  <si>
    <t>Lanterna Tática Led recarregável (vig. Noturno)</t>
  </si>
  <si>
    <t>CUSTO MENSAL PARA O POSTO</t>
  </si>
  <si>
    <t>Obs: Taxa de depreciação de 20% ao ano, com vida útil de 5 anos, sem valor residual</t>
  </si>
  <si>
    <t>EPIs para enfrentamento da Pandemia da COVID 19</t>
  </si>
  <si>
    <t>QUANTIDADE</t>
  </si>
  <si>
    <t>Álcool em gel 70% 500ML</t>
  </si>
  <si>
    <t>FRASCO</t>
  </si>
  <si>
    <t>Máscara descartável - postos 30h</t>
  </si>
  <si>
    <t>PCT 50</t>
  </si>
  <si>
    <t>Máscara descartável - postos 44h</t>
  </si>
  <si>
    <t>Máscara descartável - postos 12x36</t>
  </si>
  <si>
    <t>Face Shield</t>
  </si>
  <si>
    <t>CUSTO MENSAL POR POSTO 30 h</t>
  </si>
  <si>
    <t>CUSTO MENSAL POR POSTO 44</t>
  </si>
  <si>
    <t>CUSTO MENSAL POR POSTO 12x36</t>
  </si>
  <si>
    <t>Obs: Periodicidade/frequencia de trocas dos EPIs de acorda com as premissas adotadas na contratação de média de dias úteis no mês = 22</t>
  </si>
  <si>
    <t>Álcool Líquido 70 % - Frasco 500 ml</t>
  </si>
  <si>
    <t>1 frasco por mês</t>
  </si>
  <si>
    <t>Máscara descartável – UNIDADE</t>
  </si>
  <si>
    <t>1x a cada 3h</t>
  </si>
  <si>
    <t>Face Shield – UNIDADE</t>
  </si>
  <si>
    <t>1x a cada 6 meses - Deverá ser descartado quando danificado</t>
  </si>
  <si>
    <t>SUPERINTENDÊNCIA REGIONAL SUL – SRIII</t>
  </si>
  <si>
    <t>VT</t>
  </si>
  <si>
    <t>QTD VIGILANTES</t>
  </si>
  <si>
    <t>MÉDIA PONDERADA</t>
  </si>
  <si>
    <t>PARANÁ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</si>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</sst>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1" x14ac:knownFonts="1">
    <font>
      <sz val="11"/>
      <color rgb="FF000000"/>
      <name val="Calibri"/>
      <family val="2"/>
      <charset val="1"/>
    </font>
    <font>
      <sz val="18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color rgb="FF3333FF"/>
      <name val="Calibri"/>
      <family val="2"/>
      <charset val="1"/>
    </font>
    <font>
      <sz val="11"/>
      <color rgb="FFFFFFFF"/>
      <name val="Calibri"/>
      <family val="2"/>
      <charset val="1"/>
    </font>
    <font>
      <sz val="9"/>
      <color rgb="FFFFFFFF"/>
      <name val="Calibri"/>
      <family val="2"/>
      <charset val="1"/>
    </font>
    <font>
      <b/>
      <sz val="9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3333FF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3333FF"/>
      <name val="Calibri"/>
      <family val="2"/>
      <charset val="1"/>
    </font>
    <font>
      <sz val="10"/>
      <color rgb="FF3333FF"/>
      <name val="Calibri"/>
      <family val="2"/>
      <charset val="1"/>
    </font>
    <font>
      <b/>
      <sz val="13.5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7.5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B2B2B2"/>
      <name val="Calibri"/>
      <family val="2"/>
      <charset val="1"/>
    </font>
    <font>
      <sz val="11"/>
      <color rgb="FF000000"/>
      <name val="Calibri"/>
      <family val="2"/>
      <charset val="1"/>
    </font>
  </fonts>
  <fills count="29">
    <fill>
      <patternFill patternType="none"/>
    </fill>
    <fill>
      <patternFill patternType="gray125"/>
    </fill>
    <fill>
      <patternFill patternType="solid">
        <fgColor rgb="FFDAE3F3"/>
        <bgColor rgb="FFD9E1F2"/>
      </patternFill>
    </fill>
    <fill>
      <patternFill patternType="solid">
        <fgColor rgb="FF1F4E78"/>
        <bgColor rgb="FF305496"/>
      </patternFill>
    </fill>
    <fill>
      <patternFill patternType="solid">
        <fgColor rgb="FFD9E1F2"/>
        <bgColor rgb="FFDAE3F3"/>
      </patternFill>
    </fill>
    <fill>
      <patternFill patternType="solid">
        <fgColor rgb="FFFCE4D6"/>
        <bgColor rgb="FFFFF2CC"/>
      </patternFill>
    </fill>
    <fill>
      <patternFill patternType="solid">
        <fgColor rgb="FFF7CDCD"/>
        <bgColor rgb="FFFFCCCC"/>
      </patternFill>
    </fill>
    <fill>
      <patternFill patternType="solid">
        <fgColor rgb="FFE2EFDA"/>
        <bgColor rgb="FFDEEBF7"/>
      </patternFill>
    </fill>
    <fill>
      <patternFill patternType="solid">
        <fgColor rgb="FF161616"/>
        <bgColor rgb="FF000000"/>
      </patternFill>
    </fill>
    <fill>
      <patternFill patternType="solid">
        <fgColor rgb="FFB4C6E7"/>
        <bgColor rgb="FF9DC3E6"/>
      </patternFill>
    </fill>
    <fill>
      <patternFill patternType="solid">
        <fgColor rgb="FFF4B084"/>
        <bgColor rgb="FFF7ADAD"/>
      </patternFill>
    </fill>
    <fill>
      <patternFill patternType="solid">
        <fgColor rgb="FFF7ADAD"/>
        <bgColor rgb="FFF4B084"/>
      </patternFill>
    </fill>
    <fill>
      <patternFill patternType="solid">
        <fgColor rgb="FFA9D08E"/>
        <bgColor rgb="FF92D050"/>
      </patternFill>
    </fill>
    <fill>
      <patternFill patternType="solid">
        <fgColor rgb="FFFFCC99"/>
        <bgColor rgb="FFFFCCCC"/>
      </patternFill>
    </fill>
    <fill>
      <patternFill patternType="solid">
        <fgColor rgb="FFFFFFFF"/>
        <bgColor rgb="FFFFF2CC"/>
      </patternFill>
    </fill>
    <fill>
      <patternFill patternType="solid">
        <fgColor rgb="FFFFF2CC"/>
        <bgColor rgb="FFFCE4D6"/>
      </patternFill>
    </fill>
    <fill>
      <patternFill patternType="solid">
        <fgColor rgb="FFFFD966"/>
        <bgColor rgb="FFFFCC99"/>
      </patternFill>
    </fill>
    <fill>
      <patternFill patternType="solid">
        <fgColor rgb="FF8EA9DB"/>
        <bgColor rgb="FF9BC2E6"/>
      </patternFill>
    </fill>
    <fill>
      <patternFill patternType="solid">
        <fgColor rgb="FF00B0F0"/>
        <bgColor rgb="FF008080"/>
      </patternFill>
    </fill>
    <fill>
      <patternFill patternType="solid">
        <fgColor rgb="FF92D050"/>
        <bgColor rgb="FFA9D08E"/>
      </patternFill>
    </fill>
    <fill>
      <patternFill patternType="solid">
        <fgColor rgb="FFFFC000"/>
        <bgColor rgb="FFFFD966"/>
      </patternFill>
    </fill>
    <fill>
      <patternFill patternType="solid">
        <fgColor rgb="FFDDEBF7"/>
        <bgColor rgb="FFDEEBF7"/>
      </patternFill>
    </fill>
    <fill>
      <patternFill patternType="solid">
        <fgColor rgb="FF9BC2E6"/>
        <bgColor rgb="FF9DC3E6"/>
      </patternFill>
    </fill>
    <fill>
      <patternFill patternType="solid">
        <fgColor rgb="FFFFFF99"/>
        <bgColor rgb="FFFFF2CC"/>
      </patternFill>
    </fill>
    <fill>
      <patternFill patternType="solid">
        <fgColor rgb="FFD0CECE"/>
        <bgColor rgb="FFC9C9C9"/>
      </patternFill>
    </fill>
    <fill>
      <patternFill patternType="solid">
        <fgColor rgb="FFC9C9C9"/>
        <bgColor rgb="FFD0CECE"/>
      </patternFill>
    </fill>
    <fill>
      <patternFill patternType="solid">
        <fgColor rgb="FF5B9BD5"/>
        <bgColor rgb="FF8EA9DB"/>
      </patternFill>
    </fill>
    <fill>
      <patternFill patternType="solid">
        <fgColor rgb="FFDEEBF7"/>
        <bgColor rgb="FFDDEBF7"/>
      </patternFill>
    </fill>
    <fill>
      <patternFill patternType="solid">
        <fgColor rgb="FFFFCCCC"/>
        <bgColor rgb="FFF7CDCD"/>
      </patternFill>
    </fill>
  </fills>
  <borders count="6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4C6E7"/>
      </left>
      <right style="thin">
        <color rgb="FFB4C6E7"/>
      </right>
      <top style="thin">
        <color rgb="FFB4C6E7"/>
      </top>
      <bottom style="thin">
        <color rgb="FFB4C6E7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rgb="FF9DC3E6"/>
      </right>
      <top style="thin">
        <color rgb="FF9DC3E6"/>
      </top>
      <bottom style="thin">
        <color rgb="FF9DC3E6"/>
      </bottom>
      <diagonal/>
    </border>
  </borders>
  <cellStyleXfs count="2">
    <xf numFmtId="0" fontId="0" fillId="0" borderId="0"/>
    <xf numFmtId="0" fontId="20" fillId="2" borderId="0" applyBorder="0" applyProtection="0"/>
  </cellStyleXfs>
  <cellXfs count="275">
    <xf numFmtId="0" fontId="0" fillId="0" borderId="0" xfId="0"/>
    <xf numFmtId="0" fontId="2" fillId="18" borderId="26" xfId="0" applyFont="1" applyFill="1" applyBorder="1" applyAlignment="1">
      <alignment horizontal="left" vertical="center"/>
    </xf>
    <xf numFmtId="0" fontId="2" fillId="18" borderId="21" xfId="0" applyFont="1" applyFill="1" applyBorder="1" applyAlignment="1">
      <alignment horizontal="left" vertical="center"/>
    </xf>
    <xf numFmtId="0" fontId="2" fillId="14" borderId="12" xfId="0" applyFont="1" applyFill="1" applyBorder="1" applyAlignment="1">
      <alignment horizontal="right" vertical="center"/>
    </xf>
    <xf numFmtId="0" fontId="2" fillId="14" borderId="10" xfId="0" applyFont="1" applyFill="1" applyBorder="1" applyAlignment="1">
      <alignment horizontal="right" vertical="center"/>
    </xf>
    <xf numFmtId="0" fontId="2" fillId="14" borderId="10" xfId="0" applyFont="1" applyFill="1" applyBorder="1" applyAlignment="1">
      <alignment horizontal="right" vertical="center" indent="1"/>
    </xf>
    <xf numFmtId="0" fontId="2" fillId="14" borderId="7" xfId="0" applyFont="1" applyFill="1" applyBorder="1" applyAlignment="1">
      <alignment horizontal="right" vertical="center"/>
    </xf>
    <xf numFmtId="0" fontId="2" fillId="14" borderId="6" xfId="0" applyFont="1" applyFill="1" applyBorder="1" applyAlignment="1">
      <alignment horizontal="center" vertical="center"/>
    </xf>
    <xf numFmtId="0" fontId="11" fillId="14" borderId="5" xfId="0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0" fontId="2" fillId="7" borderId="2" xfId="1" applyFont="1" applyFill="1" applyBorder="1" applyAlignment="1" applyProtection="1">
      <alignment horizontal="center" vertical="center"/>
    </xf>
    <xf numFmtId="0" fontId="2" fillId="6" borderId="2" xfId="1" applyFont="1" applyFill="1" applyBorder="1" applyAlignment="1" applyProtection="1">
      <alignment horizontal="center" vertical="center"/>
    </xf>
    <xf numFmtId="0" fontId="2" fillId="5" borderId="2" xfId="1" applyFont="1" applyFill="1" applyBorder="1" applyAlignment="1" applyProtection="1">
      <alignment horizontal="center" vertical="center"/>
    </xf>
    <xf numFmtId="0" fontId="2" fillId="4" borderId="2" xfId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8" borderId="2" xfId="1" applyFont="1" applyFill="1" applyBorder="1" applyAlignment="1" applyProtection="1">
      <alignment horizontal="center" vertical="center"/>
    </xf>
    <xf numFmtId="0" fontId="2" fillId="5" borderId="3" xfId="1" applyFont="1" applyFill="1" applyBorder="1" applyAlignment="1" applyProtection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 wrapText="1"/>
    </xf>
    <xf numFmtId="0" fontId="3" fillId="11" borderId="0" xfId="0" applyFont="1" applyFill="1" applyAlignment="1">
      <alignment horizontal="center" vertical="center" wrapText="1"/>
    </xf>
    <xf numFmtId="0" fontId="3" fillId="12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4" fontId="3" fillId="10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1" borderId="0" xfId="0" applyFont="1" applyFill="1" applyAlignment="1">
      <alignment vertical="center"/>
    </xf>
    <xf numFmtId="0" fontId="0" fillId="13" borderId="0" xfId="0" applyFont="1" applyFill="1" applyAlignment="1">
      <alignment horizontal="center" wrapText="1"/>
    </xf>
    <xf numFmtId="4" fontId="4" fillId="6" borderId="0" xfId="0" applyNumberFormat="1" applyFont="1" applyFill="1" applyAlignment="1">
      <alignment horizontal="center" vertical="center"/>
    </xf>
    <xf numFmtId="4" fontId="5" fillId="7" borderId="0" xfId="0" applyNumberFormat="1" applyFont="1" applyFill="1" applyAlignment="1">
      <alignment horizontal="center" vertical="center"/>
    </xf>
    <xf numFmtId="4" fontId="4" fillId="7" borderId="0" xfId="0" applyNumberFormat="1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ont="1" applyFill="1" applyAlignment="1">
      <alignment vertical="center"/>
    </xf>
    <xf numFmtId="0" fontId="0" fillId="1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3" fontId="7" fillId="3" borderId="0" xfId="0" applyNumberFormat="1" applyFont="1" applyFill="1" applyAlignment="1">
      <alignment horizontal="center" vertical="center"/>
    </xf>
    <xf numFmtId="4" fontId="7" fillId="3" borderId="0" xfId="0" applyNumberFormat="1" applyFont="1" applyFill="1" applyAlignment="1">
      <alignment horizontal="center" vertical="center"/>
    </xf>
    <xf numFmtId="4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0" fillId="11" borderId="2" xfId="0" applyFont="1" applyFill="1" applyBorder="1" applyAlignment="1">
      <alignment vertical="center"/>
    </xf>
    <xf numFmtId="4" fontId="9" fillId="11" borderId="2" xfId="0" applyNumberFormat="1" applyFont="1" applyFill="1" applyBorder="1" applyAlignment="1">
      <alignment horizontal="center" vertical="center"/>
    </xf>
    <xf numFmtId="4" fontId="9" fillId="11" borderId="4" xfId="0" applyNumberFormat="1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9" fillId="6" borderId="4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2" fillId="6" borderId="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0" fillId="0" borderId="0" xfId="0" applyFont="1"/>
    <xf numFmtId="0" fontId="9" fillId="0" borderId="0" xfId="0" applyFont="1" applyAlignment="1">
      <alignment vertical="center"/>
    </xf>
    <xf numFmtId="4" fontId="12" fillId="15" borderId="8" xfId="0" applyNumberFormat="1" applyFont="1" applyFill="1" applyBorder="1" applyAlignment="1">
      <alignment horizontal="center" vertical="center"/>
    </xf>
    <xf numFmtId="4" fontId="13" fillId="15" borderId="9" xfId="0" applyNumberFormat="1" applyFont="1" applyFill="1" applyBorder="1" applyAlignment="1">
      <alignment horizontal="center" vertical="center"/>
    </xf>
    <xf numFmtId="4" fontId="2" fillId="15" borderId="9" xfId="0" applyNumberFormat="1" applyFont="1" applyFill="1" applyBorder="1" applyAlignment="1">
      <alignment horizontal="center" vertical="center"/>
    </xf>
    <xf numFmtId="164" fontId="14" fillId="16" borderId="11" xfId="0" applyNumberFormat="1" applyFont="1" applyFill="1" applyBorder="1" applyAlignment="1">
      <alignment horizontal="center" vertical="center"/>
    </xf>
    <xf numFmtId="164" fontId="9" fillId="16" borderId="11" xfId="0" applyNumberFormat="1" applyFont="1" applyFill="1" applyBorder="1" applyAlignment="1">
      <alignment horizontal="center" vertical="center"/>
    </xf>
    <xf numFmtId="0" fontId="13" fillId="16" borderId="11" xfId="0" applyFont="1" applyFill="1" applyBorder="1" applyAlignment="1">
      <alignment horizontal="center" vertical="center"/>
    </xf>
    <xf numFmtId="0" fontId="2" fillId="16" borderId="11" xfId="0" applyFont="1" applyFill="1" applyBorder="1" applyAlignment="1">
      <alignment horizontal="center" vertical="center"/>
    </xf>
    <xf numFmtId="0" fontId="9" fillId="16" borderId="13" xfId="0" applyFont="1" applyFill="1" applyBorder="1" applyAlignment="1">
      <alignment horizontal="center" vertical="center"/>
    </xf>
    <xf numFmtId="0" fontId="9" fillId="16" borderId="14" xfId="0" applyFont="1" applyFill="1" applyBorder="1" applyAlignment="1">
      <alignment horizontal="center" vertical="center"/>
    </xf>
    <xf numFmtId="0" fontId="9" fillId="16" borderId="15" xfId="0" applyFont="1" applyFill="1" applyBorder="1" applyAlignment="1">
      <alignment horizontal="center" vertical="center"/>
    </xf>
    <xf numFmtId="0" fontId="2" fillId="14" borderId="16" xfId="0" applyFont="1" applyFill="1" applyBorder="1" applyAlignment="1">
      <alignment vertical="center"/>
    </xf>
    <xf numFmtId="0" fontId="9" fillId="14" borderId="0" xfId="0" applyFont="1" applyFill="1" applyAlignment="1">
      <alignment vertical="center"/>
    </xf>
    <xf numFmtId="0" fontId="9" fillId="14" borderId="17" xfId="0" applyFont="1" applyFill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17" borderId="19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" fillId="19" borderId="22" xfId="0" applyFont="1" applyFill="1" applyBorder="1" applyAlignment="1">
      <alignment vertical="center"/>
    </xf>
    <xf numFmtId="0" fontId="2" fillId="19" borderId="23" xfId="0" applyFont="1" applyFill="1" applyBorder="1" applyAlignment="1">
      <alignment horizontal="center" vertical="center"/>
    </xf>
    <xf numFmtId="0" fontId="2" fillId="19" borderId="24" xfId="0" applyFont="1" applyFill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9" fontId="9" fillId="0" borderId="23" xfId="0" applyNumberFormat="1" applyFont="1" applyBorder="1" applyAlignment="1">
      <alignment horizontal="center" vertical="center"/>
    </xf>
    <xf numFmtId="4" fontId="9" fillId="0" borderId="23" xfId="0" applyNumberFormat="1" applyFont="1" applyBorder="1" applyAlignment="1">
      <alignment horizontal="right" vertical="center"/>
    </xf>
    <xf numFmtId="4" fontId="9" fillId="0" borderId="25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vertical="center"/>
    </xf>
    <xf numFmtId="0" fontId="2" fillId="17" borderId="22" xfId="0" applyFont="1" applyFill="1" applyBorder="1" applyAlignment="1">
      <alignment horizontal="right" vertical="center"/>
    </xf>
    <xf numFmtId="2" fontId="2" fillId="17" borderId="23" xfId="0" applyNumberFormat="1" applyFont="1" applyFill="1" applyBorder="1" applyAlignment="1">
      <alignment horizontal="center" vertical="center"/>
    </xf>
    <xf numFmtId="4" fontId="2" fillId="17" borderId="23" xfId="0" applyNumberFormat="1" applyFont="1" applyFill="1" applyBorder="1" applyAlignment="1">
      <alignment horizontal="right" vertical="center"/>
    </xf>
    <xf numFmtId="4" fontId="2" fillId="17" borderId="24" xfId="0" applyNumberFormat="1" applyFont="1" applyFill="1" applyBorder="1" applyAlignment="1">
      <alignment horizontal="right" vertical="center"/>
    </xf>
    <xf numFmtId="0" fontId="9" fillId="0" borderId="23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10" fontId="14" fillId="0" borderId="23" xfId="0" applyNumberFormat="1" applyFont="1" applyBorder="1" applyAlignment="1">
      <alignment horizontal="center" vertical="center"/>
    </xf>
    <xf numFmtId="10" fontId="2" fillId="17" borderId="23" xfId="0" applyNumberFormat="1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10" fontId="9" fillId="0" borderId="23" xfId="0" applyNumberFormat="1" applyFont="1" applyBorder="1" applyAlignment="1">
      <alignment horizontal="center" vertical="center"/>
    </xf>
    <xf numFmtId="4" fontId="2" fillId="4" borderId="23" xfId="0" applyNumberFormat="1" applyFont="1" applyFill="1" applyBorder="1" applyAlignment="1">
      <alignment horizontal="center" vertical="center"/>
    </xf>
    <xf numFmtId="4" fontId="2" fillId="4" borderId="25" xfId="0" applyNumberFormat="1" applyFont="1" applyFill="1" applyBorder="1" applyAlignment="1">
      <alignment horizontal="center" vertical="center"/>
    </xf>
    <xf numFmtId="4" fontId="2" fillId="4" borderId="24" xfId="0" applyNumberFormat="1" applyFont="1" applyFill="1" applyBorder="1" applyAlignment="1">
      <alignment horizontal="center" vertical="center"/>
    </xf>
    <xf numFmtId="2" fontId="9" fillId="0" borderId="23" xfId="0" applyNumberFormat="1" applyFont="1" applyBorder="1" applyAlignment="1">
      <alignment horizontal="center" vertical="center"/>
    </xf>
    <xf numFmtId="2" fontId="14" fillId="0" borderId="23" xfId="0" applyNumberFormat="1" applyFont="1" applyBorder="1" applyAlignment="1">
      <alignment horizontal="center" vertical="center"/>
    </xf>
    <xf numFmtId="0" fontId="2" fillId="4" borderId="22" xfId="0" applyFont="1" applyFill="1" applyBorder="1" applyAlignment="1">
      <alignment horizontal="right" vertical="center"/>
    </xf>
    <xf numFmtId="4" fontId="2" fillId="4" borderId="23" xfId="0" applyNumberFormat="1" applyFont="1" applyFill="1" applyBorder="1" applyAlignment="1">
      <alignment horizontal="right" vertical="center"/>
    </xf>
    <xf numFmtId="4" fontId="2" fillId="4" borderId="24" xfId="0" applyNumberFormat="1" applyFont="1" applyFill="1" applyBorder="1" applyAlignment="1">
      <alignment horizontal="right" vertical="center"/>
    </xf>
    <xf numFmtId="0" fontId="9" fillId="0" borderId="23" xfId="0" applyFont="1" applyBorder="1" applyAlignment="1">
      <alignment horizontal="center" vertical="center"/>
    </xf>
    <xf numFmtId="0" fontId="2" fillId="17" borderId="23" xfId="0" applyFont="1" applyFill="1" applyBorder="1" applyAlignment="1">
      <alignment horizontal="center" vertical="center"/>
    </xf>
    <xf numFmtId="2" fontId="9" fillId="0" borderId="23" xfId="0" applyNumberFormat="1" applyFont="1" applyBorder="1" applyAlignment="1">
      <alignment horizontal="right" vertical="center"/>
    </xf>
    <xf numFmtId="2" fontId="9" fillId="0" borderId="24" xfId="0" applyNumberFormat="1" applyFont="1" applyBorder="1" applyAlignment="1">
      <alignment horizontal="right" vertical="center"/>
    </xf>
    <xf numFmtId="9" fontId="2" fillId="17" borderId="23" xfId="0" applyNumberFormat="1" applyFont="1" applyFill="1" applyBorder="1" applyAlignment="1">
      <alignment horizontal="center" vertical="center"/>
    </xf>
    <xf numFmtId="2" fontId="2" fillId="17" borderId="23" xfId="0" applyNumberFormat="1" applyFont="1" applyFill="1" applyBorder="1" applyAlignment="1">
      <alignment horizontal="right" vertical="center"/>
    </xf>
    <xf numFmtId="2" fontId="2" fillId="17" borderId="24" xfId="0" applyNumberFormat="1" applyFont="1" applyFill="1" applyBorder="1" applyAlignment="1">
      <alignment horizontal="right" vertical="center"/>
    </xf>
    <xf numFmtId="4" fontId="9" fillId="0" borderId="23" xfId="0" applyNumberFormat="1" applyFont="1" applyBorder="1" applyAlignment="1">
      <alignment vertical="center"/>
    </xf>
    <xf numFmtId="4" fontId="9" fillId="0" borderId="24" xfId="0" applyNumberFormat="1" applyFont="1" applyBorder="1" applyAlignment="1">
      <alignment vertical="center"/>
    </xf>
    <xf numFmtId="0" fontId="2" fillId="19" borderId="25" xfId="0" applyFont="1" applyFill="1" applyBorder="1" applyAlignment="1">
      <alignment horizontal="center" vertical="center"/>
    </xf>
    <xf numFmtId="10" fontId="9" fillId="0" borderId="23" xfId="0" applyNumberFormat="1" applyFont="1" applyBorder="1" applyAlignment="1">
      <alignment vertical="center"/>
    </xf>
    <xf numFmtId="0" fontId="2" fillId="0" borderId="16" xfId="0" applyFont="1" applyBorder="1" applyAlignment="1">
      <alignment horizontal="right" vertical="center"/>
    </xf>
    <xf numFmtId="9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2" fontId="2" fillId="0" borderId="17" xfId="0" applyNumberFormat="1" applyFont="1" applyBorder="1" applyAlignment="1">
      <alignment horizontal="right" vertical="center"/>
    </xf>
    <xf numFmtId="0" fontId="2" fillId="4" borderId="28" xfId="0" applyFont="1" applyFill="1" applyBorder="1" applyAlignment="1">
      <alignment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4" fontId="14" fillId="0" borderId="23" xfId="0" applyNumberFormat="1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2" fillId="17" borderId="23" xfId="0" applyFont="1" applyFill="1" applyBorder="1" applyAlignment="1">
      <alignment horizontal="right" vertical="center"/>
    </xf>
    <xf numFmtId="0" fontId="2" fillId="17" borderId="25" xfId="0" applyFont="1" applyFill="1" applyBorder="1" applyAlignment="1">
      <alignment horizontal="right" vertical="center"/>
    </xf>
    <xf numFmtId="0" fontId="2" fillId="17" borderId="24" xfId="0" applyFont="1" applyFill="1" applyBorder="1" applyAlignment="1">
      <alignment horizontal="right" vertical="center"/>
    </xf>
    <xf numFmtId="2" fontId="9" fillId="0" borderId="25" xfId="0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 vertical="center"/>
    </xf>
    <xf numFmtId="10" fontId="2" fillId="4" borderId="23" xfId="0" applyNumberFormat="1" applyFont="1" applyFill="1" applyBorder="1" applyAlignment="1">
      <alignment horizontal="center" vertical="center"/>
    </xf>
    <xf numFmtId="2" fontId="2" fillId="4" borderId="23" xfId="0" applyNumberFormat="1" applyFont="1" applyFill="1" applyBorder="1" applyAlignment="1">
      <alignment horizontal="center" vertical="center"/>
    </xf>
    <xf numFmtId="2" fontId="2" fillId="4" borderId="24" xfId="0" applyNumberFormat="1" applyFont="1" applyFill="1" applyBorder="1" applyAlignment="1">
      <alignment horizontal="center" vertical="center"/>
    </xf>
    <xf numFmtId="0" fontId="9" fillId="0" borderId="31" xfId="0" applyFont="1" applyBorder="1" applyAlignment="1">
      <alignment vertical="center"/>
    </xf>
    <xf numFmtId="10" fontId="9" fillId="0" borderId="32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10" fontId="2" fillId="17" borderId="9" xfId="0" applyNumberFormat="1" applyFont="1" applyFill="1" applyBorder="1" applyAlignment="1">
      <alignment horizontal="center" vertical="center"/>
    </xf>
    <xf numFmtId="4" fontId="2" fillId="17" borderId="9" xfId="0" applyNumberFormat="1" applyFont="1" applyFill="1" applyBorder="1" applyAlignment="1">
      <alignment horizontal="right" vertical="center"/>
    </xf>
    <xf numFmtId="4" fontId="2" fillId="17" borderId="35" xfId="0" applyNumberFormat="1" applyFont="1" applyFill="1" applyBorder="1" applyAlignment="1">
      <alignment horizontal="right" vertical="center"/>
    </xf>
    <xf numFmtId="10" fontId="2" fillId="17" borderId="14" xfId="0" applyNumberFormat="1" applyFont="1" applyFill="1" applyBorder="1" applyAlignment="1">
      <alignment horizontal="center" vertical="center"/>
    </xf>
    <xf numFmtId="4" fontId="2" fillId="17" borderId="14" xfId="0" applyNumberFormat="1" applyFont="1" applyFill="1" applyBorder="1" applyAlignment="1">
      <alignment horizontal="right" vertical="center"/>
    </xf>
    <xf numFmtId="4" fontId="2" fillId="17" borderId="15" xfId="0" applyNumberFormat="1" applyFont="1" applyFill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4" fontId="9" fillId="0" borderId="29" xfId="0" applyNumberFormat="1" applyFont="1" applyBorder="1" applyAlignment="1">
      <alignment horizontal="right" vertical="center"/>
    </xf>
    <xf numFmtId="4" fontId="9" fillId="0" borderId="30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2" fillId="4" borderId="38" xfId="0" applyNumberFormat="1" applyFont="1" applyFill="1" applyBorder="1" applyAlignment="1">
      <alignment horizontal="right" vertical="center"/>
    </xf>
    <xf numFmtId="4" fontId="2" fillId="4" borderId="39" xfId="0" applyNumberFormat="1" applyFont="1" applyFill="1" applyBorder="1" applyAlignment="1">
      <alignment horizontal="right" vertical="center"/>
    </xf>
    <xf numFmtId="0" fontId="2" fillId="4" borderId="40" xfId="0" applyFont="1" applyFill="1" applyBorder="1" applyAlignment="1">
      <alignment horizontal="center" vertical="center"/>
    </xf>
    <xf numFmtId="4" fontId="9" fillId="4" borderId="29" xfId="0" applyNumberFormat="1" applyFont="1" applyFill="1" applyBorder="1" applyAlignment="1">
      <alignment horizontal="right" vertical="center"/>
    </xf>
    <xf numFmtId="4" fontId="9" fillId="4" borderId="30" xfId="0" applyNumberFormat="1" applyFont="1" applyFill="1" applyBorder="1" applyAlignment="1">
      <alignment horizontal="right" vertical="center"/>
    </xf>
    <xf numFmtId="0" fontId="2" fillId="4" borderId="11" xfId="0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right" vertical="center"/>
    </xf>
    <xf numFmtId="4" fontId="9" fillId="4" borderId="24" xfId="0" applyNumberFormat="1" applyFont="1" applyFill="1" applyBorder="1" applyAlignment="1">
      <alignment horizontal="right" vertical="center"/>
    </xf>
    <xf numFmtId="0" fontId="2" fillId="4" borderId="41" xfId="0" applyFont="1" applyFill="1" applyBorder="1" applyAlignment="1">
      <alignment horizontal="center" vertical="center"/>
    </xf>
    <xf numFmtId="4" fontId="9" fillId="4" borderId="32" xfId="0" applyNumberFormat="1" applyFont="1" applyFill="1" applyBorder="1" applyAlignment="1">
      <alignment horizontal="right" vertical="center"/>
    </xf>
    <xf numFmtId="4" fontId="9" fillId="4" borderId="34" xfId="0" applyNumberFormat="1" applyFont="1" applyFill="1" applyBorder="1" applyAlignment="1">
      <alignment horizontal="right" vertical="center"/>
    </xf>
    <xf numFmtId="0" fontId="2" fillId="7" borderId="8" xfId="0" applyFont="1" applyFill="1" applyBorder="1" applyAlignment="1">
      <alignment horizontal="center" vertical="center"/>
    </xf>
    <xf numFmtId="4" fontId="9" fillId="7" borderId="9" xfId="0" applyNumberFormat="1" applyFont="1" applyFill="1" applyBorder="1" applyAlignment="1">
      <alignment horizontal="right" vertical="center"/>
    </xf>
    <xf numFmtId="4" fontId="9" fillId="7" borderId="42" xfId="0" applyNumberFormat="1" applyFont="1" applyFill="1" applyBorder="1" applyAlignment="1">
      <alignment horizontal="right" vertical="center"/>
    </xf>
    <xf numFmtId="4" fontId="9" fillId="7" borderId="35" xfId="0" applyNumberFormat="1" applyFont="1" applyFill="1" applyBorder="1" applyAlignment="1">
      <alignment horizontal="right" vertical="center"/>
    </xf>
    <xf numFmtId="0" fontId="2" fillId="7" borderId="11" xfId="0" applyFont="1" applyFill="1" applyBorder="1" applyAlignment="1">
      <alignment horizontal="center" vertical="center"/>
    </xf>
    <xf numFmtId="4" fontId="9" fillId="7" borderId="23" xfId="0" applyNumberFormat="1" applyFont="1" applyFill="1" applyBorder="1" applyAlignment="1">
      <alignment horizontal="right" vertical="center"/>
    </xf>
    <xf numFmtId="4" fontId="9" fillId="7" borderId="25" xfId="0" applyNumberFormat="1" applyFont="1" applyFill="1" applyBorder="1" applyAlignment="1">
      <alignment horizontal="right" vertical="center"/>
    </xf>
    <xf numFmtId="4" fontId="9" fillId="7" borderId="24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horizontal="center" vertical="center"/>
    </xf>
    <xf numFmtId="4" fontId="9" fillId="7" borderId="32" xfId="0" applyNumberFormat="1" applyFont="1" applyFill="1" applyBorder="1" applyAlignment="1">
      <alignment horizontal="right" vertical="center"/>
    </xf>
    <xf numFmtId="4" fontId="9" fillId="7" borderId="33" xfId="0" applyNumberFormat="1" applyFont="1" applyFill="1" applyBorder="1" applyAlignment="1">
      <alignment horizontal="right" vertical="center"/>
    </xf>
    <xf numFmtId="4" fontId="9" fillId="7" borderId="34" xfId="0" applyNumberFormat="1" applyFont="1" applyFill="1" applyBorder="1" applyAlignment="1">
      <alignment horizontal="right" vertical="center"/>
    </xf>
    <xf numFmtId="0" fontId="2" fillId="15" borderId="44" xfId="0" applyFont="1" applyFill="1" applyBorder="1" applyAlignment="1">
      <alignment horizontal="center" vertical="center"/>
    </xf>
    <xf numFmtId="4" fontId="2" fillId="15" borderId="9" xfId="0" applyNumberFormat="1" applyFont="1" applyFill="1" applyBorder="1" applyAlignment="1">
      <alignment horizontal="right" vertical="center"/>
    </xf>
    <xf numFmtId="4" fontId="2" fillId="15" borderId="35" xfId="0" applyNumberFormat="1" applyFont="1" applyFill="1" applyBorder="1" applyAlignment="1">
      <alignment horizontal="right" vertical="center"/>
    </xf>
    <xf numFmtId="0" fontId="2" fillId="15" borderId="22" xfId="0" applyFont="1" applyFill="1" applyBorder="1" applyAlignment="1">
      <alignment horizontal="center" vertical="center"/>
    </xf>
    <xf numFmtId="4" fontId="2" fillId="15" borderId="23" xfId="0" applyNumberFormat="1" applyFont="1" applyFill="1" applyBorder="1" applyAlignment="1">
      <alignment horizontal="right" vertical="center"/>
    </xf>
    <xf numFmtId="4" fontId="2" fillId="15" borderId="24" xfId="0" applyNumberFormat="1" applyFont="1" applyFill="1" applyBorder="1" applyAlignment="1">
      <alignment horizontal="right" vertical="center"/>
    </xf>
    <xf numFmtId="4" fontId="9" fillId="15" borderId="23" xfId="0" applyNumberFormat="1" applyFont="1" applyFill="1" applyBorder="1" applyAlignment="1">
      <alignment vertical="center"/>
    </xf>
    <xf numFmtId="4" fontId="9" fillId="15" borderId="24" xfId="0" applyNumberFormat="1" applyFont="1" applyFill="1" applyBorder="1" applyAlignment="1">
      <alignment vertical="center"/>
    </xf>
    <xf numFmtId="0" fontId="2" fillId="15" borderId="37" xfId="0" applyFont="1" applyFill="1" applyBorder="1" applyAlignment="1">
      <alignment horizontal="center" vertical="center"/>
    </xf>
    <xf numFmtId="4" fontId="9" fillId="15" borderId="14" xfId="0" applyNumberFormat="1" applyFont="1" applyFill="1" applyBorder="1" applyAlignment="1">
      <alignment vertical="center"/>
    </xf>
    <xf numFmtId="4" fontId="2" fillId="15" borderId="14" xfId="0" applyNumberFormat="1" applyFont="1" applyFill="1" applyBorder="1" applyAlignment="1">
      <alignment horizontal="right" vertical="center"/>
    </xf>
    <xf numFmtId="4" fontId="9" fillId="15" borderId="15" xfId="0" applyNumberFormat="1" applyFont="1" applyFill="1" applyBorder="1" applyAlignment="1">
      <alignment vertical="center"/>
    </xf>
    <xf numFmtId="0" fontId="9" fillId="14" borderId="46" xfId="0" applyFont="1" applyFill="1" applyBorder="1" applyAlignment="1">
      <alignment vertical="center" wrapText="1"/>
    </xf>
    <xf numFmtId="0" fontId="9" fillId="14" borderId="0" xfId="0" applyFont="1" applyFill="1" applyAlignment="1">
      <alignment vertical="center" wrapText="1"/>
    </xf>
    <xf numFmtId="0" fontId="2" fillId="22" borderId="48" xfId="0" applyFont="1" applyFill="1" applyBorder="1" applyAlignment="1">
      <alignment vertical="center" wrapText="1"/>
    </xf>
    <xf numFmtId="0" fontId="2" fillId="22" borderId="49" xfId="0" applyFont="1" applyFill="1" applyBorder="1" applyAlignment="1">
      <alignment vertical="center" wrapText="1"/>
    </xf>
    <xf numFmtId="0" fontId="2" fillId="22" borderId="50" xfId="0" applyFont="1" applyFill="1" applyBorder="1" applyAlignment="1">
      <alignment vertical="center" wrapText="1"/>
    </xf>
    <xf numFmtId="0" fontId="2" fillId="23" borderId="51" xfId="0" applyFont="1" applyFill="1" applyBorder="1" applyAlignment="1">
      <alignment vertical="center" wrapText="1"/>
    </xf>
    <xf numFmtId="0" fontId="2" fillId="22" borderId="49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 wrapText="1"/>
    </xf>
    <xf numFmtId="2" fontId="14" fillId="23" borderId="54" xfId="0" applyNumberFormat="1" applyFont="1" applyFill="1" applyBorder="1" applyAlignment="1">
      <alignment horizontal="center" vertical="center" wrapText="1"/>
    </xf>
    <xf numFmtId="2" fontId="0" fillId="0" borderId="54" xfId="0" applyNumberFormat="1" applyBorder="1" applyAlignment="1">
      <alignment horizontal="center" vertical="center"/>
    </xf>
    <xf numFmtId="0" fontId="9" fillId="0" borderId="55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56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33" xfId="0" applyFont="1" applyBorder="1" applyAlignment="1">
      <alignment horizontal="center" vertical="center" wrapText="1"/>
    </xf>
    <xf numFmtId="2" fontId="2" fillId="24" borderId="57" xfId="0" applyNumberFormat="1" applyFont="1" applyFill="1" applyBorder="1" applyAlignment="1">
      <alignment horizontal="center" vertical="center" wrapText="1"/>
    </xf>
    <xf numFmtId="2" fontId="2" fillId="24" borderId="58" xfId="0" applyNumberFormat="1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2" fontId="14" fillId="23" borderId="52" xfId="0" applyNumberFormat="1" applyFont="1" applyFill="1" applyBorder="1" applyAlignment="1">
      <alignment horizontal="center" vertical="center" wrapText="1"/>
    </xf>
    <xf numFmtId="2" fontId="9" fillId="0" borderId="40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24" borderId="47" xfId="0" applyFont="1" applyFill="1" applyBorder="1" applyAlignment="1">
      <alignment vertical="center" wrapText="1"/>
    </xf>
    <xf numFmtId="2" fontId="2" fillId="24" borderId="47" xfId="0" applyNumberFormat="1" applyFont="1" applyFill="1" applyBorder="1" applyAlignment="1">
      <alignment horizontal="center" vertical="center" wrapText="1"/>
    </xf>
    <xf numFmtId="2" fontId="9" fillId="0" borderId="23" xfId="0" applyNumberFormat="1" applyFont="1" applyBorder="1" applyAlignment="1">
      <alignment horizontal="center" vertical="center" wrapText="1"/>
    </xf>
    <xf numFmtId="2" fontId="2" fillId="25" borderId="47" xfId="0" applyNumberFormat="1" applyFont="1" applyFill="1" applyBorder="1" applyAlignment="1">
      <alignment horizontal="center" vertical="center" wrapText="1"/>
    </xf>
    <xf numFmtId="0" fontId="9" fillId="14" borderId="63" xfId="0" applyFont="1" applyFill="1" applyBorder="1" applyAlignment="1">
      <alignment vertical="center" wrapText="1"/>
    </xf>
    <xf numFmtId="0" fontId="9" fillId="14" borderId="64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7" fillId="26" borderId="65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wrapText="1"/>
    </xf>
    <xf numFmtId="0" fontId="18" fillId="3" borderId="0" xfId="0" applyFont="1" applyFill="1" applyAlignment="1">
      <alignment wrapText="1"/>
    </xf>
    <xf numFmtId="2" fontId="18" fillId="3" borderId="0" xfId="0" applyNumberFormat="1" applyFont="1" applyFill="1" applyAlignment="1">
      <alignment wrapText="1"/>
    </xf>
    <xf numFmtId="2" fontId="14" fillId="27" borderId="65" xfId="0" applyNumberFormat="1" applyFont="1" applyFill="1" applyBorder="1" applyAlignment="1">
      <alignment wrapText="1"/>
    </xf>
    <xf numFmtId="0" fontId="19" fillId="0" borderId="0" xfId="0" applyFont="1" applyAlignment="1">
      <alignment wrapText="1"/>
    </xf>
    <xf numFmtId="2" fontId="19" fillId="0" borderId="0" xfId="0" applyNumberFormat="1" applyFont="1" applyAlignment="1">
      <alignment wrapText="1"/>
    </xf>
    <xf numFmtId="0" fontId="9" fillId="28" borderId="0" xfId="0" applyFont="1" applyFill="1" applyAlignment="1">
      <alignment wrapText="1"/>
    </xf>
    <xf numFmtId="2" fontId="14" fillId="0" borderId="65" xfId="0" applyNumberFormat="1" applyFont="1" applyBorder="1" applyAlignment="1">
      <alignment wrapText="1"/>
    </xf>
    <xf numFmtId="1" fontId="19" fillId="0" borderId="0" xfId="0" applyNumberFormat="1" applyFont="1" applyAlignment="1">
      <alignment wrapText="1"/>
    </xf>
    <xf numFmtId="0" fontId="2" fillId="18" borderId="27" xfId="0" applyFont="1" applyFill="1" applyBorder="1" applyAlignment="1">
      <alignment horizontal="left" vertical="center"/>
    </xf>
    <xf numFmtId="0" fontId="2" fillId="17" borderId="18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20" borderId="36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4" borderId="12" xfId="0" applyFont="1" applyFill="1" applyBorder="1" applyAlignment="1">
      <alignment horizontal="right" vertical="center"/>
    </xf>
    <xf numFmtId="0" fontId="2" fillId="0" borderId="31" xfId="0" applyFont="1" applyBorder="1" applyAlignment="1">
      <alignment horizontal="left" vertical="center"/>
    </xf>
    <xf numFmtId="0" fontId="2" fillId="4" borderId="27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15" borderId="43" xfId="0" applyFont="1" applyFill="1" applyBorder="1" applyAlignment="1">
      <alignment horizontal="center" vertical="center"/>
    </xf>
    <xf numFmtId="0" fontId="15" fillId="9" borderId="45" xfId="0" applyFont="1" applyFill="1" applyBorder="1" applyAlignment="1">
      <alignment horizontal="center" vertical="center" wrapText="1"/>
    </xf>
    <xf numFmtId="0" fontId="2" fillId="21" borderId="47" xfId="0" applyFont="1" applyFill="1" applyBorder="1" applyAlignment="1">
      <alignment vertical="center" wrapText="1"/>
    </xf>
    <xf numFmtId="0" fontId="2" fillId="24" borderId="57" xfId="0" applyFont="1" applyFill="1" applyBorder="1" applyAlignment="1">
      <alignment horizontal="center" vertical="center" wrapText="1"/>
    </xf>
    <xf numFmtId="0" fontId="2" fillId="24" borderId="58" xfId="0" applyFont="1" applyFill="1" applyBorder="1" applyAlignment="1">
      <alignment horizontal="center" vertical="center" wrapText="1"/>
    </xf>
    <xf numFmtId="0" fontId="2" fillId="21" borderId="47" xfId="0" applyFont="1" applyFill="1" applyBorder="1" applyAlignment="1">
      <alignment horizontal="center" vertical="center" wrapText="1"/>
    </xf>
    <xf numFmtId="0" fontId="2" fillId="22" borderId="59" xfId="0" applyFont="1" applyFill="1" applyBorder="1" applyAlignment="1">
      <alignment horizontal="center" vertical="center" wrapText="1"/>
    </xf>
    <xf numFmtId="0" fontId="2" fillId="22" borderId="51" xfId="0" applyFont="1" applyFill="1" applyBorder="1" applyAlignment="1">
      <alignment horizontal="center" vertical="center" wrapText="1"/>
    </xf>
    <xf numFmtId="0" fontId="2" fillId="22" borderId="50" xfId="0" applyFont="1" applyFill="1" applyBorder="1" applyAlignment="1">
      <alignment horizontal="center" vertical="center" wrapText="1"/>
    </xf>
    <xf numFmtId="0" fontId="2" fillId="22" borderId="47" xfId="0" applyFont="1" applyFill="1" applyBorder="1" applyAlignment="1">
      <alignment horizontal="center" vertical="center" wrapText="1"/>
    </xf>
    <xf numFmtId="0" fontId="2" fillId="23" borderId="47" xfId="0" applyFont="1" applyFill="1" applyBorder="1" applyAlignment="1">
      <alignment horizontal="center" vertical="center" wrapText="1"/>
    </xf>
    <xf numFmtId="0" fontId="2" fillId="24" borderId="47" xfId="0" applyFont="1" applyFill="1" applyBorder="1" applyAlignment="1">
      <alignment vertical="center" wrapText="1"/>
    </xf>
    <xf numFmtId="0" fontId="9" fillId="14" borderId="60" xfId="0" applyFont="1" applyFill="1" applyBorder="1" applyAlignment="1">
      <alignment vertical="center" wrapText="1"/>
    </xf>
    <xf numFmtId="0" fontId="2" fillId="22" borderId="59" xfId="0" applyFont="1" applyFill="1" applyBorder="1" applyAlignment="1">
      <alignment vertical="center" wrapText="1"/>
    </xf>
    <xf numFmtId="0" fontId="2" fillId="22" borderId="51" xfId="0" applyFont="1" applyFill="1" applyBorder="1" applyAlignment="1">
      <alignment vertical="center" wrapText="1"/>
    </xf>
    <xf numFmtId="0" fontId="2" fillId="22" borderId="61" xfId="0" applyFont="1" applyFill="1" applyBorder="1" applyAlignment="1">
      <alignment horizontal="center" vertical="center" wrapText="1"/>
    </xf>
    <xf numFmtId="0" fontId="2" fillId="25" borderId="47" xfId="0" applyFont="1" applyFill="1" applyBorder="1" applyAlignment="1">
      <alignment vertical="center" wrapText="1"/>
    </xf>
    <xf numFmtId="0" fontId="9" fillId="14" borderId="60" xfId="0" applyFont="1" applyFill="1" applyBorder="1" applyAlignment="1">
      <alignment horizontal="center" vertical="center" wrapText="1"/>
    </xf>
    <xf numFmtId="0" fontId="9" fillId="14" borderId="55" xfId="0" applyFont="1" applyFill="1" applyBorder="1" applyAlignment="1">
      <alignment vertical="center" wrapText="1"/>
    </xf>
    <xf numFmtId="0" fontId="2" fillId="14" borderId="23" xfId="0" applyFont="1" applyFill="1" applyBorder="1" applyAlignment="1">
      <alignment vertical="center" wrapText="1"/>
    </xf>
    <xf numFmtId="0" fontId="9" fillId="14" borderId="62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</cellXfs>
  <cellStyles count="2">
    <cellStyle name="Normal" xfId="0" builtinId="0"/>
    <cellStyle name="TableStyleLight1" xfId="1" xr:uid="{00000000-000B-0000-0000-00003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D966"/>
      <rgbColor rgb="FFFF00FF"/>
      <rgbColor rgb="FFDAE3F3"/>
      <rgbColor rgb="FF800000"/>
      <rgbColor rgb="FF008000"/>
      <rgbColor rgb="FF000080"/>
      <rgbColor rgb="FFD9E1F2"/>
      <rgbColor rgb="FF800080"/>
      <rgbColor rgb="FF008080"/>
      <rgbColor rgb="FFC9C9C9"/>
      <rgbColor rgb="FF7B7B7B"/>
      <rgbColor rgb="FF8EA9DB"/>
      <rgbColor rgb="FF993366"/>
      <rgbColor rgb="FFFFF2CC"/>
      <rgbColor rgb="FFDDEBF7"/>
      <rgbColor rgb="FF660066"/>
      <rgbColor rgb="FFF4B084"/>
      <rgbColor rgb="FF0066CC"/>
      <rgbColor rgb="FFB4C6E7"/>
      <rgbColor rgb="FF000080"/>
      <rgbColor rgb="FFFF00FF"/>
      <rgbColor rgb="FFFCE4D6"/>
      <rgbColor rgb="FF00FFFF"/>
      <rgbColor rgb="FF800080"/>
      <rgbColor rgb="FF800000"/>
      <rgbColor rgb="FF008080"/>
      <rgbColor rgb="FF0000FF"/>
      <rgbColor rgb="FF00B0F0"/>
      <rgbColor rgb="FFDEEBF7"/>
      <rgbColor rgb="FFE2EFDA"/>
      <rgbColor rgb="FFFFFF99"/>
      <rgbColor rgb="FF9DC3E6"/>
      <rgbColor rgb="FFF7ADAD"/>
      <rgbColor rgb="FF9BC2E6"/>
      <rgbColor rgb="FFFFCC99"/>
      <rgbColor rgb="FF3333FF"/>
      <rgbColor rgb="FFA9D08E"/>
      <rgbColor rgb="FF92D050"/>
      <rgbColor rgb="FFFFC000"/>
      <rgbColor rgb="FFFFCCCC"/>
      <rgbColor rgb="FFF7CDCD"/>
      <rgbColor rgb="FFD0CECE"/>
      <rgbColor rgb="FFB2B2B2"/>
      <rgbColor rgb="FF1F4E78"/>
      <rgbColor rgb="FF5B9BD5"/>
      <rgbColor rgb="FF161616"/>
      <rgbColor rgb="FF333300"/>
      <rgbColor rgb="FF993300"/>
      <rgbColor rgb="FF993366"/>
      <rgbColor rgb="FF30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1:AMK96"/>
  <sheetViews>
    <sheetView windowProtection="1" topLeftCell="A79" zoomScaleNormal="100" workbookViewId="0">
      <selection activeCell="M92" sqref="M92"/>
    </sheetView>
  </sheetViews>
  <sheetFormatPr defaultRowHeight="15" x14ac:dyDescent="0.25"/>
  <cols>
    <col min="1" max="1" width="9.140625" style="15"/>
    <col min="2" max="2" width="40.5703125" style="15"/>
    <col min="3" max="6" width="9.7109375" style="15"/>
    <col min="7" max="7" width="10" style="15"/>
    <col min="8" max="8" width="10.5703125" style="15"/>
    <col min="9" max="9" width="11.42578125" style="15"/>
    <col min="10" max="10" width="10.5703125" style="15"/>
    <col min="11" max="11" width="11.28515625" style="15"/>
    <col min="12" max="13" width="10.140625" style="15"/>
    <col min="14" max="14" width="1.42578125" style="15"/>
    <col min="15" max="15" width="13.7109375" style="15"/>
    <col min="16" max="16" width="2" style="15"/>
    <col min="17" max="1025" width="9.140625" style="15"/>
  </cols>
  <sheetData>
    <row r="1" spans="1:1024" ht="23.2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6"/>
      <c r="Q1" s="16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s="16" customFormat="1" ht="12.75" x14ac:dyDescent="0.25">
      <c r="A2" s="13" t="s">
        <v>1</v>
      </c>
      <c r="B2" s="13"/>
      <c r="C2" s="12" t="s">
        <v>2</v>
      </c>
      <c r="D2" s="12"/>
      <c r="E2" s="12"/>
      <c r="F2" s="12"/>
      <c r="G2" s="11" t="s">
        <v>3</v>
      </c>
      <c r="H2" s="11"/>
      <c r="I2" s="11"/>
      <c r="J2" s="11"/>
      <c r="K2" s="10" t="s">
        <v>4</v>
      </c>
      <c r="L2" s="10"/>
      <c r="M2" s="10"/>
      <c r="N2" s="17"/>
      <c r="O2" s="18" t="s">
        <v>5</v>
      </c>
    </row>
    <row r="3" spans="1:1024" s="25" customFormat="1" ht="36.75" customHeight="1" x14ac:dyDescent="0.25">
      <c r="A3" s="19" t="s">
        <v>6</v>
      </c>
      <c r="B3" s="19" t="s">
        <v>7</v>
      </c>
      <c r="C3" s="20" t="s">
        <v>8</v>
      </c>
      <c r="D3" s="20" t="s">
        <v>9</v>
      </c>
      <c r="E3" s="20" t="s">
        <v>10</v>
      </c>
      <c r="F3" s="20" t="s">
        <v>11</v>
      </c>
      <c r="G3" s="21" t="s">
        <v>12</v>
      </c>
      <c r="H3" s="21" t="s">
        <v>13</v>
      </c>
      <c r="I3" s="21" t="s">
        <v>14</v>
      </c>
      <c r="J3" s="21" t="s">
        <v>15</v>
      </c>
      <c r="K3" s="22" t="s">
        <v>16</v>
      </c>
      <c r="L3" s="22" t="s">
        <v>17</v>
      </c>
      <c r="M3" s="22" t="s">
        <v>18</v>
      </c>
      <c r="N3" s="23" t="s">
        <v>19</v>
      </c>
      <c r="O3" s="24" t="s">
        <v>20</v>
      </c>
    </row>
    <row r="4" spans="1:1024" x14ac:dyDescent="0.25">
      <c r="A4" s="26">
        <v>1</v>
      </c>
      <c r="B4" s="27" t="s">
        <v>21</v>
      </c>
      <c r="C4" s="28">
        <v>0</v>
      </c>
      <c r="D4" s="28">
        <v>1</v>
      </c>
      <c r="E4" s="28">
        <v>2</v>
      </c>
      <c r="F4" s="28">
        <v>0</v>
      </c>
      <c r="G4" s="29"/>
      <c r="H4" s="29">
        <f>D4*PR!G141</f>
        <v>1385.8486359999997</v>
      </c>
      <c r="I4" s="29">
        <f>E4*PR!C141</f>
        <v>2078.034913</v>
      </c>
      <c r="J4" s="29"/>
      <c r="K4" s="30">
        <v>619.39</v>
      </c>
      <c r="L4" s="31">
        <f>PR!D153*6</f>
        <v>28.336839722727277</v>
      </c>
      <c r="M4" s="31">
        <f>PR!E153*6</f>
        <v>28.336839722727277</v>
      </c>
      <c r="N4" s="32"/>
      <c r="O4" s="33">
        <f t="shared" ref="O4:O35" si="0">SUM(G4:M4)</f>
        <v>4139.9472284454532</v>
      </c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x14ac:dyDescent="0.25">
      <c r="A5" s="34">
        <v>2</v>
      </c>
      <c r="B5" s="35" t="s">
        <v>22</v>
      </c>
      <c r="C5" s="28">
        <v>0</v>
      </c>
      <c r="D5" s="28">
        <v>0</v>
      </c>
      <c r="E5" s="28">
        <v>0</v>
      </c>
      <c r="F5" s="28">
        <v>0</v>
      </c>
      <c r="G5" s="29"/>
      <c r="H5" s="29"/>
      <c r="I5" s="29"/>
      <c r="J5" s="29"/>
      <c r="K5" s="30">
        <v>619.39</v>
      </c>
      <c r="L5" s="31">
        <f>PR!D153*6</f>
        <v>28.336839722727277</v>
      </c>
      <c r="M5" s="31">
        <f>PR!E153*6</f>
        <v>28.336839722727277</v>
      </c>
      <c r="N5" s="32"/>
      <c r="O5" s="33">
        <f t="shared" si="0"/>
        <v>676.06367944545457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5">
      <c r="A6" s="34">
        <v>3</v>
      </c>
      <c r="B6" s="35" t="s">
        <v>23</v>
      </c>
      <c r="C6" s="28">
        <v>0</v>
      </c>
      <c r="D6" s="28">
        <v>0</v>
      </c>
      <c r="E6" s="28">
        <v>0</v>
      </c>
      <c r="F6" s="28">
        <v>0</v>
      </c>
      <c r="G6" s="29"/>
      <c r="H6" s="29"/>
      <c r="I6" s="29"/>
      <c r="J6" s="29"/>
      <c r="K6" s="30">
        <v>619.39</v>
      </c>
      <c r="L6" s="31">
        <f>PR!D153*6</f>
        <v>28.336839722727277</v>
      </c>
      <c r="M6" s="31">
        <f>PR!E153*6</f>
        <v>28.336839722727277</v>
      </c>
      <c r="N6" s="32"/>
      <c r="O6" s="33">
        <f t="shared" si="0"/>
        <v>676.06367944545457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5">
      <c r="A7" s="34">
        <v>4</v>
      </c>
      <c r="B7" s="35" t="s">
        <v>24</v>
      </c>
      <c r="C7" s="28">
        <v>0</v>
      </c>
      <c r="D7" s="28">
        <v>1</v>
      </c>
      <c r="E7" s="28">
        <v>5</v>
      </c>
      <c r="F7" s="28">
        <v>2</v>
      </c>
      <c r="G7" s="29"/>
      <c r="H7" s="29">
        <f>D7*PR!G141</f>
        <v>1385.8486359999997</v>
      </c>
      <c r="I7" s="29">
        <f>E7*PR!C141</f>
        <v>5195.0872824999997</v>
      </c>
      <c r="J7" s="29">
        <f>F7*PR!D141</f>
        <v>2078.034913</v>
      </c>
      <c r="K7" s="30">
        <v>619.39</v>
      </c>
      <c r="L7" s="31">
        <f>PR!D153*6</f>
        <v>28.336839722727277</v>
      </c>
      <c r="M7" s="31">
        <f>PR!E153*6</f>
        <v>28.336839722727277</v>
      </c>
      <c r="N7" s="32"/>
      <c r="O7" s="33">
        <f t="shared" si="0"/>
        <v>9335.0345109454538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5">
      <c r="A8" s="34">
        <v>5</v>
      </c>
      <c r="B8" s="35" t="s">
        <v>25</v>
      </c>
      <c r="C8" s="28">
        <v>0</v>
      </c>
      <c r="D8" s="28">
        <v>1</v>
      </c>
      <c r="E8" s="28">
        <v>2</v>
      </c>
      <c r="F8" s="28">
        <v>1</v>
      </c>
      <c r="G8" s="29"/>
      <c r="H8" s="29">
        <f>D8*PR!G141</f>
        <v>1385.8486359999997</v>
      </c>
      <c r="I8" s="29">
        <f>E8*PR!C141</f>
        <v>2078.034913</v>
      </c>
      <c r="J8" s="29">
        <f>F8*PR!D119</f>
        <v>177.59</v>
      </c>
      <c r="K8" s="30">
        <v>619.39</v>
      </c>
      <c r="L8" s="31">
        <f>PR!D153*6</f>
        <v>28.336839722727277</v>
      </c>
      <c r="M8" s="31">
        <f>PR!E153*6</f>
        <v>28.336839722727277</v>
      </c>
      <c r="N8" s="32"/>
      <c r="O8" s="33">
        <f t="shared" si="0"/>
        <v>4317.5372284454534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5">
      <c r="A9" s="34">
        <v>6</v>
      </c>
      <c r="B9" s="35" t="s">
        <v>26</v>
      </c>
      <c r="C9" s="28">
        <v>0</v>
      </c>
      <c r="D9" s="28">
        <v>0</v>
      </c>
      <c r="E9" s="28">
        <v>2</v>
      </c>
      <c r="F9" s="28">
        <v>6</v>
      </c>
      <c r="G9" s="29"/>
      <c r="H9" s="29"/>
      <c r="I9" s="29">
        <f>E9*PR!C141</f>
        <v>2078.034913</v>
      </c>
      <c r="J9" s="29">
        <f>F9*PR!D141</f>
        <v>6234.1047390000003</v>
      </c>
      <c r="K9" s="30">
        <v>619.39</v>
      </c>
      <c r="L9" s="31">
        <f>PR!D153*6</f>
        <v>28.336839722727277</v>
      </c>
      <c r="M9" s="31">
        <f>PR!E153*6</f>
        <v>28.336839722727277</v>
      </c>
      <c r="N9" s="32"/>
      <c r="O9" s="33">
        <f t="shared" si="0"/>
        <v>8988.2033314454548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5">
      <c r="A10" s="34">
        <v>7</v>
      </c>
      <c r="B10" s="35" t="s">
        <v>27</v>
      </c>
      <c r="C10" s="28">
        <v>0</v>
      </c>
      <c r="D10" s="28">
        <v>1</v>
      </c>
      <c r="E10" s="28">
        <v>2</v>
      </c>
      <c r="F10" s="28">
        <v>1</v>
      </c>
      <c r="G10" s="29"/>
      <c r="H10" s="29">
        <f>D10*PR!G144</f>
        <v>1408.3586359999999</v>
      </c>
      <c r="I10" s="29">
        <f>E10*PR!C144</f>
        <v>2111.7949129999997</v>
      </c>
      <c r="J10" s="29">
        <f>F10*PR!D144</f>
        <v>1055.8974564999999</v>
      </c>
      <c r="K10" s="30">
        <v>619.39</v>
      </c>
      <c r="L10" s="31">
        <f>PR!D156*6</f>
        <v>28.797203359090908</v>
      </c>
      <c r="M10" s="31">
        <f>PR!E156*6</f>
        <v>28.797203359090908</v>
      </c>
      <c r="N10" s="32"/>
      <c r="O10" s="33">
        <f t="shared" si="0"/>
        <v>5253.0354122181825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5">
      <c r="A11" s="34">
        <v>8</v>
      </c>
      <c r="B11" s="35" t="s">
        <v>28</v>
      </c>
      <c r="C11" s="28">
        <v>0</v>
      </c>
      <c r="D11" s="28">
        <v>0</v>
      </c>
      <c r="E11" s="28">
        <v>3</v>
      </c>
      <c r="F11" s="28">
        <v>0</v>
      </c>
      <c r="G11" s="29"/>
      <c r="H11" s="29"/>
      <c r="I11" s="29">
        <f>E11*PR!C145</f>
        <v>3202.3423695000001</v>
      </c>
      <c r="J11" s="29"/>
      <c r="K11" s="30">
        <v>619.39</v>
      </c>
      <c r="L11" s="31">
        <f>PR!D157*6</f>
        <v>29.112203359090913</v>
      </c>
      <c r="M11" s="31">
        <f>PR!E157*6</f>
        <v>29.112203359090913</v>
      </c>
      <c r="N11" s="32"/>
      <c r="O11" s="33">
        <f t="shared" si="0"/>
        <v>3879.9567762181819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x14ac:dyDescent="0.25">
      <c r="A12" s="34">
        <v>9</v>
      </c>
      <c r="B12" s="35" t="s">
        <v>29</v>
      </c>
      <c r="C12" s="28">
        <v>0</v>
      </c>
      <c r="D12" s="28">
        <v>0</v>
      </c>
      <c r="E12" s="28">
        <v>3</v>
      </c>
      <c r="F12" s="28">
        <v>0</v>
      </c>
      <c r="G12" s="29"/>
      <c r="H12" s="29"/>
      <c r="I12" s="29">
        <f>E12*PR!C145</f>
        <v>3202.3423695000001</v>
      </c>
      <c r="J12" s="29"/>
      <c r="K12" s="30">
        <v>619.39</v>
      </c>
      <c r="L12" s="31">
        <f>PR!D157*6</f>
        <v>29.112203359090913</v>
      </c>
      <c r="M12" s="31">
        <f>PR!E157*6</f>
        <v>29.112203359090913</v>
      </c>
      <c r="N12" s="32"/>
      <c r="O12" s="33">
        <f t="shared" si="0"/>
        <v>3879.9567762181819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x14ac:dyDescent="0.25">
      <c r="A13" s="34">
        <v>10</v>
      </c>
      <c r="B13" s="35" t="s">
        <v>30</v>
      </c>
      <c r="C13" s="28">
        <v>0</v>
      </c>
      <c r="D13" s="28">
        <v>0</v>
      </c>
      <c r="E13" s="28">
        <v>3</v>
      </c>
      <c r="F13" s="28">
        <v>0</v>
      </c>
      <c r="G13" s="29"/>
      <c r="H13" s="29"/>
      <c r="I13" s="29">
        <f>E13*PR!C142</f>
        <v>3133.7623694999997</v>
      </c>
      <c r="J13" s="29"/>
      <c r="K13" s="30">
        <v>619.39</v>
      </c>
      <c r="L13" s="31">
        <f>PR!D154*6</f>
        <v>28.488748813636363</v>
      </c>
      <c r="M13" s="31">
        <f>PR!E154*6</f>
        <v>28.488748813636363</v>
      </c>
      <c r="N13" s="32"/>
      <c r="O13" s="33">
        <f t="shared" si="0"/>
        <v>3810.1298671272725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5">
      <c r="A14" s="34">
        <v>11</v>
      </c>
      <c r="B14" s="35" t="s">
        <v>31</v>
      </c>
      <c r="C14" s="28">
        <v>0</v>
      </c>
      <c r="D14" s="28">
        <v>0</v>
      </c>
      <c r="E14" s="28">
        <v>0</v>
      </c>
      <c r="F14" s="28">
        <v>1</v>
      </c>
      <c r="G14" s="29"/>
      <c r="H14" s="29"/>
      <c r="I14" s="29"/>
      <c r="J14" s="29">
        <f>F14*PR!D140</f>
        <v>1033.5074565</v>
      </c>
      <c r="K14" s="30">
        <v>619.39</v>
      </c>
      <c r="L14" s="31">
        <f>PR!D152*6</f>
        <v>28.186566995454545</v>
      </c>
      <c r="M14" s="31">
        <f>PR!E152*6</f>
        <v>28.186566995454545</v>
      </c>
      <c r="N14" s="32"/>
      <c r="O14" s="33">
        <f t="shared" si="0"/>
        <v>1709.2705904909089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5">
      <c r="A15" s="34">
        <v>12</v>
      </c>
      <c r="B15" s="35" t="s">
        <v>32</v>
      </c>
      <c r="C15" s="28">
        <v>0</v>
      </c>
      <c r="D15" s="28">
        <v>0</v>
      </c>
      <c r="E15" s="28">
        <v>2</v>
      </c>
      <c r="F15" s="28">
        <v>0</v>
      </c>
      <c r="G15" s="29"/>
      <c r="H15" s="29"/>
      <c r="I15" s="29">
        <f>E15*PR!C142</f>
        <v>2089.1749129999998</v>
      </c>
      <c r="J15" s="29"/>
      <c r="K15" s="30">
        <v>619.39</v>
      </c>
      <c r="L15" s="31">
        <f>PR!D154*6</f>
        <v>28.488748813636363</v>
      </c>
      <c r="M15" s="31">
        <f>PR!E154*6</f>
        <v>28.488748813636363</v>
      </c>
      <c r="N15" s="32"/>
      <c r="O15" s="33">
        <f t="shared" si="0"/>
        <v>2765.5424106272726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x14ac:dyDescent="0.25">
      <c r="A16" s="34">
        <v>13</v>
      </c>
      <c r="B16" s="35" t="s">
        <v>33</v>
      </c>
      <c r="C16" s="28">
        <v>0</v>
      </c>
      <c r="D16" s="28">
        <v>0</v>
      </c>
      <c r="E16" s="28">
        <v>2</v>
      </c>
      <c r="F16" s="28">
        <v>0</v>
      </c>
      <c r="G16" s="29"/>
      <c r="H16" s="29"/>
      <c r="I16" s="29">
        <f>E16*PR!C140</f>
        <v>2067.014913</v>
      </c>
      <c r="J16" s="29"/>
      <c r="K16" s="30">
        <v>619.39</v>
      </c>
      <c r="L16" s="31">
        <f>PR!D152*6</f>
        <v>28.186566995454545</v>
      </c>
      <c r="M16" s="31">
        <f>PR!E152*6</f>
        <v>28.186566995454545</v>
      </c>
      <c r="N16" s="32"/>
      <c r="O16" s="33">
        <f t="shared" si="0"/>
        <v>2742.7780469909089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x14ac:dyDescent="0.25">
      <c r="A17" s="34">
        <v>14</v>
      </c>
      <c r="B17" s="35" t="s">
        <v>34</v>
      </c>
      <c r="C17" s="28">
        <v>0</v>
      </c>
      <c r="D17" s="28">
        <v>0</v>
      </c>
      <c r="E17" s="28">
        <v>0</v>
      </c>
      <c r="F17" s="28">
        <v>1</v>
      </c>
      <c r="G17" s="29"/>
      <c r="H17" s="29"/>
      <c r="I17" s="29"/>
      <c r="J17" s="29">
        <f>F17*PR!D140</f>
        <v>1033.5074565</v>
      </c>
      <c r="K17" s="30">
        <v>619.39</v>
      </c>
      <c r="L17" s="31">
        <f>PR!D152*6</f>
        <v>28.186566995454545</v>
      </c>
      <c r="M17" s="31">
        <f>PR!E152*6</f>
        <v>28.186566995454545</v>
      </c>
      <c r="N17" s="32"/>
      <c r="O17" s="33">
        <f t="shared" si="0"/>
        <v>1709.2705904909089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5">
      <c r="A18" s="34">
        <v>15</v>
      </c>
      <c r="B18" s="35" t="s">
        <v>35</v>
      </c>
      <c r="C18" s="28">
        <v>0</v>
      </c>
      <c r="D18" s="28">
        <v>0</v>
      </c>
      <c r="E18" s="28">
        <v>0</v>
      </c>
      <c r="F18" s="28">
        <v>1</v>
      </c>
      <c r="G18" s="29"/>
      <c r="H18" s="29"/>
      <c r="I18" s="29"/>
      <c r="J18" s="29">
        <f>F18*PR!D140</f>
        <v>1033.5074565</v>
      </c>
      <c r="K18" s="30">
        <v>619.39</v>
      </c>
      <c r="L18" s="31">
        <f>PR!D152*6</f>
        <v>28.186566995454545</v>
      </c>
      <c r="M18" s="31">
        <f>PR!E152*6</f>
        <v>28.186566995454545</v>
      </c>
      <c r="N18" s="32"/>
      <c r="O18" s="33">
        <f t="shared" si="0"/>
        <v>1709.2705904909089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5">
      <c r="A19" s="34">
        <v>16</v>
      </c>
      <c r="B19" s="35" t="s">
        <v>36</v>
      </c>
      <c r="C19" s="28">
        <v>0</v>
      </c>
      <c r="D19" s="28">
        <v>0</v>
      </c>
      <c r="E19" s="28">
        <v>0</v>
      </c>
      <c r="F19" s="28">
        <v>1</v>
      </c>
      <c r="G19" s="29"/>
      <c r="H19" s="29"/>
      <c r="I19" s="29"/>
      <c r="J19" s="29">
        <f>F19*PR!D141</f>
        <v>1039.0174565</v>
      </c>
      <c r="K19" s="30">
        <v>619.39</v>
      </c>
      <c r="L19" s="31">
        <f>PR!D153*6</f>
        <v>28.336839722727277</v>
      </c>
      <c r="M19" s="31">
        <f>PR!E153*6</f>
        <v>28.336839722727277</v>
      </c>
      <c r="N19" s="32"/>
      <c r="O19" s="33">
        <f t="shared" si="0"/>
        <v>1715.0811359454547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5">
      <c r="A20" s="26">
        <v>17</v>
      </c>
      <c r="B20" s="27" t="s">
        <v>37</v>
      </c>
      <c r="C20" s="28">
        <v>1</v>
      </c>
      <c r="D20" s="28">
        <v>0</v>
      </c>
      <c r="E20" s="28">
        <v>0</v>
      </c>
      <c r="F20" s="28">
        <v>0</v>
      </c>
      <c r="G20" s="29">
        <f>C20*PR!F142</f>
        <v>1393.2686359999998</v>
      </c>
      <c r="H20" s="29"/>
      <c r="I20" s="29"/>
      <c r="J20" s="29"/>
      <c r="K20" s="30">
        <v>619.39</v>
      </c>
      <c r="L20" s="31">
        <f>PR!D154*6</f>
        <v>28.488748813636363</v>
      </c>
      <c r="M20" s="31">
        <f>PR!E154*6</f>
        <v>28.488748813636363</v>
      </c>
      <c r="N20" s="32"/>
      <c r="O20" s="33">
        <f t="shared" si="0"/>
        <v>2069.6361336272726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5">
      <c r="A21" s="34">
        <v>18</v>
      </c>
      <c r="B21" s="35" t="s">
        <v>38</v>
      </c>
      <c r="C21" s="28">
        <v>0</v>
      </c>
      <c r="D21" s="28">
        <v>0</v>
      </c>
      <c r="E21" s="28">
        <v>3</v>
      </c>
      <c r="F21" s="28">
        <v>0</v>
      </c>
      <c r="G21" s="29"/>
      <c r="H21" s="29"/>
      <c r="I21" s="29">
        <f>E21*PR!C144</f>
        <v>3167.6923694999996</v>
      </c>
      <c r="J21" s="29"/>
      <c r="K21" s="30">
        <v>619.39</v>
      </c>
      <c r="L21" s="31">
        <f>PR!D156*6</f>
        <v>28.797203359090908</v>
      </c>
      <c r="M21" s="31">
        <f>PR!E156*6</f>
        <v>28.797203359090908</v>
      </c>
      <c r="N21" s="32"/>
      <c r="O21" s="33">
        <f t="shared" si="0"/>
        <v>3844.6767762181812</v>
      </c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x14ac:dyDescent="0.25">
      <c r="A22" s="34">
        <v>19</v>
      </c>
      <c r="B22" s="35" t="s">
        <v>39</v>
      </c>
      <c r="C22" s="28">
        <v>0</v>
      </c>
      <c r="D22" s="28">
        <v>0</v>
      </c>
      <c r="E22" s="28">
        <v>4</v>
      </c>
      <c r="F22" s="28">
        <v>0</v>
      </c>
      <c r="G22" s="29"/>
      <c r="H22" s="29"/>
      <c r="I22" s="29">
        <f>E22*PR!C142</f>
        <v>4178.3498259999997</v>
      </c>
      <c r="J22" s="29"/>
      <c r="K22" s="30">
        <v>619.39</v>
      </c>
      <c r="L22" s="31">
        <f>PR!D154*6</f>
        <v>28.488748813636363</v>
      </c>
      <c r="M22" s="31">
        <f>PR!E154*6</f>
        <v>28.488748813636363</v>
      </c>
      <c r="N22" s="32"/>
      <c r="O22" s="33">
        <f t="shared" si="0"/>
        <v>4854.7173236272729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x14ac:dyDescent="0.25">
      <c r="A23" s="34">
        <v>20</v>
      </c>
      <c r="B23" s="35" t="s">
        <v>40</v>
      </c>
      <c r="C23" s="28">
        <v>0</v>
      </c>
      <c r="D23" s="28">
        <v>0</v>
      </c>
      <c r="E23" s="28">
        <v>5</v>
      </c>
      <c r="F23" s="28">
        <v>0</v>
      </c>
      <c r="G23" s="29"/>
      <c r="H23" s="29"/>
      <c r="I23" s="29">
        <f>E23*PR!C144</f>
        <v>5279.4872824999993</v>
      </c>
      <c r="J23" s="29"/>
      <c r="K23" s="30">
        <v>619.39</v>
      </c>
      <c r="L23" s="31">
        <f>PR!D156*6</f>
        <v>28.797203359090908</v>
      </c>
      <c r="M23" s="31">
        <f>PR!E156*6</f>
        <v>28.797203359090908</v>
      </c>
      <c r="N23" s="32"/>
      <c r="O23" s="33">
        <f t="shared" si="0"/>
        <v>5956.4716892181823</v>
      </c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5">
      <c r="A24" s="34">
        <v>21</v>
      </c>
      <c r="B24" s="35" t="s">
        <v>41</v>
      </c>
      <c r="C24" s="28">
        <v>0</v>
      </c>
      <c r="D24" s="28">
        <v>0</v>
      </c>
      <c r="E24" s="28">
        <v>5</v>
      </c>
      <c r="F24" s="28">
        <v>0</v>
      </c>
      <c r="G24" s="29"/>
      <c r="H24" s="29"/>
      <c r="I24" s="29">
        <f>E24*PR!C142</f>
        <v>5222.9372824999991</v>
      </c>
      <c r="J24" s="29"/>
      <c r="K24" s="30">
        <v>619.39</v>
      </c>
      <c r="L24" s="31">
        <f>PR!D154*6</f>
        <v>28.488748813636363</v>
      </c>
      <c r="M24" s="31">
        <f>PR!E154*6</f>
        <v>28.488748813636363</v>
      </c>
      <c r="N24" s="32"/>
      <c r="O24" s="33">
        <f t="shared" si="0"/>
        <v>5899.3047801272724</v>
      </c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5">
      <c r="A25" s="34">
        <v>22</v>
      </c>
      <c r="B25" s="35" t="s">
        <v>42</v>
      </c>
      <c r="C25" s="28">
        <v>0</v>
      </c>
      <c r="D25" s="28">
        <v>0</v>
      </c>
      <c r="E25" s="28">
        <v>3</v>
      </c>
      <c r="F25" s="28">
        <v>0</v>
      </c>
      <c r="G25" s="29"/>
      <c r="H25" s="29"/>
      <c r="I25" s="29">
        <f>E25*PR!C142</f>
        <v>3133.7623694999997</v>
      </c>
      <c r="J25" s="29"/>
      <c r="K25" s="30">
        <v>619.39</v>
      </c>
      <c r="L25" s="31">
        <f>PR!D154*6</f>
        <v>28.488748813636363</v>
      </c>
      <c r="M25" s="31">
        <f>PR!E154*6</f>
        <v>28.488748813636363</v>
      </c>
      <c r="N25" s="32"/>
      <c r="O25" s="33">
        <f t="shared" si="0"/>
        <v>3810.1298671272725</v>
      </c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5">
      <c r="A26" s="34">
        <v>23</v>
      </c>
      <c r="B26" s="35" t="s">
        <v>43</v>
      </c>
      <c r="C26" s="28">
        <v>0</v>
      </c>
      <c r="D26" s="28">
        <v>0</v>
      </c>
      <c r="E26" s="28">
        <v>4</v>
      </c>
      <c r="F26" s="28">
        <v>0</v>
      </c>
      <c r="G26" s="29"/>
      <c r="H26" s="29"/>
      <c r="I26" s="29">
        <f>E26*PR!C140</f>
        <v>4134.029826</v>
      </c>
      <c r="J26" s="29"/>
      <c r="K26" s="30">
        <v>619.39</v>
      </c>
      <c r="L26" s="31">
        <f>PR!D152*6</f>
        <v>28.186566995454545</v>
      </c>
      <c r="M26" s="31">
        <f>PR!E152*6</f>
        <v>28.186566995454545</v>
      </c>
      <c r="N26" s="32"/>
      <c r="O26" s="33">
        <f t="shared" si="0"/>
        <v>4809.7929599909103</v>
      </c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5">
      <c r="A27" s="34">
        <v>24</v>
      </c>
      <c r="B27" s="35" t="s">
        <v>44</v>
      </c>
      <c r="C27" s="28">
        <v>0</v>
      </c>
      <c r="D27" s="28">
        <v>0</v>
      </c>
      <c r="E27" s="28">
        <v>2</v>
      </c>
      <c r="F27" s="28">
        <v>0</v>
      </c>
      <c r="G27" s="29"/>
      <c r="H27" s="29"/>
      <c r="I27" s="29">
        <f>E27*PR!C142</f>
        <v>2089.1749129999998</v>
      </c>
      <c r="J27" s="29"/>
      <c r="K27" s="30">
        <v>619.39</v>
      </c>
      <c r="L27" s="31">
        <f>PR!D154*6</f>
        <v>28.488748813636363</v>
      </c>
      <c r="M27" s="31">
        <f>PR!E154*6</f>
        <v>28.488748813636363</v>
      </c>
      <c r="N27" s="32"/>
      <c r="O27" s="33">
        <f t="shared" si="0"/>
        <v>2765.5424106272726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5">
      <c r="A28" s="34">
        <v>25</v>
      </c>
      <c r="B28" s="35" t="s">
        <v>45</v>
      </c>
      <c r="C28" s="28">
        <v>0</v>
      </c>
      <c r="D28" s="28">
        <v>0</v>
      </c>
      <c r="E28" s="28">
        <v>4</v>
      </c>
      <c r="F28" s="28">
        <v>0</v>
      </c>
      <c r="G28" s="29"/>
      <c r="H28" s="29"/>
      <c r="I28" s="29">
        <f>E28*PR!C142</f>
        <v>4178.3498259999997</v>
      </c>
      <c r="J28" s="29"/>
      <c r="K28" s="30">
        <v>619.39</v>
      </c>
      <c r="L28" s="31">
        <f>PR!D154*6</f>
        <v>28.488748813636363</v>
      </c>
      <c r="M28" s="31">
        <f>PR!E154*6</f>
        <v>28.488748813636363</v>
      </c>
      <c r="N28" s="32"/>
      <c r="O28" s="33">
        <f t="shared" si="0"/>
        <v>4854.7173236272729</v>
      </c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5">
      <c r="A29" s="34">
        <v>26</v>
      </c>
      <c r="B29" s="35" t="s">
        <v>46</v>
      </c>
      <c r="C29" s="28">
        <v>0</v>
      </c>
      <c r="D29" s="28">
        <v>0</v>
      </c>
      <c r="E29" s="28">
        <v>1</v>
      </c>
      <c r="F29" s="28">
        <v>1</v>
      </c>
      <c r="G29" s="29"/>
      <c r="H29" s="29"/>
      <c r="I29" s="29">
        <f>E29*PR!C144</f>
        <v>1055.8974564999999</v>
      </c>
      <c r="J29" s="29">
        <f>F29*PR!D144</f>
        <v>1055.8974564999999</v>
      </c>
      <c r="K29" s="30">
        <v>619.39</v>
      </c>
      <c r="L29" s="31">
        <f>PR!D156*6</f>
        <v>28.797203359090908</v>
      </c>
      <c r="M29" s="31">
        <f>PR!E156*6</f>
        <v>28.797203359090908</v>
      </c>
      <c r="N29" s="32"/>
      <c r="O29" s="33">
        <f t="shared" si="0"/>
        <v>2788.7793197181813</v>
      </c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5">
      <c r="A30" s="34">
        <v>27</v>
      </c>
      <c r="B30" s="35" t="s">
        <v>47</v>
      </c>
      <c r="C30" s="28">
        <v>0</v>
      </c>
      <c r="D30" s="28">
        <v>0</v>
      </c>
      <c r="E30" s="28">
        <v>0</v>
      </c>
      <c r="F30" s="28">
        <v>1</v>
      </c>
      <c r="G30" s="29"/>
      <c r="H30" s="29"/>
      <c r="I30" s="29"/>
      <c r="J30" s="29">
        <f>F30*PR!D142</f>
        <v>1044.5874564999999</v>
      </c>
      <c r="K30" s="30">
        <v>619.39</v>
      </c>
      <c r="L30" s="31">
        <f>PR!D154*6</f>
        <v>28.488748813636363</v>
      </c>
      <c r="M30" s="31">
        <f>PR!E154*6</f>
        <v>28.488748813636363</v>
      </c>
      <c r="N30" s="32"/>
      <c r="O30" s="33">
        <f t="shared" si="0"/>
        <v>1720.9549541272727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x14ac:dyDescent="0.25">
      <c r="A31" s="34">
        <v>28</v>
      </c>
      <c r="B31" s="35" t="s">
        <v>48</v>
      </c>
      <c r="C31" s="28">
        <v>0</v>
      </c>
      <c r="D31" s="28">
        <v>0</v>
      </c>
      <c r="E31" s="28">
        <v>3</v>
      </c>
      <c r="F31" s="28">
        <v>0</v>
      </c>
      <c r="G31" s="29"/>
      <c r="H31" s="29"/>
      <c r="I31" s="29">
        <f>E31*PR!C142</f>
        <v>3133.7623694999997</v>
      </c>
      <c r="J31" s="29"/>
      <c r="K31" s="30">
        <v>619.39</v>
      </c>
      <c r="L31" s="31">
        <f>PR!D154*6</f>
        <v>28.488748813636363</v>
      </c>
      <c r="M31" s="31">
        <f>PR!E154*6</f>
        <v>28.488748813636363</v>
      </c>
      <c r="N31" s="32"/>
      <c r="O31" s="33">
        <f t="shared" si="0"/>
        <v>3810.1298671272725</v>
      </c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x14ac:dyDescent="0.25">
      <c r="A32" s="34">
        <v>29</v>
      </c>
      <c r="B32" s="35" t="s">
        <v>49</v>
      </c>
      <c r="C32" s="28">
        <v>0</v>
      </c>
      <c r="D32" s="28">
        <v>0</v>
      </c>
      <c r="E32" s="28">
        <v>1</v>
      </c>
      <c r="F32" s="28">
        <v>1</v>
      </c>
      <c r="G32" s="29"/>
      <c r="H32" s="29"/>
      <c r="I32" s="29">
        <f>E32*PR!C142</f>
        <v>1044.5874564999999</v>
      </c>
      <c r="J32" s="29">
        <f>F32*PR!D142</f>
        <v>1044.5874564999999</v>
      </c>
      <c r="K32" s="30">
        <v>619.39</v>
      </c>
      <c r="L32" s="31">
        <f>PR!D154*6</f>
        <v>28.488748813636363</v>
      </c>
      <c r="M32" s="31">
        <f>PR!E154*6</f>
        <v>28.488748813636363</v>
      </c>
      <c r="N32" s="32"/>
      <c r="O32" s="33">
        <f t="shared" si="0"/>
        <v>2765.5424106272726</v>
      </c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 x14ac:dyDescent="0.25">
      <c r="A33" s="34">
        <v>30</v>
      </c>
      <c r="B33" s="35" t="s">
        <v>50</v>
      </c>
      <c r="C33" s="28">
        <v>0</v>
      </c>
      <c r="D33" s="28">
        <v>0</v>
      </c>
      <c r="E33" s="28">
        <v>0</v>
      </c>
      <c r="F33" s="28">
        <v>1</v>
      </c>
      <c r="G33" s="29"/>
      <c r="H33" s="29"/>
      <c r="I33" s="29"/>
      <c r="J33" s="29">
        <f>F33*PR!D142</f>
        <v>1044.5874564999999</v>
      </c>
      <c r="K33" s="30">
        <v>619.39</v>
      </c>
      <c r="L33" s="31">
        <f>PR!D154*6</f>
        <v>28.488748813636363</v>
      </c>
      <c r="M33" s="31">
        <f>PR!E154*6</f>
        <v>28.488748813636363</v>
      </c>
      <c r="N33" s="32"/>
      <c r="O33" s="33">
        <f t="shared" si="0"/>
        <v>1720.9549541272727</v>
      </c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5">
      <c r="A34" s="34">
        <v>31</v>
      </c>
      <c r="B34" s="35" t="s">
        <v>51</v>
      </c>
      <c r="C34" s="28">
        <v>0</v>
      </c>
      <c r="D34" s="28">
        <v>0</v>
      </c>
      <c r="E34" s="28">
        <v>2</v>
      </c>
      <c r="F34" s="28">
        <v>0</v>
      </c>
      <c r="G34" s="29"/>
      <c r="H34" s="29"/>
      <c r="I34" s="29">
        <f>E34*PR!C142</f>
        <v>2089.1749129999998</v>
      </c>
      <c r="J34" s="29"/>
      <c r="K34" s="30">
        <v>619.39</v>
      </c>
      <c r="L34" s="31">
        <f>PR!D154*6</f>
        <v>28.488748813636363</v>
      </c>
      <c r="M34" s="31">
        <f>PR!E154*6</f>
        <v>28.488748813636363</v>
      </c>
      <c r="N34" s="32"/>
      <c r="O34" s="33">
        <f t="shared" si="0"/>
        <v>2765.5424106272726</v>
      </c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5">
      <c r="A35" s="34">
        <v>32</v>
      </c>
      <c r="B35" s="35" t="s">
        <v>52</v>
      </c>
      <c r="C35" s="28">
        <v>0</v>
      </c>
      <c r="D35" s="28">
        <v>0</v>
      </c>
      <c r="E35" s="28">
        <v>0</v>
      </c>
      <c r="F35" s="28">
        <v>1</v>
      </c>
      <c r="G35" s="29"/>
      <c r="H35" s="29"/>
      <c r="I35" s="29"/>
      <c r="J35" s="29">
        <f>F35*PR!D142</f>
        <v>1044.5874564999999</v>
      </c>
      <c r="K35" s="30">
        <v>619.39</v>
      </c>
      <c r="L35" s="31">
        <f>PR!D154*6</f>
        <v>28.488748813636363</v>
      </c>
      <c r="M35" s="31">
        <f>PR!E154*6</f>
        <v>28.488748813636363</v>
      </c>
      <c r="N35" s="32"/>
      <c r="O35" s="33">
        <f t="shared" si="0"/>
        <v>1720.9549541272727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5">
      <c r="A36" s="34">
        <v>33</v>
      </c>
      <c r="B36" s="35" t="s">
        <v>53</v>
      </c>
      <c r="C36" s="28">
        <v>0</v>
      </c>
      <c r="D36" s="28">
        <v>0</v>
      </c>
      <c r="E36" s="28">
        <v>0</v>
      </c>
      <c r="F36" s="28">
        <v>1</v>
      </c>
      <c r="G36" s="29"/>
      <c r="H36" s="29"/>
      <c r="I36" s="29"/>
      <c r="J36" s="29">
        <f>F36*PR!D145</f>
        <v>1067.4474565</v>
      </c>
      <c r="K36" s="30">
        <v>619.39</v>
      </c>
      <c r="L36" s="31">
        <f>PR!D157*6</f>
        <v>29.112203359090913</v>
      </c>
      <c r="M36" s="31">
        <f>PR!E157*6</f>
        <v>29.112203359090913</v>
      </c>
      <c r="N36" s="32"/>
      <c r="O36" s="33">
        <f t="shared" ref="O36:O67" si="1">SUM(G36:M36)</f>
        <v>1745.0618632181818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5">
      <c r="A37" s="34">
        <v>34</v>
      </c>
      <c r="B37" s="35" t="s">
        <v>54</v>
      </c>
      <c r="C37" s="28">
        <v>0</v>
      </c>
      <c r="D37" s="28">
        <v>0</v>
      </c>
      <c r="E37" s="28">
        <v>2</v>
      </c>
      <c r="F37" s="28">
        <v>0</v>
      </c>
      <c r="G37" s="29"/>
      <c r="H37" s="29"/>
      <c r="I37" s="29">
        <f>E37*PR!C142</f>
        <v>2089.1749129999998</v>
      </c>
      <c r="J37" s="29"/>
      <c r="K37" s="30">
        <v>619.39</v>
      </c>
      <c r="L37" s="31">
        <f>PR!D154*6</f>
        <v>28.488748813636363</v>
      </c>
      <c r="M37" s="31">
        <f>PR!E154*6</f>
        <v>28.488748813636363</v>
      </c>
      <c r="N37" s="32"/>
      <c r="O37" s="33">
        <f t="shared" si="1"/>
        <v>2765.5424106272726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5">
      <c r="A38" s="34">
        <v>35</v>
      </c>
      <c r="B38" s="35" t="s">
        <v>55</v>
      </c>
      <c r="C38" s="28">
        <v>0</v>
      </c>
      <c r="D38" s="28">
        <v>0</v>
      </c>
      <c r="E38" s="28">
        <v>0</v>
      </c>
      <c r="F38" s="28">
        <v>1</v>
      </c>
      <c r="G38" s="29"/>
      <c r="H38" s="29"/>
      <c r="I38" s="29"/>
      <c r="J38" s="29">
        <f>F38*PR!D140</f>
        <v>1033.5074565</v>
      </c>
      <c r="K38" s="30">
        <v>619.39</v>
      </c>
      <c r="L38" s="31">
        <f>PR!D152*6</f>
        <v>28.186566995454545</v>
      </c>
      <c r="M38" s="31">
        <f>PR!E152*6</f>
        <v>28.186566995454545</v>
      </c>
      <c r="N38" s="32"/>
      <c r="O38" s="33">
        <f t="shared" si="1"/>
        <v>1709.2705904909089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5">
      <c r="A39" s="26">
        <v>36</v>
      </c>
      <c r="B39" s="27" t="s">
        <v>56</v>
      </c>
      <c r="C39" s="28">
        <v>1</v>
      </c>
      <c r="D39" s="28">
        <v>1</v>
      </c>
      <c r="E39" s="28">
        <v>0</v>
      </c>
      <c r="F39" s="28">
        <v>0</v>
      </c>
      <c r="G39" s="29">
        <f>C39*PR!F142</f>
        <v>1393.2686359999998</v>
      </c>
      <c r="H39" s="29">
        <f>D39*PR!G142</f>
        <v>1393.2686359999998</v>
      </c>
      <c r="I39" s="29"/>
      <c r="J39" s="29"/>
      <c r="K39" s="30">
        <v>619.39</v>
      </c>
      <c r="L39" s="31">
        <f>6*PR!D154</f>
        <v>28.488748813636363</v>
      </c>
      <c r="M39" s="31">
        <f>6*PR!E154</f>
        <v>28.488748813636363</v>
      </c>
      <c r="N39" s="32"/>
      <c r="O39" s="33">
        <f t="shared" si="1"/>
        <v>3462.9047696272723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5">
      <c r="A40" s="34">
        <v>37</v>
      </c>
      <c r="B40" s="35" t="s">
        <v>57</v>
      </c>
      <c r="C40" s="28">
        <v>0</v>
      </c>
      <c r="D40" s="28">
        <v>1</v>
      </c>
      <c r="E40" s="28">
        <v>3</v>
      </c>
      <c r="F40" s="28">
        <v>0</v>
      </c>
      <c r="G40" s="29"/>
      <c r="H40" s="29">
        <f>D40*PR!G141</f>
        <v>1385.8486359999997</v>
      </c>
      <c r="I40" s="29">
        <f>E40*PR!C141</f>
        <v>3117.0523695000002</v>
      </c>
      <c r="J40" s="29"/>
      <c r="K40" s="30">
        <v>619.39</v>
      </c>
      <c r="L40" s="31">
        <f>6*PR!D153</f>
        <v>28.336839722727277</v>
      </c>
      <c r="M40" s="31">
        <f>6*PR!E153</f>
        <v>28.336839722727277</v>
      </c>
      <c r="N40" s="32"/>
      <c r="O40" s="33">
        <f t="shared" si="1"/>
        <v>5178.9646849454539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5">
      <c r="A41" s="34">
        <v>38</v>
      </c>
      <c r="B41" s="35" t="s">
        <v>58</v>
      </c>
      <c r="C41" s="28">
        <v>0</v>
      </c>
      <c r="D41" s="28">
        <v>1</v>
      </c>
      <c r="E41" s="28">
        <v>3</v>
      </c>
      <c r="F41" s="28">
        <v>0</v>
      </c>
      <c r="G41" s="29"/>
      <c r="H41" s="29">
        <f>D41*PR!G145</f>
        <v>1423.7786359999998</v>
      </c>
      <c r="I41" s="29">
        <f>E41*PR!C145</f>
        <v>3202.3423695000001</v>
      </c>
      <c r="J41" s="29"/>
      <c r="K41" s="30">
        <v>619.39</v>
      </c>
      <c r="L41" s="31">
        <f>6*PR!D157</f>
        <v>29.112203359090913</v>
      </c>
      <c r="M41" s="31">
        <f>6*PR!E157</f>
        <v>29.112203359090913</v>
      </c>
      <c r="N41" s="32"/>
      <c r="O41" s="33">
        <f t="shared" si="1"/>
        <v>5303.7354122181823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x14ac:dyDescent="0.25">
      <c r="A42" s="34">
        <v>39</v>
      </c>
      <c r="B42" s="35" t="s">
        <v>59</v>
      </c>
      <c r="C42" s="28">
        <v>0</v>
      </c>
      <c r="D42" s="28">
        <v>0</v>
      </c>
      <c r="E42" s="28">
        <v>1</v>
      </c>
      <c r="F42" s="28">
        <v>0</v>
      </c>
      <c r="G42" s="29"/>
      <c r="H42" s="29"/>
      <c r="I42" s="29">
        <f>E42*PR!C145</f>
        <v>1067.4474565</v>
      </c>
      <c r="J42" s="29"/>
      <c r="K42" s="30">
        <v>619.39</v>
      </c>
      <c r="L42" s="31">
        <f>6*PR!D157</f>
        <v>29.112203359090913</v>
      </c>
      <c r="M42" s="31">
        <f>6*PR!E157</f>
        <v>29.112203359090913</v>
      </c>
      <c r="N42" s="32"/>
      <c r="O42" s="33">
        <f t="shared" si="1"/>
        <v>1745.0618632181818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x14ac:dyDescent="0.25">
      <c r="A43" s="34">
        <v>40</v>
      </c>
      <c r="B43" s="35" t="s">
        <v>60</v>
      </c>
      <c r="C43" s="28">
        <v>0</v>
      </c>
      <c r="D43" s="28">
        <v>0</v>
      </c>
      <c r="E43" s="28">
        <v>2</v>
      </c>
      <c r="F43" s="28">
        <v>0</v>
      </c>
      <c r="G43" s="29"/>
      <c r="H43" s="29"/>
      <c r="I43" s="29">
        <f>E43*PR!C144</f>
        <v>2111.7949129999997</v>
      </c>
      <c r="J43" s="29"/>
      <c r="K43" s="30">
        <v>619.39</v>
      </c>
      <c r="L43" s="31">
        <f>6*PR!D156</f>
        <v>28.797203359090908</v>
      </c>
      <c r="M43" s="31">
        <f>6*PR!E156</f>
        <v>28.797203359090908</v>
      </c>
      <c r="N43" s="32"/>
      <c r="O43" s="33">
        <f t="shared" si="1"/>
        <v>2788.7793197181813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x14ac:dyDescent="0.25">
      <c r="A44" s="34">
        <v>41</v>
      </c>
      <c r="B44" s="35" t="s">
        <v>61</v>
      </c>
      <c r="C44" s="28">
        <v>0</v>
      </c>
      <c r="D44" s="28">
        <v>0</v>
      </c>
      <c r="E44" s="28">
        <v>2</v>
      </c>
      <c r="F44" s="28">
        <v>0</v>
      </c>
      <c r="G44" s="29"/>
      <c r="H44" s="29"/>
      <c r="I44" s="29">
        <f>E44*PR!C145</f>
        <v>2134.8949130000001</v>
      </c>
      <c r="J44" s="29"/>
      <c r="K44" s="30">
        <v>619.39</v>
      </c>
      <c r="L44" s="31">
        <f>6*PR!D157</f>
        <v>29.112203359090913</v>
      </c>
      <c r="M44" s="31">
        <f>6*PR!E157</f>
        <v>29.112203359090913</v>
      </c>
      <c r="N44" s="32"/>
      <c r="O44" s="33">
        <f t="shared" si="1"/>
        <v>2812.5093197181818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x14ac:dyDescent="0.25">
      <c r="A45" s="34">
        <v>42</v>
      </c>
      <c r="B45" s="35" t="s">
        <v>62</v>
      </c>
      <c r="C45" s="28">
        <v>0</v>
      </c>
      <c r="D45" s="28">
        <v>0</v>
      </c>
      <c r="E45" s="28">
        <v>1</v>
      </c>
      <c r="F45" s="28">
        <v>0</v>
      </c>
      <c r="G45" s="29"/>
      <c r="H45" s="29"/>
      <c r="I45" s="29">
        <f>E45*PR!C142</f>
        <v>1044.5874564999999</v>
      </c>
      <c r="J45" s="29"/>
      <c r="K45" s="30">
        <v>619.39</v>
      </c>
      <c r="L45" s="31">
        <f>6*PR!D154</f>
        <v>28.488748813636363</v>
      </c>
      <c r="M45" s="31">
        <f>6*PR!E154</f>
        <v>28.488748813636363</v>
      </c>
      <c r="N45" s="32"/>
      <c r="O45" s="33">
        <f t="shared" si="1"/>
        <v>1720.9549541272727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x14ac:dyDescent="0.25">
      <c r="A46" s="34">
        <v>43</v>
      </c>
      <c r="B46" s="35" t="s">
        <v>63</v>
      </c>
      <c r="C46" s="28">
        <v>0</v>
      </c>
      <c r="D46" s="28">
        <v>0</v>
      </c>
      <c r="E46" s="28">
        <v>1</v>
      </c>
      <c r="F46" s="28">
        <v>0</v>
      </c>
      <c r="G46" s="29"/>
      <c r="H46" s="29"/>
      <c r="I46" s="29">
        <f>E46*PR!C142</f>
        <v>1044.5874564999999</v>
      </c>
      <c r="J46" s="29"/>
      <c r="K46" s="30">
        <v>619.39</v>
      </c>
      <c r="L46" s="31">
        <f>6*PR!D154</f>
        <v>28.488748813636363</v>
      </c>
      <c r="M46" s="31">
        <f>6*PR!E154</f>
        <v>28.488748813636363</v>
      </c>
      <c r="N46" s="32"/>
      <c r="O46" s="33">
        <f t="shared" si="1"/>
        <v>1720.9549541272727</v>
      </c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x14ac:dyDescent="0.25">
      <c r="A47" s="34">
        <v>44</v>
      </c>
      <c r="B47" s="35" t="s">
        <v>64</v>
      </c>
      <c r="C47" s="28">
        <v>0</v>
      </c>
      <c r="D47" s="28">
        <v>0</v>
      </c>
      <c r="E47" s="28">
        <v>1</v>
      </c>
      <c r="F47" s="28">
        <v>0</v>
      </c>
      <c r="G47" s="29"/>
      <c r="H47" s="29"/>
      <c r="I47" s="29">
        <f>E47*PR!C142</f>
        <v>1044.5874564999999</v>
      </c>
      <c r="J47" s="29"/>
      <c r="K47" s="30">
        <v>619.39</v>
      </c>
      <c r="L47" s="31">
        <f>6*PR!D154</f>
        <v>28.488748813636363</v>
      </c>
      <c r="M47" s="31">
        <f>6*PR!E154</f>
        <v>28.488748813636363</v>
      </c>
      <c r="N47" s="32"/>
      <c r="O47" s="33">
        <f t="shared" si="1"/>
        <v>1720.9549541272727</v>
      </c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x14ac:dyDescent="0.25">
      <c r="A48" s="34">
        <v>45</v>
      </c>
      <c r="B48" s="35" t="s">
        <v>65</v>
      </c>
      <c r="C48" s="28">
        <v>0</v>
      </c>
      <c r="D48" s="28">
        <v>0</v>
      </c>
      <c r="E48" s="28">
        <v>1</v>
      </c>
      <c r="F48" s="28">
        <v>0</v>
      </c>
      <c r="G48" s="29"/>
      <c r="H48" s="29"/>
      <c r="I48" s="29">
        <f>E48*PR!C142</f>
        <v>1044.5874564999999</v>
      </c>
      <c r="J48" s="29"/>
      <c r="K48" s="30">
        <v>619.39</v>
      </c>
      <c r="L48" s="31">
        <f>6*PR!D154</f>
        <v>28.488748813636363</v>
      </c>
      <c r="M48" s="31">
        <f>6*PR!E154</f>
        <v>28.488748813636363</v>
      </c>
      <c r="N48" s="32"/>
      <c r="O48" s="33">
        <f t="shared" si="1"/>
        <v>1720.9549541272727</v>
      </c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 x14ac:dyDescent="0.25">
      <c r="A49" s="34">
        <v>46</v>
      </c>
      <c r="B49" s="35" t="s">
        <v>66</v>
      </c>
      <c r="C49" s="28">
        <v>0</v>
      </c>
      <c r="D49" s="28">
        <v>0</v>
      </c>
      <c r="E49" s="28">
        <v>0</v>
      </c>
      <c r="F49" s="28">
        <v>4</v>
      </c>
      <c r="G49" s="29"/>
      <c r="H49" s="29"/>
      <c r="I49" s="29">
        <f>E49*PR!C142</f>
        <v>0</v>
      </c>
      <c r="J49" s="29">
        <f>F49*PR!D142</f>
        <v>4178.3498259999997</v>
      </c>
      <c r="K49" s="30">
        <v>619.39</v>
      </c>
      <c r="L49" s="31">
        <f>6*PR!D154</f>
        <v>28.488748813636363</v>
      </c>
      <c r="M49" s="31">
        <f>6*PR!E154</f>
        <v>28.488748813636363</v>
      </c>
      <c r="N49" s="32"/>
      <c r="O49" s="33">
        <f t="shared" si="1"/>
        <v>4854.7173236272729</v>
      </c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x14ac:dyDescent="0.25">
      <c r="A50" s="34">
        <v>47</v>
      </c>
      <c r="B50" s="35" t="s">
        <v>67</v>
      </c>
      <c r="C50" s="28">
        <v>0</v>
      </c>
      <c r="D50" s="28">
        <v>0</v>
      </c>
      <c r="E50" s="28">
        <v>1</v>
      </c>
      <c r="F50" s="28">
        <v>0</v>
      </c>
      <c r="G50" s="29"/>
      <c r="H50" s="29"/>
      <c r="I50" s="29">
        <f>E50*PR!C145</f>
        <v>1067.4474565</v>
      </c>
      <c r="J50" s="29"/>
      <c r="K50" s="30">
        <v>619.39</v>
      </c>
      <c r="L50" s="31">
        <f>6*PR!D157</f>
        <v>29.112203359090913</v>
      </c>
      <c r="M50" s="31">
        <f>6*PR!E157</f>
        <v>29.112203359090913</v>
      </c>
      <c r="N50" s="32"/>
      <c r="O50" s="33">
        <f t="shared" si="1"/>
        <v>1745.0618632181818</v>
      </c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 x14ac:dyDescent="0.25">
      <c r="A51" s="34">
        <v>48</v>
      </c>
      <c r="B51" s="35" t="s">
        <v>68</v>
      </c>
      <c r="C51" s="28">
        <v>0</v>
      </c>
      <c r="D51" s="28">
        <v>0</v>
      </c>
      <c r="E51" s="28">
        <v>2</v>
      </c>
      <c r="F51" s="28">
        <v>0</v>
      </c>
      <c r="G51" s="29"/>
      <c r="H51" s="29"/>
      <c r="I51" s="29">
        <f>E51*PR!C142</f>
        <v>2089.1749129999998</v>
      </c>
      <c r="J51" s="29"/>
      <c r="K51" s="30">
        <v>619.39</v>
      </c>
      <c r="L51" s="31">
        <f>6*PR!D154</f>
        <v>28.488748813636363</v>
      </c>
      <c r="M51" s="31">
        <f>6*PR!E154</f>
        <v>28.488748813636363</v>
      </c>
      <c r="N51" s="32"/>
      <c r="O51" s="33">
        <f t="shared" si="1"/>
        <v>2765.5424106272726</v>
      </c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 x14ac:dyDescent="0.25">
      <c r="A52" s="34">
        <v>49</v>
      </c>
      <c r="B52" s="35" t="s">
        <v>69</v>
      </c>
      <c r="C52" s="28">
        <v>0</v>
      </c>
      <c r="D52" s="28">
        <v>0</v>
      </c>
      <c r="E52" s="28">
        <v>1</v>
      </c>
      <c r="F52" s="28">
        <v>0</v>
      </c>
      <c r="G52" s="29"/>
      <c r="H52" s="29"/>
      <c r="I52" s="29">
        <f>E52*PR!C142</f>
        <v>1044.5874564999999</v>
      </c>
      <c r="J52" s="29"/>
      <c r="K52" s="30">
        <v>619.39</v>
      </c>
      <c r="L52" s="31">
        <f>6*PR!D154</f>
        <v>28.488748813636363</v>
      </c>
      <c r="M52" s="31">
        <f>6*PR!E154</f>
        <v>28.488748813636363</v>
      </c>
      <c r="N52" s="32"/>
      <c r="O52" s="33">
        <f t="shared" si="1"/>
        <v>1720.9549541272727</v>
      </c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 x14ac:dyDescent="0.25">
      <c r="A53" s="26">
        <v>50</v>
      </c>
      <c r="B53" s="27" t="s">
        <v>70</v>
      </c>
      <c r="C53" s="28">
        <v>0</v>
      </c>
      <c r="D53" s="28">
        <v>0</v>
      </c>
      <c r="E53" s="28">
        <v>2</v>
      </c>
      <c r="F53" s="28">
        <v>0</v>
      </c>
      <c r="G53" s="29"/>
      <c r="H53" s="29"/>
      <c r="I53" s="29">
        <f>E53*PR!C142</f>
        <v>2089.1749129999998</v>
      </c>
      <c r="J53" s="29"/>
      <c r="K53" s="30">
        <v>619.39</v>
      </c>
      <c r="L53" s="31">
        <f>6*PR!D154</f>
        <v>28.488748813636363</v>
      </c>
      <c r="M53" s="31">
        <f>6*PR!E154</f>
        <v>28.488748813636363</v>
      </c>
      <c r="N53" s="32"/>
      <c r="O53" s="33">
        <f t="shared" si="1"/>
        <v>2765.5424106272726</v>
      </c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 x14ac:dyDescent="0.25">
      <c r="A54" s="34">
        <v>51</v>
      </c>
      <c r="B54" s="35" t="s">
        <v>71</v>
      </c>
      <c r="C54" s="28">
        <v>0</v>
      </c>
      <c r="D54" s="28">
        <v>0</v>
      </c>
      <c r="E54" s="28">
        <v>2</v>
      </c>
      <c r="F54" s="28">
        <v>0</v>
      </c>
      <c r="G54" s="29"/>
      <c r="H54" s="29"/>
      <c r="I54" s="29">
        <f>E54*PR!C145</f>
        <v>2134.8949130000001</v>
      </c>
      <c r="J54" s="29"/>
      <c r="K54" s="30">
        <v>619.39</v>
      </c>
      <c r="L54" s="31">
        <f>6*PR!D157</f>
        <v>29.112203359090913</v>
      </c>
      <c r="M54" s="31">
        <f>6*PR!E157</f>
        <v>29.112203359090913</v>
      </c>
      <c r="N54" s="32"/>
      <c r="O54" s="33">
        <f t="shared" si="1"/>
        <v>2812.5093197181818</v>
      </c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 x14ac:dyDescent="0.25">
      <c r="A55" s="34">
        <v>52</v>
      </c>
      <c r="B55" s="35" t="s">
        <v>72</v>
      </c>
      <c r="C55" s="28">
        <v>0</v>
      </c>
      <c r="D55" s="28">
        <v>0</v>
      </c>
      <c r="E55" s="28">
        <v>3</v>
      </c>
      <c r="F55" s="28">
        <v>0</v>
      </c>
      <c r="G55" s="29"/>
      <c r="H55" s="29"/>
      <c r="I55" s="29">
        <f>E55*PR!C145</f>
        <v>3202.3423695000001</v>
      </c>
      <c r="J55" s="29"/>
      <c r="K55" s="30">
        <v>619.39</v>
      </c>
      <c r="L55" s="31">
        <f>6*PR!D157</f>
        <v>29.112203359090913</v>
      </c>
      <c r="M55" s="31">
        <f>6*PR!E157</f>
        <v>29.112203359090913</v>
      </c>
      <c r="N55" s="32"/>
      <c r="O55" s="33">
        <f t="shared" si="1"/>
        <v>3879.9567762181819</v>
      </c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 x14ac:dyDescent="0.25">
      <c r="A56" s="34">
        <v>53</v>
      </c>
      <c r="B56" s="35" t="s">
        <v>73</v>
      </c>
      <c r="C56" s="28">
        <v>0</v>
      </c>
      <c r="D56" s="28">
        <v>0</v>
      </c>
      <c r="E56" s="28">
        <v>3</v>
      </c>
      <c r="F56" s="28">
        <v>0</v>
      </c>
      <c r="G56" s="29"/>
      <c r="H56" s="29"/>
      <c r="I56" s="29">
        <f>E56*PR!C144</f>
        <v>3167.6923694999996</v>
      </c>
      <c r="J56" s="29"/>
      <c r="K56" s="30">
        <v>619.39</v>
      </c>
      <c r="L56" s="31">
        <f>6*PR!D156</f>
        <v>28.797203359090908</v>
      </c>
      <c r="M56" s="31">
        <f>6*PR!E156</f>
        <v>28.797203359090908</v>
      </c>
      <c r="N56" s="32"/>
      <c r="O56" s="33">
        <f t="shared" si="1"/>
        <v>3844.6767762181812</v>
      </c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 x14ac:dyDescent="0.25">
      <c r="A57" s="34">
        <v>54</v>
      </c>
      <c r="B57" s="35" t="s">
        <v>74</v>
      </c>
      <c r="C57" s="28">
        <v>0</v>
      </c>
      <c r="D57" s="28">
        <v>0</v>
      </c>
      <c r="E57" s="28">
        <v>2</v>
      </c>
      <c r="F57" s="28">
        <v>0</v>
      </c>
      <c r="G57" s="29"/>
      <c r="H57" s="29"/>
      <c r="I57" s="29">
        <f>E57*PR!C142</f>
        <v>2089.1749129999998</v>
      </c>
      <c r="J57" s="29"/>
      <c r="K57" s="30">
        <v>619.39</v>
      </c>
      <c r="L57" s="31">
        <f>6*PR!D154</f>
        <v>28.488748813636363</v>
      </c>
      <c r="M57" s="31">
        <f>6*PR!E154</f>
        <v>28.488748813636363</v>
      </c>
      <c r="N57" s="32"/>
      <c r="O57" s="33">
        <f t="shared" si="1"/>
        <v>2765.5424106272726</v>
      </c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 x14ac:dyDescent="0.25">
      <c r="A58" s="34">
        <v>55</v>
      </c>
      <c r="B58" s="35" t="s">
        <v>75</v>
      </c>
      <c r="C58" s="28">
        <v>0</v>
      </c>
      <c r="D58" s="28">
        <v>1</v>
      </c>
      <c r="E58" s="28">
        <v>5</v>
      </c>
      <c r="F58" s="28">
        <v>0</v>
      </c>
      <c r="G58" s="29"/>
      <c r="H58" s="29">
        <f>D58*PR!G142</f>
        <v>1393.2686359999998</v>
      </c>
      <c r="I58" s="29">
        <f>E58*PR!C142</f>
        <v>5222.9372824999991</v>
      </c>
      <c r="J58" s="29"/>
      <c r="K58" s="30">
        <v>619.39</v>
      </c>
      <c r="L58" s="31">
        <f>6*PR!D154</f>
        <v>28.488748813636363</v>
      </c>
      <c r="M58" s="31">
        <f>6*PR!E154</f>
        <v>28.488748813636363</v>
      </c>
      <c r="N58" s="32"/>
      <c r="O58" s="33">
        <f t="shared" si="1"/>
        <v>7292.5734161272721</v>
      </c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 x14ac:dyDescent="0.25">
      <c r="A59" s="34">
        <v>56</v>
      </c>
      <c r="B59" s="35" t="s">
        <v>76</v>
      </c>
      <c r="C59" s="28">
        <v>0</v>
      </c>
      <c r="D59" s="28">
        <v>1</v>
      </c>
      <c r="E59" s="28">
        <v>4</v>
      </c>
      <c r="F59" s="28">
        <v>0</v>
      </c>
      <c r="G59" s="29"/>
      <c r="H59" s="29">
        <f>D59*PR!G144</f>
        <v>1408.3586359999999</v>
      </c>
      <c r="I59" s="29">
        <f>E59*PR!C144</f>
        <v>4223.5898259999994</v>
      </c>
      <c r="J59" s="29"/>
      <c r="K59" s="30">
        <v>619.39</v>
      </c>
      <c r="L59" s="31">
        <f>6*PR!D156</f>
        <v>28.797203359090908</v>
      </c>
      <c r="M59" s="31">
        <f>6*PR!E156</f>
        <v>28.797203359090908</v>
      </c>
      <c r="N59" s="32"/>
      <c r="O59" s="33">
        <f t="shared" si="1"/>
        <v>6308.9328687181824</v>
      </c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 x14ac:dyDescent="0.25">
      <c r="A60" s="34">
        <v>57</v>
      </c>
      <c r="B60" s="35" t="s">
        <v>77</v>
      </c>
      <c r="C60" s="28">
        <v>0</v>
      </c>
      <c r="D60" s="28">
        <v>0</v>
      </c>
      <c r="E60" s="28">
        <v>4</v>
      </c>
      <c r="F60" s="28">
        <v>0</v>
      </c>
      <c r="G60" s="29"/>
      <c r="H60" s="29"/>
      <c r="I60" s="29">
        <f>E60*PR!C145</f>
        <v>4269.7898260000002</v>
      </c>
      <c r="J60" s="29"/>
      <c r="K60" s="30">
        <v>619.39</v>
      </c>
      <c r="L60" s="31">
        <f>6*PR!D157</f>
        <v>29.112203359090913</v>
      </c>
      <c r="M60" s="31">
        <f>6*PR!E157</f>
        <v>29.112203359090913</v>
      </c>
      <c r="N60" s="32"/>
      <c r="O60" s="33">
        <f t="shared" si="1"/>
        <v>4947.4042327181824</v>
      </c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 x14ac:dyDescent="0.25">
      <c r="A61" s="34">
        <v>58</v>
      </c>
      <c r="B61" s="35" t="s">
        <v>78</v>
      </c>
      <c r="C61" s="28">
        <v>0</v>
      </c>
      <c r="D61" s="28">
        <v>0</v>
      </c>
      <c r="E61" s="28">
        <v>2</v>
      </c>
      <c r="F61" s="28">
        <v>0</v>
      </c>
      <c r="G61" s="29"/>
      <c r="H61" s="29"/>
      <c r="I61" s="29">
        <f>E61*PR!C144</f>
        <v>2111.7949129999997</v>
      </c>
      <c r="J61" s="29"/>
      <c r="K61" s="30">
        <v>619.39</v>
      </c>
      <c r="L61" s="31">
        <f>6*PR!D156</f>
        <v>28.797203359090908</v>
      </c>
      <c r="M61" s="31">
        <f>6*PR!E156</f>
        <v>28.797203359090908</v>
      </c>
      <c r="N61" s="32"/>
      <c r="O61" s="33">
        <f t="shared" si="1"/>
        <v>2788.7793197181813</v>
      </c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 x14ac:dyDescent="0.25">
      <c r="A62" s="34">
        <v>59</v>
      </c>
      <c r="B62" s="35" t="s">
        <v>79</v>
      </c>
      <c r="C62" s="28">
        <v>0</v>
      </c>
      <c r="D62" s="28">
        <v>0</v>
      </c>
      <c r="E62" s="28">
        <v>2</v>
      </c>
      <c r="F62" s="28">
        <v>0</v>
      </c>
      <c r="G62" s="29"/>
      <c r="H62" s="29"/>
      <c r="I62" s="29">
        <f>E62*PR!C142</f>
        <v>2089.1749129999998</v>
      </c>
      <c r="J62" s="29"/>
      <c r="K62" s="30">
        <v>619.39</v>
      </c>
      <c r="L62" s="31">
        <f>6*PR!D154</f>
        <v>28.488748813636363</v>
      </c>
      <c r="M62" s="31">
        <f>6*PR!E154</f>
        <v>28.488748813636363</v>
      </c>
      <c r="N62" s="32"/>
      <c r="O62" s="33">
        <f t="shared" si="1"/>
        <v>2765.5424106272726</v>
      </c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 x14ac:dyDescent="0.25">
      <c r="A63" s="34">
        <v>60</v>
      </c>
      <c r="B63" s="35" t="s">
        <v>80</v>
      </c>
      <c r="C63" s="28">
        <v>0</v>
      </c>
      <c r="D63" s="28">
        <v>0</v>
      </c>
      <c r="E63" s="28">
        <v>2</v>
      </c>
      <c r="F63" s="28">
        <v>0</v>
      </c>
      <c r="G63" s="29"/>
      <c r="H63" s="29"/>
      <c r="I63" s="29">
        <f>E63*PR!C142</f>
        <v>2089.1749129999998</v>
      </c>
      <c r="J63" s="29"/>
      <c r="K63" s="30">
        <v>619.39</v>
      </c>
      <c r="L63" s="31">
        <f>6*PR!D154</f>
        <v>28.488748813636363</v>
      </c>
      <c r="M63" s="31">
        <f>6*PR!E154</f>
        <v>28.488748813636363</v>
      </c>
      <c r="N63" s="32"/>
      <c r="O63" s="33">
        <f t="shared" si="1"/>
        <v>2765.5424106272726</v>
      </c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 x14ac:dyDescent="0.25">
      <c r="A64" s="34">
        <v>61</v>
      </c>
      <c r="B64" s="35" t="s">
        <v>81</v>
      </c>
      <c r="C64" s="28">
        <v>0</v>
      </c>
      <c r="D64" s="28">
        <v>0</v>
      </c>
      <c r="E64" s="28">
        <v>2</v>
      </c>
      <c r="F64" s="28">
        <v>0</v>
      </c>
      <c r="G64" s="29"/>
      <c r="H64" s="29"/>
      <c r="I64" s="29">
        <f>E64*PR!C144</f>
        <v>2111.7949129999997</v>
      </c>
      <c r="J64" s="29"/>
      <c r="K64" s="30">
        <v>619.39</v>
      </c>
      <c r="L64" s="31">
        <f>6*PR!D156</f>
        <v>28.797203359090908</v>
      </c>
      <c r="M64" s="31">
        <f>6*PR!E156</f>
        <v>28.797203359090908</v>
      </c>
      <c r="N64" s="32"/>
      <c r="O64" s="33">
        <f t="shared" si="1"/>
        <v>2788.7793197181813</v>
      </c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 x14ac:dyDescent="0.25">
      <c r="A65" s="34">
        <v>62</v>
      </c>
      <c r="B65" s="35" t="s">
        <v>82</v>
      </c>
      <c r="C65" s="28">
        <v>0</v>
      </c>
      <c r="D65" s="28">
        <v>0</v>
      </c>
      <c r="E65" s="28">
        <v>2</v>
      </c>
      <c r="F65" s="28">
        <v>0</v>
      </c>
      <c r="G65" s="29"/>
      <c r="H65" s="29"/>
      <c r="I65" s="29">
        <f>E65*PR!C145</f>
        <v>2134.8949130000001</v>
      </c>
      <c r="J65" s="29"/>
      <c r="K65" s="30">
        <v>619.39</v>
      </c>
      <c r="L65" s="31">
        <f>6*PR!D157</f>
        <v>29.112203359090913</v>
      </c>
      <c r="M65" s="31">
        <f>6*PR!E157</f>
        <v>29.112203359090913</v>
      </c>
      <c r="N65" s="32"/>
      <c r="O65" s="33">
        <f t="shared" si="1"/>
        <v>2812.5093197181818</v>
      </c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 x14ac:dyDescent="0.25">
      <c r="A66" s="34">
        <v>63</v>
      </c>
      <c r="B66" s="35" t="s">
        <v>83</v>
      </c>
      <c r="C66" s="28">
        <v>0</v>
      </c>
      <c r="D66" s="28">
        <v>0</v>
      </c>
      <c r="E66" s="28">
        <v>2</v>
      </c>
      <c r="F66" s="28">
        <v>0</v>
      </c>
      <c r="G66" s="29"/>
      <c r="H66" s="29"/>
      <c r="I66" s="29">
        <f>E66*PR!C140</f>
        <v>2067.014913</v>
      </c>
      <c r="J66" s="29"/>
      <c r="K66" s="30">
        <v>619.39</v>
      </c>
      <c r="L66" s="31">
        <f>6*PR!D152</f>
        <v>28.186566995454545</v>
      </c>
      <c r="M66" s="31">
        <f>6*PR!E152</f>
        <v>28.186566995454545</v>
      </c>
      <c r="N66" s="32"/>
      <c r="O66" s="33">
        <f t="shared" si="1"/>
        <v>2742.7780469909089</v>
      </c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 x14ac:dyDescent="0.25">
      <c r="A67" s="34">
        <v>64</v>
      </c>
      <c r="B67" s="35" t="s">
        <v>84</v>
      </c>
      <c r="C67" s="28">
        <v>0</v>
      </c>
      <c r="D67" s="28">
        <v>0</v>
      </c>
      <c r="E67" s="28">
        <v>1</v>
      </c>
      <c r="F67" s="28">
        <v>0</v>
      </c>
      <c r="G67" s="29"/>
      <c r="H67" s="29"/>
      <c r="I67" s="29">
        <f>E67*PR!C142</f>
        <v>1044.5874564999999</v>
      </c>
      <c r="J67" s="29"/>
      <c r="K67" s="30">
        <v>619.39</v>
      </c>
      <c r="L67" s="31">
        <f>6*PR!D154</f>
        <v>28.488748813636363</v>
      </c>
      <c r="M67" s="31">
        <f>6*PR!E154</f>
        <v>28.488748813636363</v>
      </c>
      <c r="N67" s="32"/>
      <c r="O67" s="33">
        <f t="shared" si="1"/>
        <v>1720.9549541272727</v>
      </c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 x14ac:dyDescent="0.25">
      <c r="A68" s="26">
        <v>65</v>
      </c>
      <c r="B68" s="27" t="s">
        <v>85</v>
      </c>
      <c r="C68" s="28">
        <v>1</v>
      </c>
      <c r="D68" s="28">
        <v>1</v>
      </c>
      <c r="E68" s="28">
        <v>0</v>
      </c>
      <c r="F68" s="28">
        <v>0</v>
      </c>
      <c r="G68" s="29">
        <f>C68*PR!F142</f>
        <v>1393.2686359999998</v>
      </c>
      <c r="H68" s="29">
        <f>D68*PR!G142</f>
        <v>1393.2686359999998</v>
      </c>
      <c r="I68" s="29"/>
      <c r="J68" s="29"/>
      <c r="K68" s="30">
        <v>619.39</v>
      </c>
      <c r="L68" s="31">
        <f>6*PR!D154</f>
        <v>28.488748813636363</v>
      </c>
      <c r="M68" s="31">
        <f>6*PR!E154</f>
        <v>28.488748813636363</v>
      </c>
      <c r="N68" s="32"/>
      <c r="O68" s="33">
        <f t="shared" ref="O68:O85" si="2">SUM(G68:M68)</f>
        <v>3462.9047696272723</v>
      </c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 x14ac:dyDescent="0.25">
      <c r="A69" s="34">
        <v>66</v>
      </c>
      <c r="B69" s="35" t="s">
        <v>22</v>
      </c>
      <c r="C69" s="28">
        <v>0</v>
      </c>
      <c r="D69" s="28">
        <v>0</v>
      </c>
      <c r="E69" s="28">
        <v>0</v>
      </c>
      <c r="F69" s="28">
        <v>0</v>
      </c>
      <c r="G69" s="29"/>
      <c r="H69" s="29"/>
      <c r="I69" s="29"/>
      <c r="J69" s="29"/>
      <c r="K69" s="30">
        <v>619.39</v>
      </c>
      <c r="L69" s="31">
        <f>6*PR!D154</f>
        <v>28.488748813636363</v>
      </c>
      <c r="M69" s="31">
        <f>6*PR!E154</f>
        <v>28.488748813636363</v>
      </c>
      <c r="N69" s="32"/>
      <c r="O69" s="33">
        <f t="shared" si="2"/>
        <v>676.36749762727266</v>
      </c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 x14ac:dyDescent="0.25">
      <c r="A70" s="34">
        <v>67</v>
      </c>
      <c r="B70" s="35" t="s">
        <v>86</v>
      </c>
      <c r="C70" s="28">
        <v>0</v>
      </c>
      <c r="D70" s="28">
        <v>0</v>
      </c>
      <c r="E70" s="28">
        <v>10</v>
      </c>
      <c r="F70" s="28">
        <v>0</v>
      </c>
      <c r="G70" s="29"/>
      <c r="H70" s="29"/>
      <c r="I70" s="29">
        <f>E70*PR!C142</f>
        <v>10445.874564999998</v>
      </c>
      <c r="J70" s="29"/>
      <c r="K70" s="30">
        <v>619.39</v>
      </c>
      <c r="L70" s="31">
        <f>6*PR!D154</f>
        <v>28.488748813636363</v>
      </c>
      <c r="M70" s="31">
        <f>6*PR!E154</f>
        <v>28.488748813636363</v>
      </c>
      <c r="N70" s="32"/>
      <c r="O70" s="33">
        <f t="shared" si="2"/>
        <v>11122.242062627269</v>
      </c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 x14ac:dyDescent="0.25">
      <c r="A71" s="34">
        <v>68</v>
      </c>
      <c r="B71" s="35" t="s">
        <v>87</v>
      </c>
      <c r="C71" s="28">
        <v>0</v>
      </c>
      <c r="D71" s="28">
        <v>0</v>
      </c>
      <c r="E71" s="28">
        <v>5</v>
      </c>
      <c r="F71" s="28">
        <v>0</v>
      </c>
      <c r="G71" s="29"/>
      <c r="H71" s="29"/>
      <c r="I71" s="29">
        <f>E71*PR!C145</f>
        <v>5337.2372825000002</v>
      </c>
      <c r="J71" s="29"/>
      <c r="K71" s="30">
        <v>619.39</v>
      </c>
      <c r="L71" s="31">
        <f>6*PR!D157</f>
        <v>29.112203359090913</v>
      </c>
      <c r="M71" s="31">
        <f>6*PR!E157</f>
        <v>29.112203359090913</v>
      </c>
      <c r="N71" s="32"/>
      <c r="O71" s="33">
        <f t="shared" si="2"/>
        <v>6014.8516892181824</v>
      </c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 x14ac:dyDescent="0.25">
      <c r="A72" s="34">
        <v>69</v>
      </c>
      <c r="B72" s="35" t="s">
        <v>88</v>
      </c>
      <c r="C72" s="28">
        <v>0</v>
      </c>
      <c r="D72" s="28">
        <v>0</v>
      </c>
      <c r="E72" s="28">
        <v>1</v>
      </c>
      <c r="F72" s="28">
        <v>2</v>
      </c>
      <c r="G72" s="29"/>
      <c r="H72" s="29"/>
      <c r="I72" s="29">
        <f>E72*PR!C145</f>
        <v>1067.4474565</v>
      </c>
      <c r="J72" s="29">
        <f>F72*PR!D145</f>
        <v>2134.8949130000001</v>
      </c>
      <c r="K72" s="30">
        <v>619.39</v>
      </c>
      <c r="L72" s="31">
        <f>6*PR!D157</f>
        <v>29.112203359090913</v>
      </c>
      <c r="M72" s="31">
        <f>6*PR!E157</f>
        <v>29.112203359090913</v>
      </c>
      <c r="N72" s="32"/>
      <c r="O72" s="33">
        <f t="shared" si="2"/>
        <v>3879.9567762181819</v>
      </c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 x14ac:dyDescent="0.25">
      <c r="A73" s="34">
        <v>70</v>
      </c>
      <c r="B73" s="35" t="s">
        <v>89</v>
      </c>
      <c r="C73" s="28">
        <v>0</v>
      </c>
      <c r="D73" s="28">
        <v>0</v>
      </c>
      <c r="E73" s="28">
        <v>3</v>
      </c>
      <c r="F73" s="28">
        <v>0</v>
      </c>
      <c r="G73" s="29"/>
      <c r="H73" s="29"/>
      <c r="I73" s="29">
        <f>E73*PR!C140</f>
        <v>3100.5223695</v>
      </c>
      <c r="J73" s="29"/>
      <c r="K73" s="30">
        <v>619.39</v>
      </c>
      <c r="L73" s="31">
        <f>6*PR!D152</f>
        <v>28.186566995454545</v>
      </c>
      <c r="M73" s="31">
        <f>6*PR!E152</f>
        <v>28.186566995454545</v>
      </c>
      <c r="N73" s="32"/>
      <c r="O73" s="33">
        <f t="shared" si="2"/>
        <v>3776.2855034909089</v>
      </c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 x14ac:dyDescent="0.25">
      <c r="A74" s="34">
        <v>71</v>
      </c>
      <c r="B74" s="35" t="s">
        <v>90</v>
      </c>
      <c r="C74" s="28">
        <v>0</v>
      </c>
      <c r="D74" s="28">
        <v>0</v>
      </c>
      <c r="E74" s="28">
        <v>4</v>
      </c>
      <c r="F74" s="28">
        <v>0</v>
      </c>
      <c r="G74" s="29"/>
      <c r="H74" s="29"/>
      <c r="I74" s="29">
        <f>E74*PR!C145</f>
        <v>4269.7898260000002</v>
      </c>
      <c r="J74" s="29"/>
      <c r="K74" s="30">
        <v>619.39</v>
      </c>
      <c r="L74" s="31">
        <f>6*PR!D157</f>
        <v>29.112203359090913</v>
      </c>
      <c r="M74" s="31">
        <f>6*PR!E157</f>
        <v>29.112203359090913</v>
      </c>
      <c r="N74" s="32"/>
      <c r="O74" s="33">
        <f t="shared" si="2"/>
        <v>4947.4042327181824</v>
      </c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 x14ac:dyDescent="0.25">
      <c r="A75" s="34">
        <v>72</v>
      </c>
      <c r="B75" s="35" t="s">
        <v>91</v>
      </c>
      <c r="C75" s="28">
        <v>0</v>
      </c>
      <c r="D75" s="28">
        <v>0</v>
      </c>
      <c r="E75" s="28">
        <v>0</v>
      </c>
      <c r="F75" s="28">
        <v>1</v>
      </c>
      <c r="G75" s="29"/>
      <c r="H75" s="29"/>
      <c r="I75" s="29"/>
      <c r="J75" s="29">
        <f>F75*PR!D145</f>
        <v>1067.4474565</v>
      </c>
      <c r="K75" s="30">
        <v>619.39</v>
      </c>
      <c r="L75" s="31">
        <f>6*PR!D157</f>
        <v>29.112203359090913</v>
      </c>
      <c r="M75" s="31">
        <f>6*PR!E157</f>
        <v>29.112203359090913</v>
      </c>
      <c r="N75" s="32"/>
      <c r="O75" s="33">
        <f t="shared" si="2"/>
        <v>1745.0618632181818</v>
      </c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 x14ac:dyDescent="0.25">
      <c r="A76" s="34">
        <v>73</v>
      </c>
      <c r="B76" s="35" t="s">
        <v>92</v>
      </c>
      <c r="C76" s="28">
        <v>0</v>
      </c>
      <c r="D76" s="28">
        <v>0</v>
      </c>
      <c r="E76" s="28">
        <v>3</v>
      </c>
      <c r="F76" s="28">
        <v>0</v>
      </c>
      <c r="G76" s="29"/>
      <c r="H76" s="29"/>
      <c r="I76" s="29">
        <f>E76*PR!C141</f>
        <v>3117.0523695000002</v>
      </c>
      <c r="J76" s="29"/>
      <c r="K76" s="30">
        <v>619.39</v>
      </c>
      <c r="L76" s="31">
        <f>6*PR!D153</f>
        <v>28.336839722727277</v>
      </c>
      <c r="M76" s="31">
        <f>6*PR!E153</f>
        <v>28.336839722727277</v>
      </c>
      <c r="N76" s="32"/>
      <c r="O76" s="33">
        <f t="shared" si="2"/>
        <v>3793.1160489454546</v>
      </c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4" x14ac:dyDescent="0.25">
      <c r="A77" s="34">
        <v>74</v>
      </c>
      <c r="B77" s="35" t="s">
        <v>93</v>
      </c>
      <c r="C77" s="28">
        <v>0</v>
      </c>
      <c r="D77" s="28">
        <v>0</v>
      </c>
      <c r="E77" s="28">
        <v>5</v>
      </c>
      <c r="F77" s="28">
        <v>0</v>
      </c>
      <c r="G77" s="29"/>
      <c r="H77" s="29"/>
      <c r="I77" s="29">
        <f>E77*PR!C142</f>
        <v>5222.9372824999991</v>
      </c>
      <c r="J77" s="29"/>
      <c r="K77" s="30">
        <v>619.39</v>
      </c>
      <c r="L77" s="31">
        <f>6*PR!D154</f>
        <v>28.488748813636363</v>
      </c>
      <c r="M77" s="31">
        <f>6*PR!E154</f>
        <v>28.488748813636363</v>
      </c>
      <c r="N77" s="32"/>
      <c r="O77" s="33">
        <f t="shared" si="2"/>
        <v>5899.3047801272724</v>
      </c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4" x14ac:dyDescent="0.25">
      <c r="A78" s="34">
        <v>75</v>
      </c>
      <c r="B78" s="35" t="s">
        <v>94</v>
      </c>
      <c r="C78" s="28">
        <v>0</v>
      </c>
      <c r="D78" s="28">
        <v>0</v>
      </c>
      <c r="E78" s="28">
        <v>0</v>
      </c>
      <c r="F78" s="28">
        <v>2</v>
      </c>
      <c r="G78" s="29"/>
      <c r="H78" s="29"/>
      <c r="I78" s="29"/>
      <c r="J78" s="29">
        <f>F78*PR!D142</f>
        <v>2089.1749129999998</v>
      </c>
      <c r="K78" s="30">
        <v>619.39</v>
      </c>
      <c r="L78" s="31">
        <f>6*PR!D154</f>
        <v>28.488748813636363</v>
      </c>
      <c r="M78" s="31">
        <f>6*PR!E154</f>
        <v>28.488748813636363</v>
      </c>
      <c r="N78" s="32"/>
      <c r="O78" s="33">
        <f t="shared" si="2"/>
        <v>2765.5424106272726</v>
      </c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4" x14ac:dyDescent="0.25">
      <c r="A79" s="34">
        <v>76</v>
      </c>
      <c r="B79" s="35" t="s">
        <v>95</v>
      </c>
      <c r="C79" s="28">
        <v>0</v>
      </c>
      <c r="D79" s="28">
        <v>0</v>
      </c>
      <c r="E79" s="28">
        <v>2</v>
      </c>
      <c r="F79" s="28">
        <v>0</v>
      </c>
      <c r="G79" s="29"/>
      <c r="H79" s="29"/>
      <c r="I79" s="29">
        <f>E79*PR!C142</f>
        <v>2089.1749129999998</v>
      </c>
      <c r="J79" s="29"/>
      <c r="K79" s="30">
        <v>619.39</v>
      </c>
      <c r="L79" s="31">
        <f>6*PR!D154</f>
        <v>28.488748813636363</v>
      </c>
      <c r="M79" s="31">
        <f>6*PR!E154</f>
        <v>28.488748813636363</v>
      </c>
      <c r="N79" s="32"/>
      <c r="O79" s="33">
        <f t="shared" si="2"/>
        <v>2765.5424106272726</v>
      </c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4" x14ac:dyDescent="0.25">
      <c r="A80" s="34">
        <v>77</v>
      </c>
      <c r="B80" s="35" t="s">
        <v>96</v>
      </c>
      <c r="C80" s="28">
        <v>0</v>
      </c>
      <c r="D80" s="28">
        <v>0</v>
      </c>
      <c r="E80" s="28">
        <v>0</v>
      </c>
      <c r="F80" s="28">
        <v>1</v>
      </c>
      <c r="G80" s="29"/>
      <c r="H80" s="29"/>
      <c r="I80" s="29"/>
      <c r="J80" s="29">
        <f>F80*PR!D140</f>
        <v>1033.5074565</v>
      </c>
      <c r="K80" s="30">
        <v>619.39</v>
      </c>
      <c r="L80" s="31">
        <f>6*PR!D152</f>
        <v>28.186566995454545</v>
      </c>
      <c r="M80" s="31">
        <f>6*PR!E152</f>
        <v>28.186566995454545</v>
      </c>
      <c r="N80" s="32"/>
      <c r="O80" s="33">
        <f t="shared" si="2"/>
        <v>1709.2705904909089</v>
      </c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1024" x14ac:dyDescent="0.25">
      <c r="A81" s="34">
        <v>78</v>
      </c>
      <c r="B81" s="35" t="s">
        <v>97</v>
      </c>
      <c r="C81" s="28">
        <v>0</v>
      </c>
      <c r="D81" s="28">
        <v>0</v>
      </c>
      <c r="E81" s="28">
        <v>0</v>
      </c>
      <c r="F81" s="28">
        <v>2</v>
      </c>
      <c r="G81" s="29"/>
      <c r="H81" s="29"/>
      <c r="I81" s="29"/>
      <c r="J81" s="29">
        <f>F81*PR!D145</f>
        <v>2134.8949130000001</v>
      </c>
      <c r="K81" s="30">
        <v>619.39</v>
      </c>
      <c r="L81" s="31">
        <f>6*PR!D157</f>
        <v>29.112203359090913</v>
      </c>
      <c r="M81" s="31">
        <f>6*PR!E157</f>
        <v>29.112203359090913</v>
      </c>
      <c r="N81" s="32"/>
      <c r="O81" s="33">
        <f t="shared" si="2"/>
        <v>2812.5093197181818</v>
      </c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4" x14ac:dyDescent="0.25">
      <c r="A82" s="34">
        <v>79</v>
      </c>
      <c r="B82" s="35" t="s">
        <v>98</v>
      </c>
      <c r="C82" s="28">
        <v>0</v>
      </c>
      <c r="D82" s="28">
        <v>0</v>
      </c>
      <c r="E82" s="28">
        <v>0</v>
      </c>
      <c r="F82" s="28">
        <v>2</v>
      </c>
      <c r="G82" s="29"/>
      <c r="H82" s="29"/>
      <c r="I82" s="29"/>
      <c r="J82" s="29">
        <f>F82*PR!D145</f>
        <v>2134.8949130000001</v>
      </c>
      <c r="K82" s="30">
        <v>619.39</v>
      </c>
      <c r="L82" s="31">
        <f>6*PR!D157</f>
        <v>29.112203359090913</v>
      </c>
      <c r="M82" s="31">
        <f>6*PR!E157</f>
        <v>29.112203359090913</v>
      </c>
      <c r="N82" s="32"/>
      <c r="O82" s="33">
        <f t="shared" si="2"/>
        <v>2812.5093197181818</v>
      </c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4" x14ac:dyDescent="0.25">
      <c r="A83" s="34">
        <v>80</v>
      </c>
      <c r="B83" s="35" t="s">
        <v>99</v>
      </c>
      <c r="C83" s="28">
        <v>0</v>
      </c>
      <c r="D83" s="28">
        <v>0</v>
      </c>
      <c r="E83" s="28">
        <v>0</v>
      </c>
      <c r="F83" s="28">
        <v>2</v>
      </c>
      <c r="G83" s="29"/>
      <c r="H83" s="29"/>
      <c r="I83" s="29"/>
      <c r="J83" s="29">
        <f>F83*PR!D145</f>
        <v>2134.8949130000001</v>
      </c>
      <c r="K83" s="30">
        <v>619.39</v>
      </c>
      <c r="L83" s="31">
        <f>6*PR!D157</f>
        <v>29.112203359090913</v>
      </c>
      <c r="M83" s="31">
        <f>6*PR!E157</f>
        <v>29.112203359090913</v>
      </c>
      <c r="N83" s="32"/>
      <c r="O83" s="33">
        <f t="shared" si="2"/>
        <v>2812.5093197181818</v>
      </c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4" x14ac:dyDescent="0.25">
      <c r="A84" s="34">
        <v>81</v>
      </c>
      <c r="B84" s="35" t="s">
        <v>100</v>
      </c>
      <c r="C84" s="28">
        <v>0</v>
      </c>
      <c r="D84" s="28">
        <v>0</v>
      </c>
      <c r="E84" s="28">
        <v>2</v>
      </c>
      <c r="F84" s="28">
        <v>1</v>
      </c>
      <c r="G84" s="29"/>
      <c r="H84" s="29"/>
      <c r="I84" s="29">
        <f>E84*PR!C142</f>
        <v>2089.1749129999998</v>
      </c>
      <c r="J84" s="29">
        <f>F84*PR!D142</f>
        <v>1044.5874564999999</v>
      </c>
      <c r="K84" s="30">
        <v>619.39</v>
      </c>
      <c r="L84" s="31">
        <f>6*PR!D154</f>
        <v>28.488748813636363</v>
      </c>
      <c r="M84" s="31">
        <f>6*PR!E154</f>
        <v>28.488748813636363</v>
      </c>
      <c r="N84" s="32"/>
      <c r="O84" s="33">
        <f t="shared" si="2"/>
        <v>3810.1298671272725</v>
      </c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1:1024" x14ac:dyDescent="0.25">
      <c r="A85" s="34">
        <v>82</v>
      </c>
      <c r="B85" s="35" t="s">
        <v>101</v>
      </c>
      <c r="C85" s="28">
        <v>0</v>
      </c>
      <c r="D85" s="28">
        <v>0</v>
      </c>
      <c r="E85" s="28">
        <v>0</v>
      </c>
      <c r="F85" s="28">
        <v>2</v>
      </c>
      <c r="G85" s="29"/>
      <c r="H85" s="29"/>
      <c r="I85" s="29"/>
      <c r="J85" s="29">
        <f>F85*PR!D144</f>
        <v>2111.7949129999997</v>
      </c>
      <c r="K85" s="30">
        <v>619.39</v>
      </c>
      <c r="L85" s="31">
        <f>6*PR!D156</f>
        <v>28.797203359090908</v>
      </c>
      <c r="M85" s="31">
        <f>6*PR!E156</f>
        <v>28.797203359090908</v>
      </c>
      <c r="N85" s="32"/>
      <c r="O85" s="33">
        <f t="shared" si="2"/>
        <v>2788.7793197181813</v>
      </c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4" x14ac:dyDescent="0.25">
      <c r="A86" s="26"/>
      <c r="B86" s="27" t="s">
        <v>102</v>
      </c>
      <c r="C86" s="36"/>
      <c r="D86" s="36"/>
      <c r="E86" s="36"/>
      <c r="F86" s="36"/>
      <c r="G86" s="29"/>
      <c r="H86" s="29"/>
      <c r="I86" s="29"/>
      <c r="J86" s="29"/>
      <c r="K86" s="30"/>
      <c r="L86" s="31"/>
      <c r="M86" s="31"/>
      <c r="N86" s="32"/>
      <c r="O86" s="33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</row>
    <row r="87" spans="1:1024" x14ac:dyDescent="0.25">
      <c r="A87" s="34">
        <v>83</v>
      </c>
      <c r="B87" s="35" t="s">
        <v>103</v>
      </c>
      <c r="C87" s="28">
        <v>0</v>
      </c>
      <c r="D87" s="28">
        <v>0</v>
      </c>
      <c r="E87" s="28">
        <v>0</v>
      </c>
      <c r="F87" s="28">
        <v>1</v>
      </c>
      <c r="G87" s="29"/>
      <c r="H87" s="29"/>
      <c r="I87" s="29"/>
      <c r="J87" s="29">
        <f>F87*PR!D142</f>
        <v>1044.5874564999999</v>
      </c>
      <c r="K87" s="30">
        <v>619.39</v>
      </c>
      <c r="L87" s="31">
        <f>PR!D154*6</f>
        <v>28.488748813636363</v>
      </c>
      <c r="M87" s="31">
        <f>PR!E154*6</f>
        <v>28.488748813636363</v>
      </c>
      <c r="N87" s="32"/>
      <c r="O87" s="33">
        <f>SUM(G87:M87)</f>
        <v>1720.9549541272727</v>
      </c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</row>
    <row r="88" spans="1:1024" x14ac:dyDescent="0.25">
      <c r="A88" s="37" t="s">
        <v>104</v>
      </c>
      <c r="B88" s="38" t="s">
        <v>105</v>
      </c>
      <c r="C88" s="39">
        <f t="shared" ref="C88:M88" si="3">SUM(C4:C87)</f>
        <v>3</v>
      </c>
      <c r="D88" s="39">
        <f t="shared" si="3"/>
        <v>10</v>
      </c>
      <c r="E88" s="39">
        <f t="shared" si="3"/>
        <v>157</v>
      </c>
      <c r="F88" s="39">
        <f t="shared" si="3"/>
        <v>41</v>
      </c>
      <c r="G88" s="40">
        <f t="shared" si="3"/>
        <v>4179.8059079999994</v>
      </c>
      <c r="H88" s="40">
        <f t="shared" si="3"/>
        <v>13963.696359999998</v>
      </c>
      <c r="I88" s="40">
        <f t="shared" si="3"/>
        <v>164832.34067049992</v>
      </c>
      <c r="J88" s="40">
        <f t="shared" si="3"/>
        <v>42129.398259999994</v>
      </c>
      <c r="K88" s="40">
        <f t="shared" si="3"/>
        <v>51409.369999999966</v>
      </c>
      <c r="L88" s="40">
        <f t="shared" si="3"/>
        <v>2374.7860606227287</v>
      </c>
      <c r="M88" s="40">
        <f t="shared" si="3"/>
        <v>2374.7860606227287</v>
      </c>
      <c r="N88" s="32"/>
      <c r="O88" s="41">
        <f>SUM(O4:O87)</f>
        <v>281264.18331974547</v>
      </c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</row>
    <row r="89" spans="1:1024" x14ac:dyDescent="0.25">
      <c r="A89" s="42"/>
      <c r="B89"/>
      <c r="C89" s="43"/>
      <c r="D89" s="43"/>
      <c r="E89" s="43"/>
      <c r="F89" s="43"/>
      <c r="G89" s="44"/>
      <c r="H89" s="44"/>
      <c r="I89" s="44"/>
      <c r="J89" s="44"/>
      <c r="K89" s="44"/>
      <c r="L89" s="44"/>
      <c r="M89" s="44"/>
      <c r="N89" s="45"/>
      <c r="O89" s="46"/>
    </row>
    <row r="90" spans="1:1024" x14ac:dyDescent="0.25">
      <c r="A90" s="47"/>
      <c r="B90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024" x14ac:dyDescent="0.25">
      <c r="A91" s="48">
        <v>1</v>
      </c>
      <c r="B91" s="49" t="s">
        <v>105</v>
      </c>
      <c r="C91" s="48">
        <f t="shared" ref="C91:M91" si="4">C88</f>
        <v>3</v>
      </c>
      <c r="D91" s="48">
        <f t="shared" si="4"/>
        <v>10</v>
      </c>
      <c r="E91" s="48">
        <f t="shared" si="4"/>
        <v>157</v>
      </c>
      <c r="F91" s="48">
        <f t="shared" si="4"/>
        <v>41</v>
      </c>
      <c r="G91" s="50">
        <f t="shared" si="4"/>
        <v>4179.8059079999994</v>
      </c>
      <c r="H91" s="50">
        <f t="shared" si="4"/>
        <v>13963.696359999998</v>
      </c>
      <c r="I91" s="50">
        <f t="shared" si="4"/>
        <v>164832.34067049992</v>
      </c>
      <c r="J91" s="50">
        <f t="shared" si="4"/>
        <v>42129.398259999994</v>
      </c>
      <c r="K91" s="50">
        <f t="shared" si="4"/>
        <v>51409.369999999966</v>
      </c>
      <c r="L91" s="51">
        <f t="shared" si="4"/>
        <v>2374.7860606227287</v>
      </c>
      <c r="M91" s="51">
        <f t="shared" si="4"/>
        <v>2374.7860606227287</v>
      </c>
      <c r="N91" s="51"/>
      <c r="O91" s="51"/>
    </row>
    <row r="92" spans="1:1024" x14ac:dyDescent="0.25">
      <c r="A92" s="48"/>
      <c r="B92" s="49"/>
      <c r="C92" s="52"/>
      <c r="D92" s="52" t="s">
        <v>106</v>
      </c>
      <c r="E92" s="52"/>
      <c r="F92" s="48"/>
      <c r="G92" s="50">
        <f>G91/C91</f>
        <v>1393.2686359999998</v>
      </c>
      <c r="H92" s="50">
        <f>H91/D91</f>
        <v>1396.3696359999999</v>
      </c>
      <c r="I92" s="50">
        <f>I91/E91</f>
        <v>1049.8875201942669</v>
      </c>
      <c r="J92" s="50">
        <f>J91/F91</f>
        <v>1027.54629902439</v>
      </c>
      <c r="K92" s="50">
        <f>K91/83</f>
        <v>619.38999999999965</v>
      </c>
      <c r="L92" s="50">
        <f>L91/83/6</f>
        <v>4.7686467080777684</v>
      </c>
      <c r="M92" s="50">
        <f>M91/83/6</f>
        <v>4.7686467080777684</v>
      </c>
      <c r="N92" s="51"/>
      <c r="O92" s="51"/>
    </row>
    <row r="93" spans="1:1024" x14ac:dyDescent="0.25">
      <c r="A93" s="53"/>
      <c r="B93" s="54"/>
      <c r="C93" s="53"/>
      <c r="D93" s="53"/>
      <c r="E93" s="53"/>
      <c r="F93" s="53"/>
      <c r="G93" s="55"/>
      <c r="H93" s="55"/>
      <c r="I93" s="55"/>
      <c r="J93" s="55"/>
      <c r="K93" s="55"/>
      <c r="L93" s="9" t="s">
        <v>107</v>
      </c>
      <c r="M93" s="56" t="s">
        <v>108</v>
      </c>
      <c r="N93" s="57"/>
      <c r="O93" s="57">
        <f>O88</f>
        <v>281264.18331974547</v>
      </c>
    </row>
    <row r="94" spans="1:1024" x14ac:dyDescent="0.25">
      <c r="A94" s="58"/>
      <c r="B94" s="59"/>
      <c r="C94" s="58"/>
      <c r="D94" s="58"/>
      <c r="E94" s="58"/>
      <c r="F94" s="58"/>
      <c r="G94" s="58"/>
      <c r="H94" s="58"/>
      <c r="I94" s="58"/>
      <c r="J94" s="58"/>
      <c r="K94" s="58"/>
      <c r="L94" s="9"/>
      <c r="M94" s="60" t="s">
        <v>109</v>
      </c>
      <c r="N94" s="61"/>
      <c r="O94" s="56">
        <f>O93*12</f>
        <v>3375170.1998369456</v>
      </c>
    </row>
    <row r="95" spans="1:1024" x14ac:dyDescent="0.25">
      <c r="A95"/>
    </row>
    <row r="96" spans="1:1024" x14ac:dyDescent="0.25">
      <c r="A96" s="62" t="s">
        <v>110</v>
      </c>
    </row>
  </sheetData>
  <mergeCells count="6">
    <mergeCell ref="L93:L94"/>
    <mergeCell ref="A1:O1"/>
    <mergeCell ref="A2:B2"/>
    <mergeCell ref="C2:F2"/>
    <mergeCell ref="G2:J2"/>
    <mergeCell ref="K2:M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05496"/>
  </sheetPr>
  <dimension ref="A1:AMK159"/>
  <sheetViews>
    <sheetView windowProtection="1" zoomScaleNormal="100" workbookViewId="0">
      <pane ySplit="9" topLeftCell="A28" activePane="bottomLeft" state="frozen"/>
      <selection pane="bottomLeft" activeCell="B42" sqref="B42"/>
    </sheetView>
  </sheetViews>
  <sheetFormatPr defaultRowHeight="15" x14ac:dyDescent="0.25"/>
  <cols>
    <col min="1" max="1" width="59.28515625" style="63"/>
    <col min="2" max="7" width="18.7109375" style="63"/>
    <col min="8" max="1025" width="9.140625" style="63"/>
  </cols>
  <sheetData>
    <row r="1" spans="1:7" ht="18.75" x14ac:dyDescent="0.25">
      <c r="A1" s="8" t="s">
        <v>0</v>
      </c>
      <c r="B1" s="8"/>
      <c r="C1" s="8"/>
      <c r="D1" s="8"/>
      <c r="E1" s="8"/>
      <c r="F1" s="8"/>
      <c r="G1" s="8"/>
    </row>
    <row r="2" spans="1:7" x14ac:dyDescent="0.25">
      <c r="A2" s="7" t="s">
        <v>111</v>
      </c>
      <c r="B2" s="7"/>
      <c r="C2" s="7"/>
      <c r="D2" s="7"/>
      <c r="E2" s="7"/>
      <c r="F2" s="7"/>
      <c r="G2" s="7"/>
    </row>
    <row r="3" spans="1:7" x14ac:dyDescent="0.25">
      <c r="A3" s="7" t="s">
        <v>112</v>
      </c>
      <c r="B3" s="7"/>
      <c r="C3" s="7"/>
      <c r="D3" s="7"/>
      <c r="E3" s="7"/>
      <c r="F3" s="7"/>
      <c r="G3" s="7"/>
    </row>
    <row r="4" spans="1:7" ht="15" customHeight="1" x14ac:dyDescent="0.25">
      <c r="A4" s="6" t="s">
        <v>113</v>
      </c>
      <c r="B4" s="6"/>
      <c r="C4" s="64">
        <f>D4/44*30</f>
        <v>0</v>
      </c>
      <c r="D4" s="65">
        <v>0</v>
      </c>
      <c r="E4" s="66">
        <f>$D4</f>
        <v>0</v>
      </c>
      <c r="F4" s="66">
        <f>$D4</f>
        <v>0</v>
      </c>
      <c r="G4" s="66">
        <f>$D4</f>
        <v>0</v>
      </c>
    </row>
    <row r="5" spans="1:7" ht="15" customHeight="1" x14ac:dyDescent="0.25">
      <c r="A5" s="5" t="s">
        <v>114</v>
      </c>
      <c r="B5" s="5"/>
      <c r="C5" s="67">
        <v>43862</v>
      </c>
      <c r="D5" s="68">
        <f t="shared" ref="D5:G6" si="0">$C5</f>
        <v>43862</v>
      </c>
      <c r="E5" s="68">
        <f t="shared" si="0"/>
        <v>43862</v>
      </c>
      <c r="F5" s="68">
        <f t="shared" si="0"/>
        <v>43862</v>
      </c>
      <c r="G5" s="68">
        <f t="shared" si="0"/>
        <v>43862</v>
      </c>
    </row>
    <row r="6" spans="1:7" ht="15" customHeight="1" x14ac:dyDescent="0.25">
      <c r="A6" s="4" t="s">
        <v>115</v>
      </c>
      <c r="B6" s="4"/>
      <c r="C6" s="69" t="s">
        <v>116</v>
      </c>
      <c r="D6" s="70" t="str">
        <f t="shared" si="0"/>
        <v>PR000320/2020</v>
      </c>
      <c r="E6" s="70" t="str">
        <f t="shared" si="0"/>
        <v>PR000320/2020</v>
      </c>
      <c r="F6" s="70" t="str">
        <f t="shared" si="0"/>
        <v>PR000320/2020</v>
      </c>
      <c r="G6" s="70" t="str">
        <f t="shared" si="0"/>
        <v>PR000320/2020</v>
      </c>
    </row>
    <row r="7" spans="1:7" ht="15" customHeight="1" x14ac:dyDescent="0.25">
      <c r="A7" s="3" t="s">
        <v>117</v>
      </c>
      <c r="B7" s="3"/>
      <c r="C7" s="71" t="s">
        <v>118</v>
      </c>
      <c r="D7" s="72" t="s">
        <v>118</v>
      </c>
      <c r="E7" s="72" t="s">
        <v>118</v>
      </c>
      <c r="F7" s="72" t="s">
        <v>118</v>
      </c>
      <c r="G7" s="73" t="s">
        <v>118</v>
      </c>
    </row>
    <row r="8" spans="1:7" ht="3.75" customHeight="1" x14ac:dyDescent="0.25">
      <c r="A8" s="74"/>
      <c r="B8" s="75"/>
      <c r="C8" s="75"/>
      <c r="D8" s="75"/>
      <c r="E8" s="75"/>
      <c r="F8" s="75"/>
      <c r="G8" s="76"/>
    </row>
    <row r="9" spans="1:7" ht="47.25" customHeight="1" x14ac:dyDescent="0.25">
      <c r="A9" s="77" t="s">
        <v>119</v>
      </c>
      <c r="B9" s="78" t="s">
        <v>120</v>
      </c>
      <c r="C9" s="79" t="s">
        <v>121</v>
      </c>
      <c r="D9" s="79" t="s">
        <v>122</v>
      </c>
      <c r="E9" s="79" t="s">
        <v>123</v>
      </c>
      <c r="F9" s="79" t="s">
        <v>124</v>
      </c>
      <c r="G9" s="80" t="s">
        <v>125</v>
      </c>
    </row>
    <row r="10" spans="1:7" x14ac:dyDescent="0.25">
      <c r="A10" s="2" t="s">
        <v>126</v>
      </c>
      <c r="B10" s="2"/>
      <c r="C10" s="2"/>
      <c r="D10" s="2"/>
      <c r="E10" s="2"/>
      <c r="F10" s="2"/>
      <c r="G10" s="2"/>
    </row>
    <row r="11" spans="1:7" x14ac:dyDescent="0.25">
      <c r="A11" s="81" t="s">
        <v>127</v>
      </c>
      <c r="B11" s="82" t="s">
        <v>128</v>
      </c>
      <c r="C11" s="82" t="s">
        <v>129</v>
      </c>
      <c r="D11" s="82" t="s">
        <v>129</v>
      </c>
      <c r="E11" s="82" t="s">
        <v>129</v>
      </c>
      <c r="F11" s="82" t="s">
        <v>129</v>
      </c>
      <c r="G11" s="83" t="s">
        <v>129</v>
      </c>
    </row>
    <row r="12" spans="1:7" x14ac:dyDescent="0.25">
      <c r="A12" s="84" t="s">
        <v>130</v>
      </c>
      <c r="B12" s="85"/>
      <c r="C12" s="86">
        <f>C4</f>
        <v>0</v>
      </c>
      <c r="D12" s="86">
        <f>D4</f>
        <v>0</v>
      </c>
      <c r="E12" s="86">
        <f>E4</f>
        <v>0</v>
      </c>
      <c r="F12" s="87">
        <f>F4*2</f>
        <v>0</v>
      </c>
      <c r="G12" s="88">
        <f>G4*2</f>
        <v>0</v>
      </c>
    </row>
    <row r="13" spans="1:7" x14ac:dyDescent="0.25">
      <c r="A13" s="84" t="s">
        <v>131</v>
      </c>
      <c r="B13" s="85">
        <v>0.3</v>
      </c>
      <c r="C13" s="86">
        <f>C12*B13</f>
        <v>0</v>
      </c>
      <c r="D13" s="86">
        <f>D12*B13</f>
        <v>0</v>
      </c>
      <c r="E13" s="86">
        <f>E12*B13</f>
        <v>0</v>
      </c>
      <c r="F13" s="87">
        <f>F12*B13</f>
        <v>0</v>
      </c>
      <c r="G13" s="88">
        <f>G12*B13</f>
        <v>0</v>
      </c>
    </row>
    <row r="14" spans="1:7" x14ac:dyDescent="0.25">
      <c r="A14" s="84" t="s">
        <v>132</v>
      </c>
      <c r="B14" s="85"/>
      <c r="C14" s="86"/>
      <c r="D14" s="86"/>
      <c r="E14" s="86"/>
      <c r="F14" s="87"/>
      <c r="G14" s="88"/>
    </row>
    <row r="15" spans="1:7" x14ac:dyDescent="0.25">
      <c r="A15" s="84" t="s">
        <v>133</v>
      </c>
      <c r="B15" s="85">
        <v>0.2</v>
      </c>
      <c r="C15" s="86"/>
      <c r="D15" s="86"/>
      <c r="E15" s="86">
        <f>((E12+E13)*(7/12))*$B15</f>
        <v>0</v>
      </c>
      <c r="F15" s="87"/>
      <c r="G15" s="88">
        <f>((G12+G13)*(7/12))*$B15</f>
        <v>0</v>
      </c>
    </row>
    <row r="16" spans="1:7" x14ac:dyDescent="0.25">
      <c r="A16" s="84" t="s">
        <v>134</v>
      </c>
      <c r="B16" s="85"/>
      <c r="C16" s="86"/>
      <c r="D16" s="86"/>
      <c r="E16" s="86">
        <f>((E12+E13)*(1/12))*1.2</f>
        <v>0</v>
      </c>
      <c r="F16" s="87"/>
      <c r="G16" s="88">
        <f>((G12+G13)*(1/12))*1.2</f>
        <v>0</v>
      </c>
    </row>
    <row r="17" spans="1:7" x14ac:dyDescent="0.25">
      <c r="A17" s="84" t="s">
        <v>135</v>
      </c>
      <c r="B17" s="85"/>
      <c r="C17" s="86"/>
      <c r="D17" s="86"/>
      <c r="E17" s="86"/>
      <c r="F17" s="89"/>
      <c r="G17" s="88"/>
    </row>
    <row r="18" spans="1:7" x14ac:dyDescent="0.25">
      <c r="A18" s="84" t="s">
        <v>136</v>
      </c>
      <c r="B18" s="85"/>
      <c r="C18" s="86"/>
      <c r="D18" s="86"/>
      <c r="E18" s="86"/>
      <c r="F18" s="87"/>
      <c r="G18" s="88"/>
    </row>
    <row r="19" spans="1:7" x14ac:dyDescent="0.25">
      <c r="A19" s="90" t="s">
        <v>5</v>
      </c>
      <c r="B19" s="91"/>
      <c r="C19" s="92">
        <f>SUM(C12:C18)</f>
        <v>0</v>
      </c>
      <c r="D19" s="92">
        <f>SUM(D12:D18)</f>
        <v>0</v>
      </c>
      <c r="E19" s="92">
        <f>SUM(E12:E18)</f>
        <v>0</v>
      </c>
      <c r="F19" s="92">
        <f>SUM(F12:F18)</f>
        <v>0</v>
      </c>
      <c r="G19" s="93">
        <f>SUM(G12:G18)</f>
        <v>0</v>
      </c>
    </row>
    <row r="20" spans="1:7" ht="4.5" customHeight="1" x14ac:dyDescent="0.25">
      <c r="A20" s="84"/>
      <c r="B20" s="94"/>
      <c r="C20" s="94"/>
      <c r="D20" s="94"/>
      <c r="E20" s="94"/>
      <c r="F20" s="95"/>
      <c r="G20" s="96"/>
    </row>
    <row r="21" spans="1:7" x14ac:dyDescent="0.25">
      <c r="A21" s="1" t="s">
        <v>137</v>
      </c>
      <c r="B21" s="1"/>
      <c r="C21" s="1"/>
      <c r="D21" s="1"/>
      <c r="E21" s="1"/>
      <c r="F21" s="1"/>
      <c r="G21" s="1"/>
    </row>
    <row r="22" spans="1:7" x14ac:dyDescent="0.25">
      <c r="A22" s="97" t="s">
        <v>138</v>
      </c>
      <c r="B22" s="98" t="s">
        <v>128</v>
      </c>
      <c r="C22" s="98" t="s">
        <v>129</v>
      </c>
      <c r="D22" s="98" t="s">
        <v>129</v>
      </c>
      <c r="E22" s="98" t="s">
        <v>129</v>
      </c>
      <c r="F22" s="98" t="s">
        <v>129</v>
      </c>
      <c r="G22" s="99" t="s">
        <v>129</v>
      </c>
    </row>
    <row r="23" spans="1:7" x14ac:dyDescent="0.25">
      <c r="A23" s="84" t="s">
        <v>139</v>
      </c>
      <c r="B23" s="100">
        <f>1/12</f>
        <v>8.3333333333333329E-2</v>
      </c>
      <c r="C23" s="86">
        <f t="shared" ref="C23:G25" si="1">ROUND(C$19*$B23,2)</f>
        <v>0</v>
      </c>
      <c r="D23" s="86">
        <f t="shared" si="1"/>
        <v>0</v>
      </c>
      <c r="E23" s="86">
        <f t="shared" si="1"/>
        <v>0</v>
      </c>
      <c r="F23" s="86">
        <f t="shared" si="1"/>
        <v>0</v>
      </c>
      <c r="G23" s="88">
        <f t="shared" si="1"/>
        <v>0</v>
      </c>
    </row>
    <row r="24" spans="1:7" x14ac:dyDescent="0.25">
      <c r="A24" s="84" t="s">
        <v>140</v>
      </c>
      <c r="B24" s="100">
        <v>0</v>
      </c>
      <c r="C24" s="86">
        <f t="shared" si="1"/>
        <v>0</v>
      </c>
      <c r="D24" s="86">
        <f t="shared" si="1"/>
        <v>0</v>
      </c>
      <c r="E24" s="86">
        <f t="shared" si="1"/>
        <v>0</v>
      </c>
      <c r="F24" s="86">
        <f t="shared" si="1"/>
        <v>0</v>
      </c>
      <c r="G24" s="88">
        <f t="shared" si="1"/>
        <v>0</v>
      </c>
    </row>
    <row r="25" spans="1:7" x14ac:dyDescent="0.25">
      <c r="A25" s="84" t="s">
        <v>141</v>
      </c>
      <c r="B25" s="100">
        <f>1/12/3</f>
        <v>2.7777777777777776E-2</v>
      </c>
      <c r="C25" s="86">
        <f t="shared" si="1"/>
        <v>0</v>
      </c>
      <c r="D25" s="86">
        <f t="shared" si="1"/>
        <v>0</v>
      </c>
      <c r="E25" s="86">
        <f t="shared" si="1"/>
        <v>0</v>
      </c>
      <c r="F25" s="86">
        <f t="shared" si="1"/>
        <v>0</v>
      </c>
      <c r="G25" s="88">
        <f t="shared" si="1"/>
        <v>0</v>
      </c>
    </row>
    <row r="26" spans="1:7" x14ac:dyDescent="0.25">
      <c r="A26" s="90" t="s">
        <v>5</v>
      </c>
      <c r="B26" s="101">
        <f t="shared" ref="B26:G26" si="2">SUM(B23:B25)</f>
        <v>0.1111111111111111</v>
      </c>
      <c r="C26" s="92">
        <f t="shared" si="2"/>
        <v>0</v>
      </c>
      <c r="D26" s="92">
        <f t="shared" si="2"/>
        <v>0</v>
      </c>
      <c r="E26" s="92">
        <f t="shared" si="2"/>
        <v>0</v>
      </c>
      <c r="F26" s="92">
        <f t="shared" si="2"/>
        <v>0</v>
      </c>
      <c r="G26" s="93">
        <f t="shared" si="2"/>
        <v>0</v>
      </c>
    </row>
    <row r="27" spans="1:7" x14ac:dyDescent="0.25">
      <c r="A27" s="97" t="s">
        <v>142</v>
      </c>
      <c r="B27" s="98" t="s">
        <v>128</v>
      </c>
      <c r="C27" s="98" t="s">
        <v>129</v>
      </c>
      <c r="D27" s="98" t="s">
        <v>129</v>
      </c>
      <c r="E27" s="98" t="s">
        <v>129</v>
      </c>
      <c r="F27" s="98" t="s">
        <v>129</v>
      </c>
      <c r="G27" s="99" t="s">
        <v>129</v>
      </c>
    </row>
    <row r="28" spans="1:7" x14ac:dyDescent="0.25">
      <c r="A28" s="97" t="s">
        <v>143</v>
      </c>
      <c r="B28" s="98"/>
      <c r="C28" s="98"/>
      <c r="D28" s="98"/>
      <c r="E28" s="98"/>
      <c r="F28" s="102"/>
      <c r="G28" s="99"/>
    </row>
    <row r="29" spans="1:7" x14ac:dyDescent="0.25">
      <c r="A29" s="84" t="s">
        <v>144</v>
      </c>
      <c r="B29" s="85">
        <v>0.2</v>
      </c>
      <c r="C29" s="86">
        <f t="shared" ref="C29:G35" si="3">ROUND((C$19+C$26)*$B29,2)</f>
        <v>0</v>
      </c>
      <c r="D29" s="86">
        <f t="shared" si="3"/>
        <v>0</v>
      </c>
      <c r="E29" s="86">
        <f t="shared" si="3"/>
        <v>0</v>
      </c>
      <c r="F29" s="86">
        <f t="shared" si="3"/>
        <v>0</v>
      </c>
      <c r="G29" s="88">
        <f t="shared" si="3"/>
        <v>0</v>
      </c>
    </row>
    <row r="30" spans="1:7" x14ac:dyDescent="0.25">
      <c r="A30" s="84" t="s">
        <v>145</v>
      </c>
      <c r="B30" s="103">
        <v>2.5000000000000001E-2</v>
      </c>
      <c r="C30" s="86">
        <f t="shared" si="3"/>
        <v>0</v>
      </c>
      <c r="D30" s="86">
        <f t="shared" si="3"/>
        <v>0</v>
      </c>
      <c r="E30" s="86">
        <f t="shared" si="3"/>
        <v>0</v>
      </c>
      <c r="F30" s="86">
        <f t="shared" si="3"/>
        <v>0</v>
      </c>
      <c r="G30" s="88">
        <f t="shared" si="3"/>
        <v>0</v>
      </c>
    </row>
    <row r="31" spans="1:7" x14ac:dyDescent="0.25">
      <c r="A31" s="84" t="s">
        <v>146</v>
      </c>
      <c r="B31" s="100">
        <v>0.03</v>
      </c>
      <c r="C31" s="86">
        <f t="shared" si="3"/>
        <v>0</v>
      </c>
      <c r="D31" s="86">
        <f t="shared" si="3"/>
        <v>0</v>
      </c>
      <c r="E31" s="86">
        <f t="shared" si="3"/>
        <v>0</v>
      </c>
      <c r="F31" s="86">
        <f t="shared" si="3"/>
        <v>0</v>
      </c>
      <c r="G31" s="88">
        <f t="shared" si="3"/>
        <v>0</v>
      </c>
    </row>
    <row r="32" spans="1:7" x14ac:dyDescent="0.25">
      <c r="A32" s="84" t="s">
        <v>147</v>
      </c>
      <c r="B32" s="103">
        <v>1.4999999999999999E-2</v>
      </c>
      <c r="C32" s="86">
        <f t="shared" si="3"/>
        <v>0</v>
      </c>
      <c r="D32" s="86">
        <f t="shared" si="3"/>
        <v>0</v>
      </c>
      <c r="E32" s="86">
        <f t="shared" si="3"/>
        <v>0</v>
      </c>
      <c r="F32" s="86">
        <f t="shared" si="3"/>
        <v>0</v>
      </c>
      <c r="G32" s="88">
        <f t="shared" si="3"/>
        <v>0</v>
      </c>
    </row>
    <row r="33" spans="1:7" x14ac:dyDescent="0.25">
      <c r="A33" s="84" t="s">
        <v>148</v>
      </c>
      <c r="B33" s="103">
        <v>0.01</v>
      </c>
      <c r="C33" s="86">
        <f t="shared" si="3"/>
        <v>0</v>
      </c>
      <c r="D33" s="86">
        <f t="shared" si="3"/>
        <v>0</v>
      </c>
      <c r="E33" s="86">
        <f t="shared" si="3"/>
        <v>0</v>
      </c>
      <c r="F33" s="86">
        <f t="shared" si="3"/>
        <v>0</v>
      </c>
      <c r="G33" s="88">
        <f t="shared" si="3"/>
        <v>0</v>
      </c>
    </row>
    <row r="34" spans="1:7" x14ac:dyDescent="0.25">
      <c r="A34" s="84" t="s">
        <v>149</v>
      </c>
      <c r="B34" s="103">
        <v>6.0000000000000001E-3</v>
      </c>
      <c r="C34" s="86">
        <f t="shared" si="3"/>
        <v>0</v>
      </c>
      <c r="D34" s="86">
        <f t="shared" si="3"/>
        <v>0</v>
      </c>
      <c r="E34" s="86">
        <f t="shared" si="3"/>
        <v>0</v>
      </c>
      <c r="F34" s="86">
        <f t="shared" si="3"/>
        <v>0</v>
      </c>
      <c r="G34" s="88">
        <f t="shared" si="3"/>
        <v>0</v>
      </c>
    </row>
    <row r="35" spans="1:7" x14ac:dyDescent="0.25">
      <c r="A35" s="84" t="s">
        <v>150</v>
      </c>
      <c r="B35" s="103">
        <v>2E-3</v>
      </c>
      <c r="C35" s="86">
        <f t="shared" si="3"/>
        <v>0</v>
      </c>
      <c r="D35" s="86">
        <f t="shared" si="3"/>
        <v>0</v>
      </c>
      <c r="E35" s="86">
        <f t="shared" si="3"/>
        <v>0</v>
      </c>
      <c r="F35" s="86">
        <f t="shared" si="3"/>
        <v>0</v>
      </c>
      <c r="G35" s="88">
        <f t="shared" si="3"/>
        <v>0</v>
      </c>
    </row>
    <row r="36" spans="1:7" x14ac:dyDescent="0.25">
      <c r="A36" s="97" t="s">
        <v>151</v>
      </c>
      <c r="B36" s="98"/>
      <c r="C36" s="104"/>
      <c r="D36" s="104"/>
      <c r="E36" s="104"/>
      <c r="F36" s="105"/>
      <c r="G36" s="106"/>
    </row>
    <row r="37" spans="1:7" x14ac:dyDescent="0.25">
      <c r="A37" s="84" t="s">
        <v>152</v>
      </c>
      <c r="B37" s="103">
        <v>0.08</v>
      </c>
      <c r="C37" s="86">
        <f>ROUND((C$19+C$26)*$B37,2)</f>
        <v>0</v>
      </c>
      <c r="D37" s="86">
        <f>ROUND((D$19+D$26)*$B37,2)</f>
        <v>0</v>
      </c>
      <c r="E37" s="86">
        <f>ROUND((E$19+E$26)*$B37,2)</f>
        <v>0</v>
      </c>
      <c r="F37" s="86">
        <f>ROUND((F$19+F$26)*$B37,2)</f>
        <v>0</v>
      </c>
      <c r="G37" s="88">
        <f>ROUND((G$19+G$26)*$B37,2)</f>
        <v>0</v>
      </c>
    </row>
    <row r="38" spans="1:7" x14ac:dyDescent="0.25">
      <c r="A38" s="90" t="s">
        <v>5</v>
      </c>
      <c r="B38" s="101">
        <f t="shared" ref="B38:G38" si="4">SUM(B29:B37)</f>
        <v>0.36800000000000005</v>
      </c>
      <c r="C38" s="92">
        <f t="shared" si="4"/>
        <v>0</v>
      </c>
      <c r="D38" s="92">
        <f t="shared" si="4"/>
        <v>0</v>
      </c>
      <c r="E38" s="92">
        <f t="shared" si="4"/>
        <v>0</v>
      </c>
      <c r="F38" s="92">
        <f t="shared" si="4"/>
        <v>0</v>
      </c>
      <c r="G38" s="93">
        <f t="shared" si="4"/>
        <v>0</v>
      </c>
    </row>
    <row r="39" spans="1:7" x14ac:dyDescent="0.25">
      <c r="A39" s="97" t="s">
        <v>153</v>
      </c>
      <c r="B39" s="98" t="s">
        <v>129</v>
      </c>
      <c r="C39" s="98" t="s">
        <v>129</v>
      </c>
      <c r="D39" s="98" t="s">
        <v>129</v>
      </c>
      <c r="E39" s="98" t="s">
        <v>129</v>
      </c>
      <c r="F39" s="98" t="s">
        <v>129</v>
      </c>
      <c r="G39" s="99" t="s">
        <v>129</v>
      </c>
    </row>
    <row r="40" spans="1:7" x14ac:dyDescent="0.25">
      <c r="A40" s="84" t="s">
        <v>154</v>
      </c>
      <c r="B40" s="107">
        <f>VT!E4</f>
        <v>3.943917525773196</v>
      </c>
      <c r="C40" s="86">
        <f>ROUND(((2*22*$B$40)-0.06*C4),2)</f>
        <v>173.53</v>
      </c>
      <c r="D40" s="86">
        <f>ROUND(((2*22*$B$40)-0.06*D4),2)</f>
        <v>173.53</v>
      </c>
      <c r="E40" s="86">
        <f>ROUND(((2*22*$B$40)-0.06*E4),2)</f>
        <v>173.53</v>
      </c>
      <c r="F40" s="86">
        <f>ROUND(((2*15*$B$40)-0.06*0.5*F$4)*2,2)</f>
        <v>236.64</v>
      </c>
      <c r="G40" s="88">
        <f>ROUND(((2*15*$B$40)-0.06*0.5*G4)*2,2)</f>
        <v>236.64</v>
      </c>
    </row>
    <row r="41" spans="1:7" x14ac:dyDescent="0.25">
      <c r="A41" s="84" t="s">
        <v>155</v>
      </c>
      <c r="B41" s="108">
        <v>33.08</v>
      </c>
      <c r="C41" s="86">
        <f>ROUND(($B$41*(1-0.2)*22),2)</f>
        <v>582.21</v>
      </c>
      <c r="D41" s="86">
        <f>ROUND(($B$41*(1-0.2)*22),2)</f>
        <v>582.21</v>
      </c>
      <c r="E41" s="86">
        <f>ROUND(($B$41*(1-0.2)*22),2)</f>
        <v>582.21</v>
      </c>
      <c r="F41" s="86">
        <f>ROUND(($B$41*(1-0.2)*15*2),2)</f>
        <v>793.92</v>
      </c>
      <c r="G41" s="88">
        <f>ROUND(($B$41*(1-0.2)*15*2),2)</f>
        <v>793.92</v>
      </c>
    </row>
    <row r="42" spans="1:7" x14ac:dyDescent="0.25">
      <c r="A42" s="84" t="s">
        <v>156</v>
      </c>
      <c r="B42" s="108">
        <v>0</v>
      </c>
      <c r="C42" s="86">
        <f>B42</f>
        <v>0</v>
      </c>
      <c r="D42" s="86">
        <f>B42</f>
        <v>0</v>
      </c>
      <c r="E42" s="86">
        <f>B42</f>
        <v>0</v>
      </c>
      <c r="F42" s="86">
        <f>B42*2</f>
        <v>0</v>
      </c>
      <c r="G42" s="86">
        <f>B42*2</f>
        <v>0</v>
      </c>
    </row>
    <row r="43" spans="1:7" x14ac:dyDescent="0.25">
      <c r="A43" s="84" t="s">
        <v>157</v>
      </c>
      <c r="B43" s="108">
        <v>0</v>
      </c>
      <c r="C43" s="86">
        <f>B43</f>
        <v>0</v>
      </c>
      <c r="D43" s="86">
        <f>B43</f>
        <v>0</v>
      </c>
      <c r="E43" s="86">
        <f>B43</f>
        <v>0</v>
      </c>
      <c r="F43" s="87">
        <f>B43*2</f>
        <v>0</v>
      </c>
      <c r="G43" s="88">
        <f>B43*2</f>
        <v>0</v>
      </c>
    </row>
    <row r="44" spans="1:7" x14ac:dyDescent="0.25">
      <c r="A44" s="84" t="s">
        <v>158</v>
      </c>
      <c r="B44" s="107"/>
      <c r="C44" s="86">
        <v>0</v>
      </c>
      <c r="D44" s="86">
        <v>0</v>
      </c>
      <c r="E44" s="86">
        <v>0</v>
      </c>
      <c r="F44" s="87">
        <v>0</v>
      </c>
      <c r="G44" s="88">
        <v>0</v>
      </c>
    </row>
    <row r="45" spans="1:7" x14ac:dyDescent="0.25">
      <c r="A45" s="109" t="s">
        <v>5</v>
      </c>
      <c r="B45" s="98"/>
      <c r="C45" s="110">
        <f>SUM(C40:C44)</f>
        <v>755.74</v>
      </c>
      <c r="D45" s="110">
        <f>SUM(D40:D44)</f>
        <v>755.74</v>
      </c>
      <c r="E45" s="110">
        <f>SUM(E40:E44)</f>
        <v>755.74</v>
      </c>
      <c r="F45" s="110">
        <f>SUM(F40:F44)</f>
        <v>1030.56</v>
      </c>
      <c r="G45" s="111">
        <f>SUM(G40:G44)</f>
        <v>1030.56</v>
      </c>
    </row>
    <row r="46" spans="1:7" x14ac:dyDescent="0.25">
      <c r="A46" s="81" t="s">
        <v>159</v>
      </c>
      <c r="B46" s="82" t="s">
        <v>128</v>
      </c>
      <c r="C46" s="82" t="s">
        <v>129</v>
      </c>
      <c r="D46" s="82" t="s">
        <v>129</v>
      </c>
      <c r="E46" s="82" t="s">
        <v>129</v>
      </c>
      <c r="F46" s="82" t="s">
        <v>129</v>
      </c>
      <c r="G46" s="83" t="s">
        <v>129</v>
      </c>
    </row>
    <row r="47" spans="1:7" x14ac:dyDescent="0.25">
      <c r="A47" s="84" t="s">
        <v>138</v>
      </c>
      <c r="B47" s="103">
        <f t="shared" ref="B47:G47" si="5">B26</f>
        <v>0.1111111111111111</v>
      </c>
      <c r="C47" s="86">
        <f t="shared" si="5"/>
        <v>0</v>
      </c>
      <c r="D47" s="86">
        <f t="shared" si="5"/>
        <v>0</v>
      </c>
      <c r="E47" s="86">
        <f t="shared" si="5"/>
        <v>0</v>
      </c>
      <c r="F47" s="86">
        <f t="shared" si="5"/>
        <v>0</v>
      </c>
      <c r="G47" s="88">
        <f t="shared" si="5"/>
        <v>0</v>
      </c>
    </row>
    <row r="48" spans="1:7" x14ac:dyDescent="0.25">
      <c r="A48" s="84" t="s">
        <v>160</v>
      </c>
      <c r="B48" s="103">
        <f t="shared" ref="B48:G48" si="6">B38</f>
        <v>0.36800000000000005</v>
      </c>
      <c r="C48" s="86">
        <f t="shared" si="6"/>
        <v>0</v>
      </c>
      <c r="D48" s="86">
        <f t="shared" si="6"/>
        <v>0</v>
      </c>
      <c r="E48" s="86">
        <f t="shared" si="6"/>
        <v>0</v>
      </c>
      <c r="F48" s="86">
        <f t="shared" si="6"/>
        <v>0</v>
      </c>
      <c r="G48" s="88">
        <f t="shared" si="6"/>
        <v>0</v>
      </c>
    </row>
    <row r="49" spans="1:7" x14ac:dyDescent="0.25">
      <c r="A49" s="84" t="s">
        <v>153</v>
      </c>
      <c r="B49" s="112"/>
      <c r="C49" s="86">
        <f>C45</f>
        <v>755.74</v>
      </c>
      <c r="D49" s="86">
        <f>D45</f>
        <v>755.74</v>
      </c>
      <c r="E49" s="86">
        <f>E45</f>
        <v>755.74</v>
      </c>
      <c r="F49" s="86">
        <f>F45</f>
        <v>1030.56</v>
      </c>
      <c r="G49" s="88">
        <f>G45</f>
        <v>1030.56</v>
      </c>
    </row>
    <row r="50" spans="1:7" x14ac:dyDescent="0.25">
      <c r="A50" s="90" t="s">
        <v>5</v>
      </c>
      <c r="B50" s="113"/>
      <c r="C50" s="92">
        <f>SUM(C47:C49)</f>
        <v>755.74</v>
      </c>
      <c r="D50" s="92">
        <f>D47+D48+D49</f>
        <v>755.74</v>
      </c>
      <c r="E50" s="92">
        <f>E47+E48+E49</f>
        <v>755.74</v>
      </c>
      <c r="F50" s="92">
        <f>F47+F48+F49</f>
        <v>1030.56</v>
      </c>
      <c r="G50" s="93">
        <f>G47+G48+G49</f>
        <v>1030.56</v>
      </c>
    </row>
    <row r="51" spans="1:7" ht="6" customHeight="1" x14ac:dyDescent="0.25">
      <c r="A51" s="84"/>
      <c r="B51" s="94"/>
      <c r="C51" s="94"/>
      <c r="D51" s="94"/>
      <c r="E51" s="94"/>
      <c r="F51" s="95"/>
      <c r="G51" s="96"/>
    </row>
    <row r="52" spans="1:7" x14ac:dyDescent="0.25">
      <c r="A52" s="1" t="s">
        <v>161</v>
      </c>
      <c r="B52" s="1"/>
      <c r="C52" s="1"/>
      <c r="D52" s="1"/>
      <c r="E52" s="1"/>
      <c r="F52" s="1"/>
      <c r="G52" s="1"/>
    </row>
    <row r="53" spans="1:7" x14ac:dyDescent="0.25">
      <c r="A53" s="97" t="s">
        <v>162</v>
      </c>
      <c r="B53" s="98" t="s">
        <v>128</v>
      </c>
      <c r="C53" s="98" t="s">
        <v>129</v>
      </c>
      <c r="D53" s="98" t="s">
        <v>129</v>
      </c>
      <c r="E53" s="98" t="s">
        <v>129</v>
      </c>
      <c r="F53" s="98" t="s">
        <v>129</v>
      </c>
      <c r="G53" s="99" t="s">
        <v>129</v>
      </c>
    </row>
    <row r="54" spans="1:7" x14ac:dyDescent="0.25">
      <c r="A54" s="84" t="s">
        <v>163</v>
      </c>
      <c r="B54" s="100">
        <f>1/12*0.5667</f>
        <v>4.7224999999999996E-2</v>
      </c>
      <c r="C54" s="114">
        <f>(C$19+C$26+C$37+C$45)*$B54</f>
        <v>35.689821500000001</v>
      </c>
      <c r="D54" s="114">
        <f>(D$19+D$26+D$37+D$45)*$B54</f>
        <v>35.689821500000001</v>
      </c>
      <c r="E54" s="114">
        <f>(E$19+E$26+E$37+E$45)*$B54</f>
        <v>35.689821500000001</v>
      </c>
      <c r="F54" s="114">
        <f>(F$19+F$26+F$37+F$45)*$B54</f>
        <v>48.668195999999995</v>
      </c>
      <c r="G54" s="115">
        <f>(G$19+G$26+G$37+G$45)*$B54</f>
        <v>48.668195999999995</v>
      </c>
    </row>
    <row r="55" spans="1:7" x14ac:dyDescent="0.25">
      <c r="A55" s="84" t="s">
        <v>164</v>
      </c>
      <c r="B55" s="100">
        <f>0.4*0.5667</f>
        <v>0.22667999999999999</v>
      </c>
      <c r="C55" s="114">
        <f>C37*$B55</f>
        <v>0</v>
      </c>
      <c r="D55" s="114">
        <f>D37*$B55</f>
        <v>0</v>
      </c>
      <c r="E55" s="114">
        <f>E37*$B55</f>
        <v>0</v>
      </c>
      <c r="F55" s="114">
        <f>F37*$B55</f>
        <v>0</v>
      </c>
      <c r="G55" s="115">
        <f>G37*$B55</f>
        <v>0</v>
      </c>
    </row>
    <row r="56" spans="1:7" x14ac:dyDescent="0.25">
      <c r="A56" s="90" t="s">
        <v>5</v>
      </c>
      <c r="B56" s="116"/>
      <c r="C56" s="117">
        <f>SUM(C54:C55)</f>
        <v>35.689821500000001</v>
      </c>
      <c r="D56" s="117">
        <f>SUM(D54:D55)</f>
        <v>35.689821500000001</v>
      </c>
      <c r="E56" s="117">
        <f>SUM(E54:E55)</f>
        <v>35.689821500000001</v>
      </c>
      <c r="F56" s="117">
        <f>SUM(F54:F55)</f>
        <v>48.668195999999995</v>
      </c>
      <c r="G56" s="118">
        <f>SUM(G54:G55)</f>
        <v>48.668195999999995</v>
      </c>
    </row>
    <row r="57" spans="1:7" x14ac:dyDescent="0.25">
      <c r="A57" s="97" t="s">
        <v>165</v>
      </c>
      <c r="B57" s="98" t="s">
        <v>128</v>
      </c>
      <c r="C57" s="98" t="s">
        <v>129</v>
      </c>
      <c r="D57" s="98" t="s">
        <v>129</v>
      </c>
      <c r="E57" s="98" t="s">
        <v>129</v>
      </c>
      <c r="F57" s="102" t="s">
        <v>129</v>
      </c>
      <c r="G57" s="99" t="s">
        <v>129</v>
      </c>
    </row>
    <row r="58" spans="1:7" x14ac:dyDescent="0.25">
      <c r="A58" s="84" t="s">
        <v>166</v>
      </c>
      <c r="B58" s="100">
        <f>1/12*0.063</f>
        <v>5.2499999999999995E-3</v>
      </c>
      <c r="C58" s="119">
        <f>(C19+C50)*$B58</f>
        <v>3.9676349999999996</v>
      </c>
      <c r="D58" s="119">
        <f>(D19+D50)*$B58</f>
        <v>3.9676349999999996</v>
      </c>
      <c r="E58" s="119">
        <f>(E19+E50)*$B58</f>
        <v>3.9676349999999996</v>
      </c>
      <c r="F58" s="119">
        <f>(F19+F50)*$B58</f>
        <v>5.4104399999999995</v>
      </c>
      <c r="G58" s="120">
        <f>(G19+G50)*$B58</f>
        <v>5.4104399999999995</v>
      </c>
    </row>
    <row r="59" spans="1:7" x14ac:dyDescent="0.25">
      <c r="A59" s="84" t="s">
        <v>167</v>
      </c>
      <c r="B59" s="100">
        <f>0.4*0.063</f>
        <v>2.52E-2</v>
      </c>
      <c r="C59" s="119">
        <f>$B59*C37</f>
        <v>0</v>
      </c>
      <c r="D59" s="119">
        <f>$B59*D37</f>
        <v>0</v>
      </c>
      <c r="E59" s="119">
        <f>$B59*E37</f>
        <v>0</v>
      </c>
      <c r="F59" s="119">
        <f>$B59*F37</f>
        <v>0</v>
      </c>
      <c r="G59" s="120">
        <f>$B59*G37</f>
        <v>0</v>
      </c>
    </row>
    <row r="60" spans="1:7" x14ac:dyDescent="0.25">
      <c r="A60" s="90" t="s">
        <v>5</v>
      </c>
      <c r="B60" s="116"/>
      <c r="C60" s="92">
        <f>SUM(C58:C59)</f>
        <v>3.9676349999999996</v>
      </c>
      <c r="D60" s="92">
        <f>SUM(D58:D59)</f>
        <v>3.9676349999999996</v>
      </c>
      <c r="E60" s="92">
        <f>SUM(E58:E59)</f>
        <v>3.9676349999999996</v>
      </c>
      <c r="F60" s="92">
        <f>SUM(F58:F59)</f>
        <v>5.4104399999999995</v>
      </c>
      <c r="G60" s="93">
        <f>SUM(G58:G59)</f>
        <v>5.4104399999999995</v>
      </c>
    </row>
    <row r="61" spans="1:7" x14ac:dyDescent="0.25">
      <c r="A61" s="97" t="s">
        <v>168</v>
      </c>
      <c r="B61" s="98" t="s">
        <v>128</v>
      </c>
      <c r="C61" s="98" t="s">
        <v>129</v>
      </c>
      <c r="D61" s="98" t="s">
        <v>129</v>
      </c>
      <c r="E61" s="98" t="s">
        <v>129</v>
      </c>
      <c r="F61" s="102" t="s">
        <v>129</v>
      </c>
      <c r="G61" s="99" t="s">
        <v>129</v>
      </c>
    </row>
    <row r="62" spans="1:7" x14ac:dyDescent="0.25">
      <c r="A62" s="84" t="s">
        <v>169</v>
      </c>
      <c r="B62" s="100">
        <v>2.3199999999999998E-2</v>
      </c>
      <c r="C62" s="119">
        <f>(C23*$B$62)*-1</f>
        <v>0</v>
      </c>
      <c r="D62" s="119">
        <f>(D23*$B$62)*-1</f>
        <v>0</v>
      </c>
      <c r="E62" s="119">
        <f>(E23*$B$62)*-1</f>
        <v>0</v>
      </c>
      <c r="F62" s="119">
        <f>(F23*$B$62)*-1</f>
        <v>0</v>
      </c>
      <c r="G62" s="120">
        <f>(G23*$B$62)*-1</f>
        <v>0</v>
      </c>
    </row>
    <row r="63" spans="1:7" x14ac:dyDescent="0.25">
      <c r="A63" s="84" t="s">
        <v>170</v>
      </c>
      <c r="B63" s="100">
        <v>2.3199999999999998E-2</v>
      </c>
      <c r="C63" s="119">
        <f>(C24*$B$63)*-1</f>
        <v>0</v>
      </c>
      <c r="D63" s="119">
        <f>(D24*$B$63)*-1</f>
        <v>0</v>
      </c>
      <c r="E63" s="119">
        <f>(E24*$B$63)*-1</f>
        <v>0</v>
      </c>
      <c r="F63" s="119">
        <f>(F24*$B$63)*-1</f>
        <v>0</v>
      </c>
      <c r="G63" s="120">
        <f>(G24*$B$63)*-1</f>
        <v>0</v>
      </c>
    </row>
    <row r="64" spans="1:7" x14ac:dyDescent="0.25">
      <c r="A64" s="84" t="s">
        <v>171</v>
      </c>
      <c r="B64" s="100">
        <v>2.3199999999999998E-2</v>
      </c>
      <c r="C64" s="119">
        <f>(C25*$B$64)*-1</f>
        <v>0</v>
      </c>
      <c r="D64" s="119">
        <f>(D25*$B$64)*-1</f>
        <v>0</v>
      </c>
      <c r="E64" s="119">
        <f>(E25*$B$64)*-1</f>
        <v>0</v>
      </c>
      <c r="F64" s="119">
        <f>(F25*$B$64)*-1</f>
        <v>0</v>
      </c>
      <c r="G64" s="120">
        <f>(G25*$B$64)*-1</f>
        <v>0</v>
      </c>
    </row>
    <row r="65" spans="1:7" x14ac:dyDescent="0.25">
      <c r="A65" s="90" t="s">
        <v>5</v>
      </c>
      <c r="B65" s="116"/>
      <c r="C65" s="92">
        <f>SUM(C62:C64)</f>
        <v>0</v>
      </c>
      <c r="D65" s="92">
        <f>SUM(D62:D64)</f>
        <v>0</v>
      </c>
      <c r="E65" s="92">
        <f>SUM(E62:E64)</f>
        <v>0</v>
      </c>
      <c r="F65" s="92">
        <f>SUM(F62:F64)</f>
        <v>0</v>
      </c>
      <c r="G65" s="93">
        <f>SUM(G62:G64)</f>
        <v>0</v>
      </c>
    </row>
    <row r="66" spans="1:7" x14ac:dyDescent="0.25">
      <c r="A66" s="81" t="s">
        <v>172</v>
      </c>
      <c r="B66" s="82" t="s">
        <v>128</v>
      </c>
      <c r="C66" s="82" t="s">
        <v>129</v>
      </c>
      <c r="D66" s="82" t="s">
        <v>129</v>
      </c>
      <c r="E66" s="82" t="s">
        <v>129</v>
      </c>
      <c r="F66" s="121" t="s">
        <v>129</v>
      </c>
      <c r="G66" s="83" t="s">
        <v>129</v>
      </c>
    </row>
    <row r="67" spans="1:7" x14ac:dyDescent="0.25">
      <c r="A67" s="84" t="s">
        <v>163</v>
      </c>
      <c r="B67" s="122"/>
      <c r="C67" s="119">
        <f>C56</f>
        <v>35.689821500000001</v>
      </c>
      <c r="D67" s="119">
        <f>D56</f>
        <v>35.689821500000001</v>
      </c>
      <c r="E67" s="119">
        <f>E56</f>
        <v>35.689821500000001</v>
      </c>
      <c r="F67" s="119">
        <f>F56</f>
        <v>48.668195999999995</v>
      </c>
      <c r="G67" s="120">
        <f>G56</f>
        <v>48.668195999999995</v>
      </c>
    </row>
    <row r="68" spans="1:7" x14ac:dyDescent="0.25">
      <c r="A68" s="84" t="s">
        <v>173</v>
      </c>
      <c r="B68" s="122"/>
      <c r="C68" s="119">
        <f>C60</f>
        <v>3.9676349999999996</v>
      </c>
      <c r="D68" s="119">
        <f>D60</f>
        <v>3.9676349999999996</v>
      </c>
      <c r="E68" s="119">
        <f>E60</f>
        <v>3.9676349999999996</v>
      </c>
      <c r="F68" s="119">
        <f>F60</f>
        <v>5.4104399999999995</v>
      </c>
      <c r="G68" s="120">
        <f>G60</f>
        <v>5.4104399999999995</v>
      </c>
    </row>
    <row r="69" spans="1:7" x14ac:dyDescent="0.25">
      <c r="A69" s="84" t="s">
        <v>174</v>
      </c>
      <c r="B69" s="122"/>
      <c r="C69" s="119">
        <f>C65</f>
        <v>0</v>
      </c>
      <c r="D69" s="119">
        <f>D65</f>
        <v>0</v>
      </c>
      <c r="E69" s="119">
        <f>E65</f>
        <v>0</v>
      </c>
      <c r="F69" s="119">
        <f>F65</f>
        <v>0</v>
      </c>
      <c r="G69" s="120">
        <f>G65</f>
        <v>0</v>
      </c>
    </row>
    <row r="70" spans="1:7" x14ac:dyDescent="0.25">
      <c r="A70" s="90" t="s">
        <v>5</v>
      </c>
      <c r="B70" s="101"/>
      <c r="C70" s="92">
        <f>SUM(C67:C69)</f>
        <v>39.657456500000002</v>
      </c>
      <c r="D70" s="92">
        <f>SUM(D67:D69)</f>
        <v>39.657456500000002</v>
      </c>
      <c r="E70" s="92">
        <f>SUM(E67:E69)</f>
        <v>39.657456500000002</v>
      </c>
      <c r="F70" s="92">
        <f>SUM(F67:F69)</f>
        <v>54.078635999999996</v>
      </c>
      <c r="G70" s="93">
        <f>SUM(G67:G69)</f>
        <v>54.078635999999996</v>
      </c>
    </row>
    <row r="71" spans="1:7" ht="7.5" customHeight="1" x14ac:dyDescent="0.25">
      <c r="A71" s="123"/>
      <c r="B71" s="124"/>
      <c r="C71" s="125"/>
      <c r="D71" s="125"/>
      <c r="E71" s="125"/>
      <c r="F71" s="125"/>
      <c r="G71" s="126"/>
    </row>
    <row r="72" spans="1:7" x14ac:dyDescent="0.25">
      <c r="A72" s="241" t="s">
        <v>175</v>
      </c>
      <c r="B72" s="241"/>
      <c r="C72" s="241"/>
      <c r="D72" s="241"/>
      <c r="E72" s="241"/>
      <c r="F72" s="241"/>
      <c r="G72" s="241"/>
    </row>
    <row r="73" spans="1:7" x14ac:dyDescent="0.25">
      <c r="A73" s="127" t="s">
        <v>176</v>
      </c>
      <c r="B73" s="128" t="s">
        <v>128</v>
      </c>
      <c r="C73" s="128" t="s">
        <v>129</v>
      </c>
      <c r="D73" s="128" t="s">
        <v>129</v>
      </c>
      <c r="E73" s="128" t="s">
        <v>129</v>
      </c>
      <c r="F73" s="128" t="s">
        <v>129</v>
      </c>
      <c r="G73" s="129" t="s">
        <v>129</v>
      </c>
    </row>
    <row r="74" spans="1:7" x14ac:dyDescent="0.25">
      <c r="A74" s="84" t="s">
        <v>177</v>
      </c>
      <c r="B74" s="103"/>
      <c r="C74" s="130">
        <f>ROUND(20.7945/30/12*(C$19+C$50+C$70),2)</f>
        <v>45.94</v>
      </c>
      <c r="D74" s="130">
        <f>ROUND(20.7945/30/12*(D$19+D$50+D$70),2)</f>
        <v>45.94</v>
      </c>
      <c r="E74" s="130">
        <f>ROUND(20.7945/30/12*(E$19+E$50+E$70),2)</f>
        <v>45.94</v>
      </c>
      <c r="F74" s="130">
        <f>ROUND(15/30/12*(F$19+F$50+F$70),2)</f>
        <v>45.19</v>
      </c>
      <c r="G74" s="130">
        <f>ROUND(15/30/12*(G$19+G$50+G$70),2)</f>
        <v>45.19</v>
      </c>
    </row>
    <row r="75" spans="1:7" x14ac:dyDescent="0.25">
      <c r="A75" s="84" t="s">
        <v>178</v>
      </c>
      <c r="B75" s="103"/>
      <c r="C75" s="130">
        <f>ROUND(7.681/30/12*(C$19+C$50+C$70),2)</f>
        <v>16.97</v>
      </c>
      <c r="D75" s="130">
        <f>ROUND(7.681/30/12*(D$19+D$50+D$70),2)</f>
        <v>16.97</v>
      </c>
      <c r="E75" s="130">
        <f>ROUND(7.681/30/12*(E$19+E$50+E$70),2)</f>
        <v>16.97</v>
      </c>
      <c r="F75" s="130">
        <f>ROUND(5.3399/30/12*(F$19+F$50+F$70),2)</f>
        <v>16.09</v>
      </c>
      <c r="G75" s="130">
        <f>ROUND(5.3399/30/12*(G$19+G$50+G$70),2)</f>
        <v>16.09</v>
      </c>
    </row>
    <row r="76" spans="1:7" x14ac:dyDescent="0.25">
      <c r="A76" s="84" t="s">
        <v>179</v>
      </c>
      <c r="B76" s="103"/>
      <c r="C76" s="130">
        <f>ROUND(0.4505/30/12*(C$19+C$50+C$70),2)</f>
        <v>1</v>
      </c>
      <c r="D76" s="130">
        <f>ROUND(0.4505/30/12*(D$19+D$50+D$70),2)</f>
        <v>1</v>
      </c>
      <c r="E76" s="130">
        <f>ROUND(0.4505/30/12*(E$19+E$50+E$70),2)</f>
        <v>1</v>
      </c>
      <c r="F76" s="130">
        <f>ROUND(0.325/30/12*(F$19+F$50+F$70),2)</f>
        <v>0.98</v>
      </c>
      <c r="G76" s="130">
        <f>ROUND(0.325/30/12*(G$19+G$50+G$70),2)</f>
        <v>0.98</v>
      </c>
    </row>
    <row r="77" spans="1:7" x14ac:dyDescent="0.25">
      <c r="A77" s="84" t="s">
        <v>180</v>
      </c>
      <c r="B77" s="103"/>
      <c r="C77" s="130">
        <f>ROUND(0.9583/30/12*(C$19+C$50+C$70),2)</f>
        <v>2.12</v>
      </c>
      <c r="D77" s="130">
        <f>ROUND(0.9583/30/12*(D$19+D$50+D$70),2)</f>
        <v>2.12</v>
      </c>
      <c r="E77" s="130">
        <f>ROUND(0.9583/30/12*(E$19+E$50+E$70),2)</f>
        <v>2.12</v>
      </c>
      <c r="F77" s="130">
        <f>ROUND(0.6913/30/12*(F$19+F$50+F$70),2)</f>
        <v>2.08</v>
      </c>
      <c r="G77" s="130">
        <f>ROUND(0.6913/30/12*(G$19+G$50+G$70),2)</f>
        <v>2.08</v>
      </c>
    </row>
    <row r="78" spans="1:7" x14ac:dyDescent="0.25">
      <c r="A78" s="84" t="s">
        <v>181</v>
      </c>
      <c r="B78" s="103"/>
      <c r="C78" s="86"/>
      <c r="D78" s="86"/>
      <c r="E78" s="86"/>
      <c r="F78" s="87"/>
      <c r="G78" s="88"/>
    </row>
    <row r="79" spans="1:7" x14ac:dyDescent="0.25">
      <c r="A79" s="90" t="s">
        <v>5</v>
      </c>
      <c r="B79" s="101">
        <f t="shared" ref="B79:G79" si="7">SUM(B74:B78)</f>
        <v>0</v>
      </c>
      <c r="C79" s="92">
        <f t="shared" si="7"/>
        <v>66.03</v>
      </c>
      <c r="D79" s="92">
        <f t="shared" si="7"/>
        <v>66.03</v>
      </c>
      <c r="E79" s="92">
        <f t="shared" si="7"/>
        <v>66.03</v>
      </c>
      <c r="F79" s="92">
        <f t="shared" si="7"/>
        <v>64.34</v>
      </c>
      <c r="G79" s="93">
        <f t="shared" si="7"/>
        <v>64.34</v>
      </c>
    </row>
    <row r="80" spans="1:7" x14ac:dyDescent="0.25">
      <c r="A80" s="97" t="s">
        <v>182</v>
      </c>
      <c r="B80" s="98"/>
      <c r="C80" s="98" t="s">
        <v>129</v>
      </c>
      <c r="D80" s="98" t="s">
        <v>129</v>
      </c>
      <c r="E80" s="98" t="s">
        <v>129</v>
      </c>
      <c r="F80" s="98" t="s">
        <v>129</v>
      </c>
      <c r="G80" s="99" t="s">
        <v>129</v>
      </c>
    </row>
    <row r="81" spans="1:7" x14ac:dyDescent="0.25">
      <c r="A81" s="84" t="s">
        <v>183</v>
      </c>
      <c r="B81" s="103">
        <v>0.5</v>
      </c>
      <c r="C81" s="131"/>
      <c r="D81" s="131"/>
      <c r="E81" s="131"/>
      <c r="F81" s="131">
        <f>ROUND((F$12+F$13)/220*15*0.5*(1+$B81),2)</f>
        <v>0</v>
      </c>
      <c r="G81" s="131">
        <f>ROUND((G$12+G$13)/220*15*0.5*(1+$B81),2)</f>
        <v>0</v>
      </c>
    </row>
    <row r="82" spans="1:7" x14ac:dyDescent="0.25">
      <c r="A82" s="90"/>
      <c r="B82" s="101"/>
      <c r="C82" s="132"/>
      <c r="D82" s="132"/>
      <c r="E82" s="132"/>
      <c r="F82" s="133"/>
      <c r="G82" s="134"/>
    </row>
    <row r="83" spans="1:7" x14ac:dyDescent="0.25">
      <c r="A83" s="81" t="s">
        <v>184</v>
      </c>
      <c r="B83" s="82" t="s">
        <v>128</v>
      </c>
      <c r="C83" s="82" t="s">
        <v>129</v>
      </c>
      <c r="D83" s="82" t="s">
        <v>129</v>
      </c>
      <c r="E83" s="82" t="s">
        <v>129</v>
      </c>
      <c r="F83" s="82" t="s">
        <v>129</v>
      </c>
      <c r="G83" s="83" t="s">
        <v>129</v>
      </c>
    </row>
    <row r="84" spans="1:7" x14ac:dyDescent="0.25">
      <c r="A84" s="84" t="s">
        <v>185</v>
      </c>
      <c r="B84" s="103">
        <f t="shared" ref="B84:G84" si="8">B79</f>
        <v>0</v>
      </c>
      <c r="C84" s="86">
        <f t="shared" si="8"/>
        <v>66.03</v>
      </c>
      <c r="D84" s="86">
        <f t="shared" si="8"/>
        <v>66.03</v>
      </c>
      <c r="E84" s="86">
        <f t="shared" si="8"/>
        <v>66.03</v>
      </c>
      <c r="F84" s="86">
        <f t="shared" si="8"/>
        <v>64.34</v>
      </c>
      <c r="G84" s="88">
        <f t="shared" si="8"/>
        <v>64.34</v>
      </c>
    </row>
    <row r="85" spans="1:7" x14ac:dyDescent="0.25">
      <c r="A85" s="84" t="s">
        <v>186</v>
      </c>
      <c r="B85" s="103">
        <f t="shared" ref="B85:G85" si="9">B81</f>
        <v>0.5</v>
      </c>
      <c r="C85" s="86">
        <f t="shared" si="9"/>
        <v>0</v>
      </c>
      <c r="D85" s="86">
        <f t="shared" si="9"/>
        <v>0</v>
      </c>
      <c r="E85" s="86">
        <f t="shared" si="9"/>
        <v>0</v>
      </c>
      <c r="F85" s="86">
        <f t="shared" si="9"/>
        <v>0</v>
      </c>
      <c r="G85" s="88">
        <f t="shared" si="9"/>
        <v>0</v>
      </c>
    </row>
    <row r="86" spans="1:7" x14ac:dyDescent="0.25">
      <c r="A86" s="90" t="s">
        <v>5</v>
      </c>
      <c r="B86" s="101">
        <f t="shared" ref="B86:G86" si="10">SUM(B84:B85)</f>
        <v>0.5</v>
      </c>
      <c r="C86" s="92">
        <f t="shared" si="10"/>
        <v>66.03</v>
      </c>
      <c r="D86" s="92">
        <f t="shared" si="10"/>
        <v>66.03</v>
      </c>
      <c r="E86" s="92">
        <f t="shared" si="10"/>
        <v>66.03</v>
      </c>
      <c r="F86" s="92">
        <f t="shared" si="10"/>
        <v>64.34</v>
      </c>
      <c r="G86" s="93">
        <f t="shared" si="10"/>
        <v>64.34</v>
      </c>
    </row>
    <row r="87" spans="1:7" ht="4.5" customHeight="1" x14ac:dyDescent="0.25">
      <c r="A87" s="84"/>
      <c r="B87" s="94"/>
      <c r="C87" s="94"/>
      <c r="D87" s="94"/>
      <c r="E87" s="94"/>
      <c r="F87" s="95"/>
      <c r="G87" s="96"/>
    </row>
    <row r="88" spans="1:7" x14ac:dyDescent="0.25">
      <c r="A88" s="1" t="s">
        <v>187</v>
      </c>
      <c r="B88" s="1"/>
      <c r="C88" s="1"/>
      <c r="D88" s="1"/>
      <c r="E88" s="1"/>
      <c r="F88" s="1"/>
      <c r="G88" s="1"/>
    </row>
    <row r="89" spans="1:7" x14ac:dyDescent="0.25">
      <c r="A89" s="81" t="s">
        <v>188</v>
      </c>
      <c r="B89" s="82" t="s">
        <v>20</v>
      </c>
      <c r="C89" s="82" t="s">
        <v>129</v>
      </c>
      <c r="D89" s="82" t="s">
        <v>129</v>
      </c>
      <c r="E89" s="82" t="s">
        <v>129</v>
      </c>
      <c r="F89" s="82" t="s">
        <v>129</v>
      </c>
      <c r="G89" s="83" t="s">
        <v>129</v>
      </c>
    </row>
    <row r="90" spans="1:7" x14ac:dyDescent="0.25">
      <c r="A90" s="84" t="s">
        <v>189</v>
      </c>
      <c r="B90" s="114">
        <f>Insumos!F11</f>
        <v>0</v>
      </c>
      <c r="C90" s="114">
        <f>B90</f>
        <v>0</v>
      </c>
      <c r="D90" s="114">
        <f>B90</f>
        <v>0</v>
      </c>
      <c r="E90" s="114">
        <f>B90</f>
        <v>0</v>
      </c>
      <c r="F90" s="135">
        <f>B90*2</f>
        <v>0</v>
      </c>
      <c r="G90" s="115">
        <f>B90*2</f>
        <v>0</v>
      </c>
    </row>
    <row r="91" spans="1:7" x14ac:dyDescent="0.25">
      <c r="A91" s="84" t="s">
        <v>190</v>
      </c>
      <c r="B91" s="114">
        <f>Insumos!F25</f>
        <v>0</v>
      </c>
      <c r="C91" s="114">
        <f>B91</f>
        <v>0</v>
      </c>
      <c r="D91" s="114">
        <f>B91</f>
        <v>0</v>
      </c>
      <c r="E91" s="114">
        <f>B91</f>
        <v>0</v>
      </c>
      <c r="F91" s="135">
        <f>B91*2</f>
        <v>0</v>
      </c>
      <c r="G91" s="115">
        <f>B91*2</f>
        <v>0</v>
      </c>
    </row>
    <row r="92" spans="1:7" x14ac:dyDescent="0.25">
      <c r="A92" s="84" t="s">
        <v>191</v>
      </c>
      <c r="B92" s="114"/>
      <c r="C92" s="114">
        <f>Insumos!F36</f>
        <v>0</v>
      </c>
      <c r="D92" s="114">
        <f>Insumos!F37</f>
        <v>0</v>
      </c>
      <c r="E92" s="114">
        <f>Insumos!F37</f>
        <v>0</v>
      </c>
      <c r="F92" s="135">
        <f>Insumos!F38</f>
        <v>0</v>
      </c>
      <c r="G92" s="115">
        <f>Insumos!F38</f>
        <v>0</v>
      </c>
    </row>
    <row r="93" spans="1:7" x14ac:dyDescent="0.25">
      <c r="A93" s="84" t="s">
        <v>192</v>
      </c>
      <c r="B93" s="114"/>
      <c r="C93" s="131"/>
      <c r="D93" s="131"/>
      <c r="E93" s="131"/>
      <c r="F93" s="136"/>
      <c r="G93" s="137"/>
    </row>
    <row r="94" spans="1:7" x14ac:dyDescent="0.25">
      <c r="A94" s="90" t="s">
        <v>5</v>
      </c>
      <c r="B94" s="117">
        <f t="shared" ref="B94:G94" si="11">SUM(B90:B93)</f>
        <v>0</v>
      </c>
      <c r="C94" s="117">
        <f t="shared" si="11"/>
        <v>0</v>
      </c>
      <c r="D94" s="117">
        <f t="shared" si="11"/>
        <v>0</v>
      </c>
      <c r="E94" s="117">
        <f t="shared" si="11"/>
        <v>0</v>
      </c>
      <c r="F94" s="117">
        <f t="shared" si="11"/>
        <v>0</v>
      </c>
      <c r="G94" s="118">
        <f t="shared" si="11"/>
        <v>0</v>
      </c>
    </row>
    <row r="95" spans="1:7" ht="3.75" customHeight="1" x14ac:dyDescent="0.25">
      <c r="A95" s="84"/>
      <c r="B95" s="94"/>
      <c r="C95" s="94"/>
      <c r="D95" s="94"/>
      <c r="E95" s="94"/>
      <c r="F95" s="95"/>
      <c r="G95" s="96"/>
    </row>
    <row r="96" spans="1:7" x14ac:dyDescent="0.25">
      <c r="A96" s="1" t="s">
        <v>193</v>
      </c>
      <c r="B96" s="1"/>
      <c r="C96" s="1"/>
      <c r="D96" s="1"/>
      <c r="E96" s="1"/>
      <c r="F96" s="1"/>
      <c r="G96" s="1"/>
    </row>
    <row r="97" spans="1:7" x14ac:dyDescent="0.25">
      <c r="A97" s="81" t="s">
        <v>194</v>
      </c>
      <c r="B97" s="82" t="s">
        <v>128</v>
      </c>
      <c r="C97" s="82" t="s">
        <v>129</v>
      </c>
      <c r="D97" s="82" t="s">
        <v>129</v>
      </c>
      <c r="E97" s="82" t="s">
        <v>129</v>
      </c>
      <c r="F97" s="82" t="s">
        <v>129</v>
      </c>
      <c r="G97" s="83" t="s">
        <v>129</v>
      </c>
    </row>
    <row r="98" spans="1:7" x14ac:dyDescent="0.25">
      <c r="A98" s="138" t="s">
        <v>195</v>
      </c>
      <c r="B98" s="100">
        <v>0.06</v>
      </c>
      <c r="C98" s="139">
        <f>ROUND((C$19+C$50+C$70+C$86+C$94)*$B98,2)</f>
        <v>51.69</v>
      </c>
      <c r="D98" s="139">
        <f>ROUND((D$19+D$50+D$70+D$86+D$94)*$B98,2)</f>
        <v>51.69</v>
      </c>
      <c r="E98" s="139">
        <f>ROUND((E$19+E$50+E$70+E$86+E$94)*$B98,2)</f>
        <v>51.69</v>
      </c>
      <c r="F98" s="139">
        <f>ROUND((F$19+F$50+F$70+F$86+F$94)*$B98,2)</f>
        <v>68.94</v>
      </c>
      <c r="G98" s="140">
        <f>ROUND((G$19+G$50+G$70+G$86+G$94)*$B98,2)</f>
        <v>68.94</v>
      </c>
    </row>
    <row r="99" spans="1:7" x14ac:dyDescent="0.25">
      <c r="A99" s="138" t="s">
        <v>196</v>
      </c>
      <c r="B99" s="100">
        <v>6.7900000000000002E-2</v>
      </c>
      <c r="C99" s="141">
        <f>ROUND((C$19+C$50+C$70+C$86+C$94+C$98)*$B99,2)</f>
        <v>62</v>
      </c>
      <c r="D99" s="141">
        <f>ROUND((D$19+D$50+D$70+D$86+D$94+D$98)*$B99,2)</f>
        <v>62</v>
      </c>
      <c r="E99" s="141">
        <f>ROUND((E$19+E$50+E$70+E$86+E$94+E$98)*$B99,2)</f>
        <v>62</v>
      </c>
      <c r="F99" s="141">
        <f>ROUND((F$19+F$50+F$70+F$86+F$94+F$98)*$B99,2)</f>
        <v>82.7</v>
      </c>
      <c r="G99" s="142">
        <f>ROUND((G$19+G$50+G$70+G$86+G$94+G$98)*$B99,2)</f>
        <v>82.7</v>
      </c>
    </row>
    <row r="100" spans="1:7" x14ac:dyDescent="0.25">
      <c r="A100" s="97" t="s">
        <v>197</v>
      </c>
      <c r="B100" s="143">
        <f>B101+B102</f>
        <v>5.6499999999999995E-2</v>
      </c>
      <c r="C100" s="144">
        <f>SUM(C101:C102)</f>
        <v>58.39</v>
      </c>
      <c r="D100" s="144">
        <f>SUM(D101:D102)</f>
        <v>58.39</v>
      </c>
      <c r="E100" s="144">
        <f>SUM(E101:E102)</f>
        <v>58.39</v>
      </c>
      <c r="F100" s="144">
        <f>SUM(F101:F102)</f>
        <v>77.89</v>
      </c>
      <c r="G100" s="145">
        <f>SUM(G101:G102)</f>
        <v>77.89</v>
      </c>
    </row>
    <row r="101" spans="1:7" x14ac:dyDescent="0.25">
      <c r="A101" s="84" t="s">
        <v>198</v>
      </c>
      <c r="B101" s="103">
        <v>3.6499999999999998E-2</v>
      </c>
      <c r="C101" s="114">
        <f>ROUND((($C$19+$C$50+$C$70+$C$86+$C$94+$C$99+$C$98)/(1-($B$100)))*$B$101,2)</f>
        <v>37.72</v>
      </c>
      <c r="D101" s="114">
        <f>ROUND((($D$19+$D$50+$D$70+$D$86+$D$94+$D$99+$D$98)/(1-($B$100)))*$B101,2)</f>
        <v>37.72</v>
      </c>
      <c r="E101" s="114">
        <f>ROUND((($E$19+$E$50+$E$70+$E$86+$E$94+$E$99+$E$98)/(1-($B$100)))*$B101,2)</f>
        <v>37.72</v>
      </c>
      <c r="F101" s="114">
        <f>ROUND(((F$19+F$50+F$70+F$86+F$94+F$99+F$98)/(1-($B$100)))*B101,2)</f>
        <v>50.32</v>
      </c>
      <c r="G101" s="115">
        <f>ROUND(((G$19+G$50+G$70+G$86+G$94+G$99+G$98)/(1-($B$100)))*$B101,2)</f>
        <v>50.32</v>
      </c>
    </row>
    <row r="102" spans="1:7" x14ac:dyDescent="0.25">
      <c r="A102" s="84" t="s">
        <v>199</v>
      </c>
      <c r="B102" s="103">
        <v>0.02</v>
      </c>
      <c r="C102" s="131">
        <f>ROUND((($C$19+$C$50+$C$70+$C$86+$C$94+$C$98+$C$99)/(1-($B$100)))*$B$102,2)</f>
        <v>20.67</v>
      </c>
      <c r="D102" s="131">
        <f>ROUND((($D$19+$D$50+$D$70+$D$86+$D$94+$D$98+$D$99)/(1-($B$100)))*$B102,2)</f>
        <v>20.67</v>
      </c>
      <c r="E102" s="131">
        <f>ROUND((($E$19+$E$50+$E$70+$E$86+$E$94+$E$98+$E$99)/(1-($B$100)))*$B102,2)</f>
        <v>20.67</v>
      </c>
      <c r="F102" s="131">
        <f>ROUND((($F$19+$F$50+$F$70+$F$86+$F$94+$F$98+$F$99)/(1-($B$100)))*B102,2)</f>
        <v>27.57</v>
      </c>
      <c r="G102" s="137">
        <f>ROUND((($G$19+$G$50+$G$70+$G$86+$G$94+$G$98+$G$99)/(1-($B$100)))*$B102,2)</f>
        <v>27.57</v>
      </c>
    </row>
    <row r="103" spans="1:7" x14ac:dyDescent="0.25">
      <c r="A103" s="97" t="s">
        <v>200</v>
      </c>
      <c r="B103" s="143">
        <f>B104+B105</f>
        <v>6.1499999999999999E-2</v>
      </c>
      <c r="C103" s="98">
        <f>SUM(C104:C105)</f>
        <v>63.900000000000006</v>
      </c>
      <c r="D103" s="98">
        <f>SUM(D104:D105)</f>
        <v>63.900000000000006</v>
      </c>
      <c r="E103" s="98">
        <f>SUM(E104:E105)</f>
        <v>63.900000000000006</v>
      </c>
      <c r="F103" s="98">
        <f>SUM(F104:F105)</f>
        <v>85.22999999999999</v>
      </c>
      <c r="G103" s="99">
        <f>SUM(G104:G105)</f>
        <v>85.22999999999999</v>
      </c>
    </row>
    <row r="104" spans="1:7" x14ac:dyDescent="0.25">
      <c r="A104" s="84" t="s">
        <v>198</v>
      </c>
      <c r="B104" s="103">
        <v>3.6499999999999998E-2</v>
      </c>
      <c r="C104" s="131">
        <f>ROUND((($C$19+$C$50+$C$70+$C$86+$C$94+$C$99+$C$98)/(1-($B$103)))*$B$104,2)</f>
        <v>37.92</v>
      </c>
      <c r="D104" s="131">
        <f>ROUND((($D$19+$D$50+$D$70+$D$86+$D$94+$D$99+$D$98)/(1-($B$103)))*$B104,2)</f>
        <v>37.92</v>
      </c>
      <c r="E104" s="131">
        <f>ROUND((($E$19+$E$50+$E$70+$E$86+$E$94+$E$99+$E$98)/(1-($B$103)))*$B104,2)</f>
        <v>37.92</v>
      </c>
      <c r="F104" s="131">
        <f>ROUND(((F$19+F$50+F$70+F$86+F$94+F$99+F$98)/(1-($B$103)))*B104,2)</f>
        <v>50.58</v>
      </c>
      <c r="G104" s="137">
        <f>ROUND(((G$19+G$50+G$70+G$86+G$94+G$99+G$98)/(1-($B$103)))*$B104,2)</f>
        <v>50.58</v>
      </c>
    </row>
    <row r="105" spans="1:7" x14ac:dyDescent="0.25">
      <c r="A105" s="84" t="s">
        <v>199</v>
      </c>
      <c r="B105" s="103">
        <v>2.5000000000000001E-2</v>
      </c>
      <c r="C105" s="131">
        <f>ROUND((($C$19+$C$50+$C$70+$C$86+$C$94+$C$98+$C$99)/(1-($B$103)))*$B$105,2)</f>
        <v>25.98</v>
      </c>
      <c r="D105" s="131">
        <f>ROUND((($D$19+$D$50+$D$70+$D$86+$D$94+$D$98+$D$99)/(1-($B$103)))*$B105,2)</f>
        <v>25.98</v>
      </c>
      <c r="E105" s="131">
        <f>ROUND((($E$19+$E$50+$E$70+$E$86+$E$94+$E$98+$E$99)/(1-($B$103)))*$B105,2)</f>
        <v>25.98</v>
      </c>
      <c r="F105" s="131">
        <f>ROUND((($F$19+$F$50+$F$70+$F$86+$F$94+$F$98+$F$99)/(1-($B$103)))*B105,2)</f>
        <v>34.65</v>
      </c>
      <c r="G105" s="137">
        <f>ROUND((($G$19+$G$50+$G$70+$G$86+$G$94+$G$98+$G$99)/(1-($B$103)))*$B105,2)</f>
        <v>34.65</v>
      </c>
    </row>
    <row r="106" spans="1:7" x14ac:dyDescent="0.25">
      <c r="A106" s="97" t="s">
        <v>201</v>
      </c>
      <c r="B106" s="143">
        <f>B107+B108</f>
        <v>6.6500000000000004E-2</v>
      </c>
      <c r="C106" s="98">
        <f>SUM(C107:C108)</f>
        <v>69.47</v>
      </c>
      <c r="D106" s="98">
        <f>SUM(D107:D108)</f>
        <v>69.47</v>
      </c>
      <c r="E106" s="98">
        <f>SUM(E107:E108)</f>
        <v>69.47</v>
      </c>
      <c r="F106" s="98">
        <f>SUM(F107:F108)</f>
        <v>92.65</v>
      </c>
      <c r="G106" s="99">
        <f>SUM(G107:G108)</f>
        <v>92.65</v>
      </c>
    </row>
    <row r="107" spans="1:7" x14ac:dyDescent="0.25">
      <c r="A107" s="84" t="s">
        <v>198</v>
      </c>
      <c r="B107" s="103">
        <v>3.6499999999999998E-2</v>
      </c>
      <c r="C107" s="131">
        <f>ROUND((($C$19+$C$50+$C$70+$C$86+$C$94+$C$99+$C$98)/(1-($B$106)))*$B$107,2)</f>
        <v>38.130000000000003</v>
      </c>
      <c r="D107" s="131">
        <f>ROUND((($D$19+$D$50+$D$70+$D$86+$D$94+$D$99+$D$98)/(1-($B$106)))*$B107,2)</f>
        <v>38.130000000000003</v>
      </c>
      <c r="E107" s="131">
        <f>ROUND((($E$19+$E$50+$E$70+$E$86+$E$94+$E$99+$E$98)/(1-($B$106)))*$B107,2)</f>
        <v>38.130000000000003</v>
      </c>
      <c r="F107" s="131">
        <f>ROUND(((F$19+F$50+F$70+F$86+F$94+F$99+F$98)/(1-($B$106)))*B107,2)</f>
        <v>50.85</v>
      </c>
      <c r="G107" s="137">
        <f>ROUND(((G$19+G$50+G$70+G$86+G$94+G$99+G$98)/(1-($B$106)))*$B107,2)</f>
        <v>50.85</v>
      </c>
    </row>
    <row r="108" spans="1:7" x14ac:dyDescent="0.25">
      <c r="A108" s="84" t="s">
        <v>199</v>
      </c>
      <c r="B108" s="103">
        <v>0.03</v>
      </c>
      <c r="C108" s="131">
        <f>ROUND((($C$19+$C$50+$C$70+$C$86+$C$94+$C$98+$C$99)/(1-($B$106)))*B108,2)</f>
        <v>31.34</v>
      </c>
      <c r="D108" s="131">
        <f>ROUND((($D$19+$D$50+$D$70+$D$86+$D$94+$D$98+$D$99)/(1-($B$106)))*$B108,2)</f>
        <v>31.34</v>
      </c>
      <c r="E108" s="131">
        <f>ROUND((($E$19+$E$50+$E$70+$E$86+$E$94+$E$98+$E$99)/(1-($B$106)))*$B108,2)</f>
        <v>31.34</v>
      </c>
      <c r="F108" s="136">
        <f>ROUND((($F$19+$F$50+$F$70+$F$86+$F$94+$F$98+$F$99)/(1-($B$106)))*B108,2)</f>
        <v>41.8</v>
      </c>
      <c r="G108" s="137">
        <f>ROUND((($G$19+$G$50+$G$70+$G$86+$G$94+$G$98+$G$99)/(1-($B$106)))*$B108,2)</f>
        <v>41.8</v>
      </c>
    </row>
    <row r="109" spans="1:7" x14ac:dyDescent="0.25">
      <c r="A109" s="97" t="s">
        <v>202</v>
      </c>
      <c r="B109" s="143">
        <f>B110+B111</f>
        <v>7.1500000000000008E-2</v>
      </c>
      <c r="C109" s="98">
        <f>SUM(C110:C111)</f>
        <v>75.09</v>
      </c>
      <c r="D109" s="98">
        <f>SUM(D110:D111)</f>
        <v>75.09</v>
      </c>
      <c r="E109" s="98">
        <f>SUM(E110:E111)</f>
        <v>75.09</v>
      </c>
      <c r="F109" s="98">
        <f>SUM(F110:F111)</f>
        <v>100.16</v>
      </c>
      <c r="G109" s="99">
        <f>SUM(G110:G111)</f>
        <v>100.16</v>
      </c>
    </row>
    <row r="110" spans="1:7" x14ac:dyDescent="0.25">
      <c r="A110" s="84" t="s">
        <v>198</v>
      </c>
      <c r="B110" s="103">
        <v>3.6499999999999998E-2</v>
      </c>
      <c r="C110" s="131">
        <f>ROUND((($C$19+$C$50+$C$70+$C$86+$C$94+$C$99+$C$98)/(1-($B$109)))*B110,2)</f>
        <v>38.33</v>
      </c>
      <c r="D110" s="131">
        <f>ROUND((($D$19+$D$50+$D$70+$D$86+$D$94+$D$99+$D$98)/(1-($B$109)))*$B110,2)</f>
        <v>38.33</v>
      </c>
      <c r="E110" s="131">
        <f>ROUND((($E$19+$E$50+$E$70+$E$86+$E$94+$E$99+$E$98)/(1-($B$109)))*$B110,2)</f>
        <v>38.33</v>
      </c>
      <c r="F110" s="136">
        <f>ROUND(((F$19+F$50+F$70+F$86+F$94+F$99+F$98)/(1-($B$109)))*B110,2)</f>
        <v>51.13</v>
      </c>
      <c r="G110" s="115">
        <f>ROUND(((G$19+G$50+G$70+G$86+G$94+G$99+G$98)/(1-($B$109)))*$B110,2)</f>
        <v>51.13</v>
      </c>
    </row>
    <row r="111" spans="1:7" x14ac:dyDescent="0.25">
      <c r="A111" s="84" t="s">
        <v>199</v>
      </c>
      <c r="B111" s="103">
        <v>3.5000000000000003E-2</v>
      </c>
      <c r="C111" s="131">
        <f>ROUND((($C$19+$C$50+$C$70+$C$86+$C$94+$C$98+$C$99)/(1-($B$109)))*B111,2)</f>
        <v>36.76</v>
      </c>
      <c r="D111" s="131">
        <f>ROUND((($D$19+$D$50+$D$70+$D$86+$D$94+$D$98+$D$99)/(1-($B$109)))*$B111,2)</f>
        <v>36.76</v>
      </c>
      <c r="E111" s="131">
        <f>ROUND((($E$19+$E$50+$E$70+$E$86+$E$94+$E$98+$E$99)/(1-($B$109)))*$B111,2)</f>
        <v>36.76</v>
      </c>
      <c r="F111" s="135">
        <f>ROUND((($F$19+$F$50+$F$70+$F$86+$F$94+$F$98+$F$99)/(1-($B$109)))*B111,2)</f>
        <v>49.03</v>
      </c>
      <c r="G111" s="137">
        <f>ROUND((($G$19+$G$50+$G$70+$G$86+$G$94+$G$98+$G$99)/(1-($B$109)))*$B111,2)</f>
        <v>49.03</v>
      </c>
    </row>
    <row r="112" spans="1:7" x14ac:dyDescent="0.25">
      <c r="A112" s="97" t="s">
        <v>203</v>
      </c>
      <c r="B112" s="143">
        <f>B113+B114</f>
        <v>7.6499999999999999E-2</v>
      </c>
      <c r="C112" s="98">
        <f>SUM(C113:C114)</f>
        <v>80.78</v>
      </c>
      <c r="D112" s="98">
        <f>SUM(D113:D114)</f>
        <v>80.78</v>
      </c>
      <c r="E112" s="98">
        <f>SUM(E113:E114)</f>
        <v>80.78</v>
      </c>
      <c r="F112" s="98">
        <f>SUM(F113:F114)</f>
        <v>107.74</v>
      </c>
      <c r="G112" s="99">
        <f>SUM(G113:G114)</f>
        <v>107.74</v>
      </c>
    </row>
    <row r="113" spans="1:7" x14ac:dyDescent="0.25">
      <c r="A113" s="84" t="s">
        <v>198</v>
      </c>
      <c r="B113" s="103">
        <v>3.6499999999999998E-2</v>
      </c>
      <c r="C113" s="131">
        <f>ROUND((($C$19+$C$50+$C$70+$C$86+$C$94+$C$99+$C$98)/(1-($B$112)))*B113,2)</f>
        <v>38.54</v>
      </c>
      <c r="D113" s="131">
        <f>ROUND((($D$19+$D$50+$D$70+$D$86+$D$94+$D$99+$D$98)/(1-($B$112)))*$B113,2)</f>
        <v>38.54</v>
      </c>
      <c r="E113" s="131">
        <f>ROUND((($E$19+$E$50+$E$70+$E$86+$E$94+$E$99+$E$98)/(1-($B$112)))*$B113,2)</f>
        <v>38.54</v>
      </c>
      <c r="F113" s="136">
        <f>ROUND(((F$19+F$50+F$70+F$86+F$94+F$99+F$98)/(1-($B$112)))*B113,2)</f>
        <v>51.41</v>
      </c>
      <c r="G113" s="137">
        <f>ROUND(((G$19+G$50+G$70+G$86+G$94+G$99+G$98)/(1-($B$112)))*$B113,2)</f>
        <v>51.41</v>
      </c>
    </row>
    <row r="114" spans="1:7" x14ac:dyDescent="0.25">
      <c r="A114" s="84" t="s">
        <v>199</v>
      </c>
      <c r="B114" s="103">
        <v>0.04</v>
      </c>
      <c r="C114" s="131">
        <f>ROUND((($C$19+$C$50+$C$70+$C$86+$C$94+$C$98+$C$99)/(1-($B$112)))*B114,2)</f>
        <v>42.24</v>
      </c>
      <c r="D114" s="131">
        <f>ROUND((($D$19+$D$50+$D$70+$D$86+$D$94+$D$98+$D$99)/(1-($B$112)))*$B114,2)</f>
        <v>42.24</v>
      </c>
      <c r="E114" s="131">
        <f>ROUND((($E$19+$E$50+$E$70+$E$86+$E$94+$E$98+$E$99)/(1-($B$112)))*$B114,2)</f>
        <v>42.24</v>
      </c>
      <c r="F114" s="136">
        <f>ROUND((($F$19+$F$50+$F$70+$F$86+$F$94+$F$98+$F$99)/(1-($B$112)))*B114,2)</f>
        <v>56.33</v>
      </c>
      <c r="G114" s="137">
        <f>ROUND((($G$19+$G$50+$G$70+$G$86+$G$94+$G$98+$G$99)/(1-($B$112)))*$B114,2)</f>
        <v>56.33</v>
      </c>
    </row>
    <row r="115" spans="1:7" x14ac:dyDescent="0.25">
      <c r="A115" s="97" t="s">
        <v>204</v>
      </c>
      <c r="B115" s="143">
        <f>B116+B117</f>
        <v>8.6499999999999994E-2</v>
      </c>
      <c r="C115" s="98">
        <f>SUM(C116:C117)</f>
        <v>92.33</v>
      </c>
      <c r="D115" s="98">
        <f>SUM(D116:D117)</f>
        <v>92.33</v>
      </c>
      <c r="E115" s="98">
        <f>SUM(E116:E117)</f>
        <v>92.33</v>
      </c>
      <c r="F115" s="98">
        <f>SUM(F116:F117)</f>
        <v>123.16</v>
      </c>
      <c r="G115" s="99">
        <f>SUM(G116:G117)</f>
        <v>123.16</v>
      </c>
    </row>
    <row r="116" spans="1:7" x14ac:dyDescent="0.25">
      <c r="A116" s="84" t="s">
        <v>198</v>
      </c>
      <c r="B116" s="103">
        <v>3.6499999999999998E-2</v>
      </c>
      <c r="C116" s="131">
        <f>ROUND((($C$19+$C$50+$C$70+$C$86+$C$94+$C$99+$C$98)/(1-($B$115)))*B116,2)</f>
        <v>38.96</v>
      </c>
      <c r="D116" s="131">
        <f>ROUND((($D$19+$D$50+$D$70+$D$86+$D$94+$D$99+$D$98)/(1-($B$115)))*$B116,2)</f>
        <v>38.96</v>
      </c>
      <c r="E116" s="131">
        <f>ROUND((($E$19+$E$50+$E$70+$E$86+$E$94+$E$99+$E$98)/(1-($B$115)))*$B116,2)</f>
        <v>38.96</v>
      </c>
      <c r="F116" s="136">
        <f>ROUND(((F$19+F$50+F$70+F$86+F$94+F$99+F$98)/(1-($B$115)))*B116,2)</f>
        <v>51.97</v>
      </c>
      <c r="G116" s="137">
        <f>ROUND(((G$19+G$50+G$70+G$86+G$94+G$99+G$98)/(1-($B$115)))*$B116,2)</f>
        <v>51.97</v>
      </c>
    </row>
    <row r="117" spans="1:7" x14ac:dyDescent="0.25">
      <c r="A117" s="146" t="s">
        <v>199</v>
      </c>
      <c r="B117" s="147">
        <v>0.05</v>
      </c>
      <c r="C117" s="148">
        <f>ROUND((($C$19+$C$50+$C$70+$C$86+$C$94+$C$98+$C$99)/(1-($B$115)))*B117,2)</f>
        <v>53.37</v>
      </c>
      <c r="D117" s="148">
        <f>ROUND((($D$19+$D$50+$D$70+$D$86+$D$94+$D$98+$D$99)/(1-($B$115)))*$B117,2)</f>
        <v>53.37</v>
      </c>
      <c r="E117" s="148">
        <f>ROUND((($E$19+$E$50+$E$70+$E$86+$E$94+$E$98+$E$99)/(1-($B$115)))*$B117,2)</f>
        <v>53.37</v>
      </c>
      <c r="F117" s="149">
        <f>ROUND((($F$19+$F$50+$F$70+$F$86+$F$94+$F$98+$F$99)/(1-($B$115)))*B117,2)</f>
        <v>71.19</v>
      </c>
      <c r="G117" s="150">
        <f>ROUND((($G$19+$G$50+$G$70+$G$86+$G$94+$G$98+$G$99)/(1-($B$115)))*$B117,2)</f>
        <v>71.19</v>
      </c>
    </row>
    <row r="118" spans="1:7" x14ac:dyDescent="0.25">
      <c r="A118" s="242" t="s">
        <v>205</v>
      </c>
      <c r="B118" s="151">
        <v>0.02</v>
      </c>
      <c r="C118" s="152">
        <f>SUM(C98:C100)</f>
        <v>172.07999999999998</v>
      </c>
      <c r="D118" s="152">
        <f>SUM(D98:D100)</f>
        <v>172.07999999999998</v>
      </c>
      <c r="E118" s="152">
        <f>SUM(E98:E100)</f>
        <v>172.07999999999998</v>
      </c>
      <c r="F118" s="152">
        <f>SUM(F98:F100)</f>
        <v>229.52999999999997</v>
      </c>
      <c r="G118" s="153">
        <f>SUM(G98:G100)</f>
        <v>229.52999999999997</v>
      </c>
    </row>
    <row r="119" spans="1:7" x14ac:dyDescent="0.25">
      <c r="A119" s="242"/>
      <c r="B119" s="101">
        <v>2.5000000000000001E-2</v>
      </c>
      <c r="C119" s="92">
        <f>SUM(C98:C99,C103)</f>
        <v>177.59</v>
      </c>
      <c r="D119" s="92">
        <f>SUM(D98:D99,D103)</f>
        <v>177.59</v>
      </c>
      <c r="E119" s="92">
        <f>SUM(E98:E99,E103)</f>
        <v>177.59</v>
      </c>
      <c r="F119" s="92">
        <f>SUM(F98:F99,F103)</f>
        <v>236.86999999999998</v>
      </c>
      <c r="G119" s="93">
        <f>SUM(G98:G99,G103)</f>
        <v>236.86999999999998</v>
      </c>
    </row>
    <row r="120" spans="1:7" x14ac:dyDescent="0.25">
      <c r="A120" s="242"/>
      <c r="B120" s="101">
        <v>0.03</v>
      </c>
      <c r="C120" s="92">
        <f>SUM(C98:C99,C106)</f>
        <v>183.16</v>
      </c>
      <c r="D120" s="92">
        <f>SUM(D98:D99,D106)</f>
        <v>183.16</v>
      </c>
      <c r="E120" s="92">
        <f>SUM(E98:E99,E106)</f>
        <v>183.16</v>
      </c>
      <c r="F120" s="92">
        <f>SUM(F98:F99,F106)</f>
        <v>244.29</v>
      </c>
      <c r="G120" s="93">
        <f>SUM(G98:G99,G106)</f>
        <v>244.29</v>
      </c>
    </row>
    <row r="121" spans="1:7" x14ac:dyDescent="0.25">
      <c r="A121" s="242"/>
      <c r="B121" s="101">
        <v>3.5000000000000003E-2</v>
      </c>
      <c r="C121" s="92">
        <f>SUM(C98:C99,C109)</f>
        <v>188.78</v>
      </c>
      <c r="D121" s="92">
        <f>SUM(D98:D99,D109)</f>
        <v>188.78</v>
      </c>
      <c r="E121" s="92">
        <f>SUM(E98:E99,E109)</f>
        <v>188.78</v>
      </c>
      <c r="F121" s="92">
        <f>SUM(F98:F99,F109)</f>
        <v>251.79999999999998</v>
      </c>
      <c r="G121" s="93">
        <f>SUM(G98:G99,G109)</f>
        <v>251.79999999999998</v>
      </c>
    </row>
    <row r="122" spans="1:7" x14ac:dyDescent="0.25">
      <c r="A122" s="242"/>
      <c r="B122" s="101">
        <v>0.04</v>
      </c>
      <c r="C122" s="92">
        <f>SUM(C98:C99,C112)</f>
        <v>194.47</v>
      </c>
      <c r="D122" s="92">
        <f>SUM(D98:D99,D112)</f>
        <v>194.47</v>
      </c>
      <c r="E122" s="92">
        <f>SUM(E98:E99,E112)</f>
        <v>194.47</v>
      </c>
      <c r="F122" s="92">
        <f>SUM(F98:F99,F112)</f>
        <v>259.38</v>
      </c>
      <c r="G122" s="93">
        <f>SUM(G98:G99,G112)</f>
        <v>259.38</v>
      </c>
    </row>
    <row r="123" spans="1:7" x14ac:dyDescent="0.25">
      <c r="A123" s="242"/>
      <c r="B123" s="154">
        <v>0.05</v>
      </c>
      <c r="C123" s="155">
        <f>SUM(C98:C99,C115)</f>
        <v>206.01999999999998</v>
      </c>
      <c r="D123" s="155">
        <f>SUM(D98:D99,D115)</f>
        <v>206.01999999999998</v>
      </c>
      <c r="E123" s="155">
        <f>SUM(E98:E99,E115)</f>
        <v>206.01999999999998</v>
      </c>
      <c r="F123" s="155">
        <f>SUM(F98:F99,F115)</f>
        <v>274.79999999999995</v>
      </c>
      <c r="G123" s="156">
        <f>SUM(G98:G99,G115)</f>
        <v>274.79999999999995</v>
      </c>
    </row>
    <row r="124" spans="1:7" x14ac:dyDescent="0.25">
      <c r="A124" s="157"/>
      <c r="B124"/>
      <c r="C124"/>
      <c r="D124"/>
      <c r="E124"/>
      <c r="F124"/>
      <c r="G124" s="158"/>
    </row>
    <row r="125" spans="1:7" x14ac:dyDescent="0.25">
      <c r="A125" s="157"/>
      <c r="B125"/>
      <c r="C125"/>
      <c r="D125"/>
      <c r="E125"/>
      <c r="F125"/>
      <c r="G125" s="158"/>
    </row>
    <row r="126" spans="1:7" x14ac:dyDescent="0.25">
      <c r="A126" s="243" t="s">
        <v>206</v>
      </c>
      <c r="B126" s="243"/>
      <c r="C126" s="243"/>
      <c r="D126" s="243"/>
      <c r="E126" s="243"/>
      <c r="F126" s="243"/>
      <c r="G126" s="243"/>
    </row>
    <row r="127" spans="1:7" x14ac:dyDescent="0.25">
      <c r="A127" s="244" t="s">
        <v>207</v>
      </c>
      <c r="B127" s="244"/>
      <c r="C127" s="244"/>
      <c r="D127" s="244"/>
      <c r="E127" s="244"/>
      <c r="F127" s="244"/>
      <c r="G127" s="244"/>
    </row>
    <row r="128" spans="1:7" x14ac:dyDescent="0.25">
      <c r="A128" s="245" t="s">
        <v>208</v>
      </c>
      <c r="B128" s="245"/>
      <c r="C128" s="159">
        <f>C19</f>
        <v>0</v>
      </c>
      <c r="D128" s="159">
        <f>D19</f>
        <v>0</v>
      </c>
      <c r="E128" s="159">
        <f>E19</f>
        <v>0</v>
      </c>
      <c r="F128" s="159">
        <f>F19</f>
        <v>0</v>
      </c>
      <c r="G128" s="160">
        <f>G19</f>
        <v>0</v>
      </c>
    </row>
    <row r="129" spans="1:7" x14ac:dyDescent="0.25">
      <c r="A129" s="246" t="s">
        <v>209</v>
      </c>
      <c r="B129" s="246"/>
      <c r="C129" s="86">
        <f>C50</f>
        <v>755.74</v>
      </c>
      <c r="D129" s="86">
        <f>D50</f>
        <v>755.74</v>
      </c>
      <c r="E129" s="86">
        <f>E50</f>
        <v>755.74</v>
      </c>
      <c r="F129" s="86">
        <f>F50</f>
        <v>1030.56</v>
      </c>
      <c r="G129" s="88">
        <f>G50</f>
        <v>1030.56</v>
      </c>
    </row>
    <row r="130" spans="1:7" x14ac:dyDescent="0.25">
      <c r="A130" s="246" t="s">
        <v>210</v>
      </c>
      <c r="B130" s="246"/>
      <c r="C130" s="86">
        <f>C70</f>
        <v>39.657456500000002</v>
      </c>
      <c r="D130" s="86">
        <f>D70</f>
        <v>39.657456500000002</v>
      </c>
      <c r="E130" s="86">
        <f>E70</f>
        <v>39.657456500000002</v>
      </c>
      <c r="F130" s="86">
        <f>F70</f>
        <v>54.078635999999996</v>
      </c>
      <c r="G130" s="88">
        <f>G70</f>
        <v>54.078635999999996</v>
      </c>
    </row>
    <row r="131" spans="1:7" x14ac:dyDescent="0.25">
      <c r="A131" s="246" t="s">
        <v>211</v>
      </c>
      <c r="B131" s="246"/>
      <c r="C131" s="86">
        <f>C86</f>
        <v>66.03</v>
      </c>
      <c r="D131" s="86">
        <f>D86</f>
        <v>66.03</v>
      </c>
      <c r="E131" s="86">
        <f>E86</f>
        <v>66.03</v>
      </c>
      <c r="F131" s="86">
        <f>F86</f>
        <v>64.34</v>
      </c>
      <c r="G131" s="88">
        <f>G86</f>
        <v>64.34</v>
      </c>
    </row>
    <row r="132" spans="1:7" x14ac:dyDescent="0.25">
      <c r="A132" s="247" t="s">
        <v>212</v>
      </c>
      <c r="B132" s="247"/>
      <c r="C132" s="161">
        <f>C94</f>
        <v>0</v>
      </c>
      <c r="D132" s="161">
        <f>D94</f>
        <v>0</v>
      </c>
      <c r="E132" s="161">
        <f>E94</f>
        <v>0</v>
      </c>
      <c r="F132" s="161">
        <f>F94</f>
        <v>0</v>
      </c>
      <c r="G132" s="162">
        <f>G94</f>
        <v>0</v>
      </c>
    </row>
    <row r="133" spans="1:7" x14ac:dyDescent="0.25">
      <c r="A133" s="248" t="s">
        <v>213</v>
      </c>
      <c r="B133" s="248"/>
      <c r="C133" s="163">
        <f>SUM(C128:C132)</f>
        <v>861.42745649999995</v>
      </c>
      <c r="D133" s="163">
        <f>SUM(D128:D132)</f>
        <v>861.42745649999995</v>
      </c>
      <c r="E133" s="163">
        <f>SUM(E128:E132)</f>
        <v>861.42745649999995</v>
      </c>
      <c r="F133" s="163">
        <f>SUM(F128:F132)</f>
        <v>1148.9786359999998</v>
      </c>
      <c r="G133" s="164">
        <f>SUM(G128:G132)</f>
        <v>1148.9786359999998</v>
      </c>
    </row>
    <row r="134" spans="1:7" x14ac:dyDescent="0.25">
      <c r="A134" s="245" t="s">
        <v>214</v>
      </c>
      <c r="B134" s="245"/>
      <c r="C134" s="159">
        <f t="shared" ref="C134:G139" si="12">C118</f>
        <v>172.07999999999998</v>
      </c>
      <c r="D134" s="159">
        <f t="shared" si="12"/>
        <v>172.07999999999998</v>
      </c>
      <c r="E134" s="159">
        <f t="shared" si="12"/>
        <v>172.07999999999998</v>
      </c>
      <c r="F134" s="159">
        <f t="shared" si="12"/>
        <v>229.52999999999997</v>
      </c>
      <c r="G134" s="160">
        <f t="shared" si="12"/>
        <v>229.52999999999997</v>
      </c>
    </row>
    <row r="135" spans="1:7" x14ac:dyDescent="0.25">
      <c r="A135" s="246" t="s">
        <v>215</v>
      </c>
      <c r="B135" s="246"/>
      <c r="C135" s="86">
        <f t="shared" si="12"/>
        <v>177.59</v>
      </c>
      <c r="D135" s="86">
        <f t="shared" si="12"/>
        <v>177.59</v>
      </c>
      <c r="E135" s="86">
        <f t="shared" si="12"/>
        <v>177.59</v>
      </c>
      <c r="F135" s="86">
        <f t="shared" si="12"/>
        <v>236.86999999999998</v>
      </c>
      <c r="G135" s="88">
        <f t="shared" si="12"/>
        <v>236.86999999999998</v>
      </c>
    </row>
    <row r="136" spans="1:7" x14ac:dyDescent="0.25">
      <c r="A136" s="246" t="s">
        <v>216</v>
      </c>
      <c r="B136" s="246"/>
      <c r="C136" s="86">
        <f t="shared" si="12"/>
        <v>183.16</v>
      </c>
      <c r="D136" s="86">
        <f t="shared" si="12"/>
        <v>183.16</v>
      </c>
      <c r="E136" s="86">
        <f t="shared" si="12"/>
        <v>183.16</v>
      </c>
      <c r="F136" s="86">
        <f t="shared" si="12"/>
        <v>244.29</v>
      </c>
      <c r="G136" s="88">
        <f t="shared" si="12"/>
        <v>244.29</v>
      </c>
    </row>
    <row r="137" spans="1:7" x14ac:dyDescent="0.25">
      <c r="A137" s="246" t="s">
        <v>217</v>
      </c>
      <c r="B137" s="246"/>
      <c r="C137" s="86">
        <f t="shared" si="12"/>
        <v>188.78</v>
      </c>
      <c r="D137" s="86">
        <f t="shared" si="12"/>
        <v>188.78</v>
      </c>
      <c r="E137" s="86">
        <f t="shared" si="12"/>
        <v>188.78</v>
      </c>
      <c r="F137" s="86">
        <f t="shared" si="12"/>
        <v>251.79999999999998</v>
      </c>
      <c r="G137" s="88">
        <f t="shared" si="12"/>
        <v>251.79999999999998</v>
      </c>
    </row>
    <row r="138" spans="1:7" x14ac:dyDescent="0.25">
      <c r="A138" s="246" t="s">
        <v>218</v>
      </c>
      <c r="B138" s="246"/>
      <c r="C138" s="86">
        <f t="shared" si="12"/>
        <v>194.47</v>
      </c>
      <c r="D138" s="86">
        <f t="shared" si="12"/>
        <v>194.47</v>
      </c>
      <c r="E138" s="86">
        <f t="shared" si="12"/>
        <v>194.47</v>
      </c>
      <c r="F138" s="86">
        <f t="shared" si="12"/>
        <v>259.38</v>
      </c>
      <c r="G138" s="88">
        <f t="shared" si="12"/>
        <v>259.38</v>
      </c>
    </row>
    <row r="139" spans="1:7" x14ac:dyDescent="0.25">
      <c r="A139" s="249" t="s">
        <v>219</v>
      </c>
      <c r="B139" s="249"/>
      <c r="C139" s="161">
        <f t="shared" si="12"/>
        <v>206.01999999999998</v>
      </c>
      <c r="D139" s="161">
        <f t="shared" si="12"/>
        <v>206.01999999999998</v>
      </c>
      <c r="E139" s="161">
        <f t="shared" si="12"/>
        <v>206.01999999999998</v>
      </c>
      <c r="F139" s="161">
        <f t="shared" si="12"/>
        <v>274.79999999999995</v>
      </c>
      <c r="G139" s="162">
        <f t="shared" si="12"/>
        <v>274.79999999999995</v>
      </c>
    </row>
    <row r="140" spans="1:7" x14ac:dyDescent="0.25">
      <c r="A140" s="250" t="s">
        <v>220</v>
      </c>
      <c r="B140" s="165" t="s">
        <v>221</v>
      </c>
      <c r="C140" s="166">
        <f>C133+C134</f>
        <v>1033.5074565</v>
      </c>
      <c r="D140" s="166">
        <f>D133+D134</f>
        <v>1033.5074565</v>
      </c>
      <c r="E140" s="166">
        <f>E133+E134</f>
        <v>1033.5074565</v>
      </c>
      <c r="F140" s="166">
        <f>F133+F134</f>
        <v>1378.5086359999998</v>
      </c>
      <c r="G140" s="167">
        <f>G133+G134</f>
        <v>1378.5086359999998</v>
      </c>
    </row>
    <row r="141" spans="1:7" x14ac:dyDescent="0.25">
      <c r="A141" s="250"/>
      <c r="B141" s="168" t="s">
        <v>222</v>
      </c>
      <c r="C141" s="169">
        <f>C133+C135</f>
        <v>1039.0174565</v>
      </c>
      <c r="D141" s="169">
        <f>D133+D135</f>
        <v>1039.0174565</v>
      </c>
      <c r="E141" s="169">
        <f>E133+E135</f>
        <v>1039.0174565</v>
      </c>
      <c r="F141" s="169">
        <f>F133+F135</f>
        <v>1385.8486359999997</v>
      </c>
      <c r="G141" s="170">
        <f>G133+G135</f>
        <v>1385.8486359999997</v>
      </c>
    </row>
    <row r="142" spans="1:7" x14ac:dyDescent="0.25">
      <c r="A142" s="250"/>
      <c r="B142" s="168" t="s">
        <v>223</v>
      </c>
      <c r="C142" s="169">
        <f>C133+C136</f>
        <v>1044.5874564999999</v>
      </c>
      <c r="D142" s="169">
        <f>D133+D136</f>
        <v>1044.5874564999999</v>
      </c>
      <c r="E142" s="169">
        <f>E133+E136</f>
        <v>1044.5874564999999</v>
      </c>
      <c r="F142" s="169">
        <f>F133+F136</f>
        <v>1393.2686359999998</v>
      </c>
      <c r="G142" s="170">
        <f>G133+G136</f>
        <v>1393.2686359999998</v>
      </c>
    </row>
    <row r="143" spans="1:7" x14ac:dyDescent="0.25">
      <c r="A143" s="250"/>
      <c r="B143" s="168" t="s">
        <v>224</v>
      </c>
      <c r="C143" s="169">
        <f>C133+C137</f>
        <v>1050.2074565</v>
      </c>
      <c r="D143" s="169">
        <f>D133+D137</f>
        <v>1050.2074565</v>
      </c>
      <c r="E143" s="169">
        <f>E133+E137</f>
        <v>1050.2074565</v>
      </c>
      <c r="F143" s="169">
        <f>F133+F137</f>
        <v>1400.7786359999998</v>
      </c>
      <c r="G143" s="170">
        <f>G133+G137</f>
        <v>1400.7786359999998</v>
      </c>
    </row>
    <row r="144" spans="1:7" x14ac:dyDescent="0.25">
      <c r="A144" s="250"/>
      <c r="B144" s="168" t="s">
        <v>225</v>
      </c>
      <c r="C144" s="169">
        <f>C133+C138</f>
        <v>1055.8974564999999</v>
      </c>
      <c r="D144" s="169">
        <f>D133+D138</f>
        <v>1055.8974564999999</v>
      </c>
      <c r="E144" s="169">
        <f>E133+E138</f>
        <v>1055.8974564999999</v>
      </c>
      <c r="F144" s="169">
        <f>F133+F138</f>
        <v>1408.3586359999999</v>
      </c>
      <c r="G144" s="170">
        <f>G133+G138</f>
        <v>1408.3586359999999</v>
      </c>
    </row>
    <row r="145" spans="1:7" x14ac:dyDescent="0.25">
      <c r="A145" s="250"/>
      <c r="B145" s="171" t="s">
        <v>226</v>
      </c>
      <c r="C145" s="172">
        <f>C133+C139</f>
        <v>1067.4474565</v>
      </c>
      <c r="D145" s="172">
        <f>D133+D139</f>
        <v>1067.4474565</v>
      </c>
      <c r="E145" s="172">
        <f>E133+E139</f>
        <v>1067.4474565</v>
      </c>
      <c r="F145" s="172">
        <f>F133+F139</f>
        <v>1423.7786359999998</v>
      </c>
      <c r="G145" s="173">
        <f>G133+G139</f>
        <v>1423.7786359999998</v>
      </c>
    </row>
    <row r="146" spans="1:7" x14ac:dyDescent="0.25">
      <c r="A146" s="251" t="s">
        <v>227</v>
      </c>
      <c r="B146" s="174" t="s">
        <v>221</v>
      </c>
      <c r="C146" s="175">
        <f t="shared" ref="C146:E151" si="13">C140</f>
        <v>1033.5074565</v>
      </c>
      <c r="D146" s="175">
        <f t="shared" si="13"/>
        <v>1033.5074565</v>
      </c>
      <c r="E146" s="175">
        <f t="shared" si="13"/>
        <v>1033.5074565</v>
      </c>
      <c r="F146" s="176">
        <f t="shared" ref="F146:G151" si="14">F140/2</f>
        <v>689.2543179999999</v>
      </c>
      <c r="G146" s="177">
        <f t="shared" si="14"/>
        <v>689.2543179999999</v>
      </c>
    </row>
    <row r="147" spans="1:7" x14ac:dyDescent="0.25">
      <c r="A147" s="251"/>
      <c r="B147" s="178" t="s">
        <v>222</v>
      </c>
      <c r="C147" s="179">
        <f t="shared" si="13"/>
        <v>1039.0174565</v>
      </c>
      <c r="D147" s="179">
        <f t="shared" si="13"/>
        <v>1039.0174565</v>
      </c>
      <c r="E147" s="179">
        <f t="shared" si="13"/>
        <v>1039.0174565</v>
      </c>
      <c r="F147" s="180">
        <f t="shared" si="14"/>
        <v>692.92431799999986</v>
      </c>
      <c r="G147" s="181">
        <f t="shared" si="14"/>
        <v>692.92431799999986</v>
      </c>
    </row>
    <row r="148" spans="1:7" x14ac:dyDescent="0.25">
      <c r="A148" s="251"/>
      <c r="B148" s="178" t="s">
        <v>223</v>
      </c>
      <c r="C148" s="179">
        <f t="shared" si="13"/>
        <v>1044.5874564999999</v>
      </c>
      <c r="D148" s="179">
        <f t="shared" si="13"/>
        <v>1044.5874564999999</v>
      </c>
      <c r="E148" s="179">
        <f t="shared" si="13"/>
        <v>1044.5874564999999</v>
      </c>
      <c r="F148" s="180">
        <f t="shared" si="14"/>
        <v>696.63431799999989</v>
      </c>
      <c r="G148" s="181">
        <f t="shared" si="14"/>
        <v>696.63431799999989</v>
      </c>
    </row>
    <row r="149" spans="1:7" x14ac:dyDescent="0.25">
      <c r="A149" s="251"/>
      <c r="B149" s="178" t="s">
        <v>224</v>
      </c>
      <c r="C149" s="179">
        <f t="shared" si="13"/>
        <v>1050.2074565</v>
      </c>
      <c r="D149" s="179">
        <f t="shared" si="13"/>
        <v>1050.2074565</v>
      </c>
      <c r="E149" s="179">
        <f t="shared" si="13"/>
        <v>1050.2074565</v>
      </c>
      <c r="F149" s="180">
        <f t="shared" si="14"/>
        <v>700.38931799999989</v>
      </c>
      <c r="G149" s="181">
        <f t="shared" si="14"/>
        <v>700.38931799999989</v>
      </c>
    </row>
    <row r="150" spans="1:7" x14ac:dyDescent="0.25">
      <c r="A150" s="251"/>
      <c r="B150" s="178" t="s">
        <v>225</v>
      </c>
      <c r="C150" s="179">
        <f t="shared" si="13"/>
        <v>1055.8974564999999</v>
      </c>
      <c r="D150" s="179">
        <f t="shared" si="13"/>
        <v>1055.8974564999999</v>
      </c>
      <c r="E150" s="179">
        <f t="shared" si="13"/>
        <v>1055.8974564999999</v>
      </c>
      <c r="F150" s="180">
        <f t="shared" si="14"/>
        <v>704.17931799999997</v>
      </c>
      <c r="G150" s="181">
        <f t="shared" si="14"/>
        <v>704.17931799999997</v>
      </c>
    </row>
    <row r="151" spans="1:7" x14ac:dyDescent="0.25">
      <c r="A151" s="251"/>
      <c r="B151" s="182" t="s">
        <v>226</v>
      </c>
      <c r="C151" s="183">
        <f t="shared" si="13"/>
        <v>1067.4474565</v>
      </c>
      <c r="D151" s="183">
        <f t="shared" si="13"/>
        <v>1067.4474565</v>
      </c>
      <c r="E151" s="183">
        <f t="shared" si="13"/>
        <v>1067.4474565</v>
      </c>
      <c r="F151" s="184">
        <f t="shared" si="14"/>
        <v>711.88931799999989</v>
      </c>
      <c r="G151" s="185">
        <f t="shared" si="14"/>
        <v>711.88931799999989</v>
      </c>
    </row>
    <row r="152" spans="1:7" ht="15" customHeight="1" x14ac:dyDescent="0.25">
      <c r="A152" s="252" t="s">
        <v>228</v>
      </c>
      <c r="B152" s="186" t="s">
        <v>221</v>
      </c>
      <c r="C152" s="187"/>
      <c r="D152" s="187">
        <f t="shared" ref="D152:E157" si="15">D140/220</f>
        <v>4.6977611659090908</v>
      </c>
      <c r="E152" s="187">
        <f t="shared" si="15"/>
        <v>4.6977611659090908</v>
      </c>
      <c r="F152" s="187"/>
      <c r="G152" s="188"/>
    </row>
    <row r="153" spans="1:7" ht="15" customHeight="1" x14ac:dyDescent="0.25">
      <c r="A153" s="252"/>
      <c r="B153" s="189" t="s">
        <v>222</v>
      </c>
      <c r="C153" s="190"/>
      <c r="D153" s="190">
        <f t="shared" si="15"/>
        <v>4.7228066204545458</v>
      </c>
      <c r="E153" s="190">
        <f t="shared" si="15"/>
        <v>4.7228066204545458</v>
      </c>
      <c r="F153" s="190"/>
      <c r="G153" s="191"/>
    </row>
    <row r="154" spans="1:7" x14ac:dyDescent="0.25">
      <c r="A154" s="252"/>
      <c r="B154" s="189" t="s">
        <v>223</v>
      </c>
      <c r="C154" s="192"/>
      <c r="D154" s="190">
        <f t="shared" si="15"/>
        <v>4.7481248022727272</v>
      </c>
      <c r="E154" s="190">
        <f t="shared" si="15"/>
        <v>4.7481248022727272</v>
      </c>
      <c r="F154" s="192"/>
      <c r="G154" s="193"/>
    </row>
    <row r="155" spans="1:7" x14ac:dyDescent="0.25">
      <c r="A155" s="252"/>
      <c r="B155" s="189" t="s">
        <v>224</v>
      </c>
      <c r="C155" s="192"/>
      <c r="D155" s="190">
        <f t="shared" si="15"/>
        <v>4.7736702568181819</v>
      </c>
      <c r="E155" s="190">
        <f t="shared" si="15"/>
        <v>4.7736702568181819</v>
      </c>
      <c r="F155" s="192"/>
      <c r="G155" s="193"/>
    </row>
    <row r="156" spans="1:7" x14ac:dyDescent="0.25">
      <c r="A156" s="252"/>
      <c r="B156" s="189" t="s">
        <v>225</v>
      </c>
      <c r="C156" s="192"/>
      <c r="D156" s="190">
        <f t="shared" si="15"/>
        <v>4.7995338931818177</v>
      </c>
      <c r="E156" s="190">
        <f t="shared" si="15"/>
        <v>4.7995338931818177</v>
      </c>
      <c r="F156" s="192"/>
      <c r="G156" s="193"/>
    </row>
    <row r="157" spans="1:7" x14ac:dyDescent="0.25">
      <c r="A157" s="252"/>
      <c r="B157" s="194" t="s">
        <v>226</v>
      </c>
      <c r="C157" s="195"/>
      <c r="D157" s="196">
        <f t="shared" si="15"/>
        <v>4.8520338931818188</v>
      </c>
      <c r="E157" s="196">
        <f t="shared" si="15"/>
        <v>4.8520338931818188</v>
      </c>
      <c r="F157" s="195"/>
      <c r="G157" s="197"/>
    </row>
    <row r="158" spans="1:7" x14ac:dyDescent="0.25">
      <c r="A158"/>
    </row>
    <row r="159" spans="1:7" x14ac:dyDescent="0.25">
      <c r="A159" t="s">
        <v>110</v>
      </c>
    </row>
  </sheetData>
  <mergeCells count="31">
    <mergeCell ref="A152:A157"/>
    <mergeCell ref="A137:B137"/>
    <mergeCell ref="A138:B138"/>
    <mergeCell ref="A139:B139"/>
    <mergeCell ref="A140:A145"/>
    <mergeCell ref="A146:A151"/>
    <mergeCell ref="A132:B132"/>
    <mergeCell ref="A133:B133"/>
    <mergeCell ref="A134:B134"/>
    <mergeCell ref="A135:B135"/>
    <mergeCell ref="A136:B136"/>
    <mergeCell ref="A127:G127"/>
    <mergeCell ref="A128:B128"/>
    <mergeCell ref="A129:B129"/>
    <mergeCell ref="A130:B130"/>
    <mergeCell ref="A131:B131"/>
    <mergeCell ref="A72:G72"/>
    <mergeCell ref="A88:G88"/>
    <mergeCell ref="A96:G96"/>
    <mergeCell ref="A118:A123"/>
    <mergeCell ref="A126:G126"/>
    <mergeCell ref="A6:B6"/>
    <mergeCell ref="A7:B7"/>
    <mergeCell ref="A10:G10"/>
    <mergeCell ref="A21:G21"/>
    <mergeCell ref="A52:G52"/>
    <mergeCell ref="A1:G1"/>
    <mergeCell ref="A2:G2"/>
    <mergeCell ref="A3:G3"/>
    <mergeCell ref="A4:B4"/>
    <mergeCell ref="A5:B5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B7B7B"/>
  </sheetPr>
  <dimension ref="A1:F46"/>
  <sheetViews>
    <sheetView windowProtection="1" tabSelected="1" topLeftCell="A13" zoomScaleNormal="100" workbookViewId="0">
      <selection activeCell="A25" sqref="A25:D25"/>
    </sheetView>
  </sheetViews>
  <sheetFormatPr defaultRowHeight="15" x14ac:dyDescent="0.25"/>
  <cols>
    <col min="1" max="1" width="8.7109375"/>
    <col min="2" max="2" width="39.5703125"/>
    <col min="3" max="3" width="8.7109375"/>
    <col min="4" max="4" width="11.7109375"/>
    <col min="5" max="5" width="10"/>
    <col min="6" max="6" width="32"/>
    <col min="7" max="1025" width="8.7109375"/>
  </cols>
  <sheetData>
    <row r="1" spans="1:6" ht="14.25" customHeight="1" x14ac:dyDescent="0.25">
      <c r="A1" s="253" t="s">
        <v>229</v>
      </c>
      <c r="B1" s="253"/>
      <c r="C1" s="253"/>
      <c r="D1" s="253"/>
      <c r="E1" s="253"/>
      <c r="F1" s="253"/>
    </row>
    <row r="2" spans="1:6" ht="14.25" customHeight="1" x14ac:dyDescent="0.25">
      <c r="A2" s="198"/>
      <c r="B2" s="199"/>
      <c r="C2" s="199"/>
      <c r="D2" s="199"/>
      <c r="E2" s="199"/>
      <c r="F2" s="199"/>
    </row>
    <row r="3" spans="1:6" ht="14.25" customHeight="1" x14ac:dyDescent="0.25">
      <c r="A3" s="254" t="s">
        <v>230</v>
      </c>
      <c r="B3" s="254"/>
      <c r="C3" s="254"/>
      <c r="D3" s="254"/>
      <c r="E3" s="254"/>
      <c r="F3" s="254"/>
    </row>
    <row r="4" spans="1:6" ht="27.6" customHeight="1" x14ac:dyDescent="0.25">
      <c r="A4" s="200" t="s">
        <v>231</v>
      </c>
      <c r="B4" s="201" t="s">
        <v>232</v>
      </c>
      <c r="C4" s="201" t="s">
        <v>1</v>
      </c>
      <c r="D4" s="202" t="s">
        <v>233</v>
      </c>
      <c r="E4" s="203" t="s">
        <v>234</v>
      </c>
      <c r="F4" s="204" t="s">
        <v>235</v>
      </c>
    </row>
    <row r="5" spans="1:6" ht="14.25" customHeight="1" x14ac:dyDescent="0.25">
      <c r="A5" s="205">
        <v>1</v>
      </c>
      <c r="B5" s="206" t="s">
        <v>236</v>
      </c>
      <c r="C5" s="206" t="s">
        <v>1</v>
      </c>
      <c r="D5" s="207">
        <v>4</v>
      </c>
      <c r="E5" s="208">
        <v>0</v>
      </c>
      <c r="F5" s="209">
        <f>D5*E5</f>
        <v>0</v>
      </c>
    </row>
    <row r="6" spans="1:6" ht="14.25" customHeight="1" x14ac:dyDescent="0.25">
      <c r="A6" s="210">
        <v>2</v>
      </c>
      <c r="B6" s="211" t="s">
        <v>237</v>
      </c>
      <c r="C6" s="211" t="s">
        <v>1</v>
      </c>
      <c r="D6" s="212">
        <v>2</v>
      </c>
      <c r="E6" s="208">
        <v>0</v>
      </c>
      <c r="F6" s="209">
        <f>D6*E6</f>
        <v>0</v>
      </c>
    </row>
    <row r="7" spans="1:6" ht="14.25" customHeight="1" x14ac:dyDescent="0.25">
      <c r="A7" s="210">
        <v>3</v>
      </c>
      <c r="B7" s="211" t="s">
        <v>238</v>
      </c>
      <c r="C7" s="211" t="s">
        <v>1</v>
      </c>
      <c r="D7" s="212">
        <v>1</v>
      </c>
      <c r="E7" s="208">
        <v>0</v>
      </c>
      <c r="F7" s="209">
        <f>D7*E7</f>
        <v>0</v>
      </c>
    </row>
    <row r="8" spans="1:6" ht="14.25" customHeight="1" x14ac:dyDescent="0.25">
      <c r="A8" s="210">
        <v>4</v>
      </c>
      <c r="B8" s="211" t="s">
        <v>239</v>
      </c>
      <c r="C8" s="211" t="s">
        <v>1</v>
      </c>
      <c r="D8" s="212">
        <v>1</v>
      </c>
      <c r="E8" s="208">
        <v>0</v>
      </c>
      <c r="F8" s="209">
        <f>D8*E8</f>
        <v>0</v>
      </c>
    </row>
    <row r="9" spans="1:6" ht="14.25" customHeight="1" x14ac:dyDescent="0.25">
      <c r="A9" s="213">
        <v>5</v>
      </c>
      <c r="B9" s="214" t="s">
        <v>240</v>
      </c>
      <c r="C9" s="214" t="s">
        <v>241</v>
      </c>
      <c r="D9" s="215">
        <v>1</v>
      </c>
      <c r="E9" s="208">
        <v>0</v>
      </c>
      <c r="F9" s="209">
        <f>D9*E9</f>
        <v>0</v>
      </c>
    </row>
    <row r="10" spans="1:6" ht="14.25" customHeight="1" x14ac:dyDescent="0.25">
      <c r="A10" s="255" t="s">
        <v>242</v>
      </c>
      <c r="B10" s="255"/>
      <c r="C10" s="255"/>
      <c r="D10" s="255"/>
      <c r="E10" s="255"/>
      <c r="F10" s="216">
        <f>SUM(F5:F9)</f>
        <v>0</v>
      </c>
    </row>
    <row r="11" spans="1:6" ht="14.25" customHeight="1" x14ac:dyDescent="0.25">
      <c r="A11" s="256" t="s">
        <v>243</v>
      </c>
      <c r="B11" s="256"/>
      <c r="C11" s="256"/>
      <c r="D11" s="256"/>
      <c r="E11" s="256"/>
      <c r="F11" s="217">
        <f>F10/12</f>
        <v>0</v>
      </c>
    </row>
    <row r="12" spans="1:6" ht="14.25" customHeight="1" x14ac:dyDescent="0.25">
      <c r="A12" s="198"/>
      <c r="B12" s="199"/>
      <c r="C12" s="199"/>
      <c r="D12" s="199"/>
      <c r="E12" s="199"/>
      <c r="F12" s="199"/>
    </row>
    <row r="13" spans="1:6" ht="14.25" customHeight="1" x14ac:dyDescent="0.25">
      <c r="A13" s="198"/>
      <c r="B13" s="199"/>
      <c r="C13" s="199"/>
      <c r="D13" s="199"/>
      <c r="E13" s="199"/>
      <c r="F13" s="199"/>
    </row>
    <row r="14" spans="1:6" ht="14.25" customHeight="1" x14ac:dyDescent="0.25">
      <c r="A14" s="257" t="s">
        <v>244</v>
      </c>
      <c r="B14" s="257"/>
      <c r="C14" s="257"/>
      <c r="D14" s="257"/>
      <c r="E14" s="257"/>
      <c r="F14" s="257"/>
    </row>
    <row r="15" spans="1:6" ht="14.25" customHeight="1" x14ac:dyDescent="0.25">
      <c r="A15" s="258" t="s">
        <v>231</v>
      </c>
      <c r="B15" s="259" t="s">
        <v>232</v>
      </c>
      <c r="C15" s="260" t="s">
        <v>1</v>
      </c>
      <c r="D15" s="261" t="s">
        <v>233</v>
      </c>
      <c r="E15" s="262" t="s">
        <v>234</v>
      </c>
      <c r="F15" s="261" t="s">
        <v>245</v>
      </c>
    </row>
    <row r="16" spans="1:6" ht="14.25" customHeight="1" x14ac:dyDescent="0.25">
      <c r="A16" s="258"/>
      <c r="B16" s="259"/>
      <c r="C16" s="260"/>
      <c r="D16" s="261"/>
      <c r="E16" s="262"/>
      <c r="F16" s="261"/>
    </row>
    <row r="17" spans="1:6" ht="14.25" customHeight="1" x14ac:dyDescent="0.25">
      <c r="A17" s="205">
        <v>1</v>
      </c>
      <c r="B17" s="206" t="s">
        <v>246</v>
      </c>
      <c r="C17" s="218" t="s">
        <v>1</v>
      </c>
      <c r="D17" s="218">
        <f>(RESUMO!C$91+RESUMO!D$91)*2+(RESUMO!E$91+RESUMO!F$91)</f>
        <v>224</v>
      </c>
      <c r="E17" s="219">
        <v>0</v>
      </c>
      <c r="F17" s="220">
        <f t="shared" ref="F17:F24" si="0">((($E17*D17)*0.2)/D17)/12</f>
        <v>0</v>
      </c>
    </row>
    <row r="18" spans="1:6" ht="14.25" customHeight="1" x14ac:dyDescent="0.25">
      <c r="A18" s="210">
        <v>2</v>
      </c>
      <c r="B18" s="211" t="s">
        <v>247</v>
      </c>
      <c r="C18" s="221" t="s">
        <v>1</v>
      </c>
      <c r="D18" s="218">
        <f>(RESUMO!C$91+RESUMO!D$91)*2+(RESUMO!E$91+RESUMO!F$91)</f>
        <v>224</v>
      </c>
      <c r="E18" s="219">
        <v>0</v>
      </c>
      <c r="F18" s="220">
        <f t="shared" si="0"/>
        <v>0</v>
      </c>
    </row>
    <row r="19" spans="1:6" ht="14.25" customHeight="1" x14ac:dyDescent="0.25">
      <c r="A19" s="210">
        <v>3</v>
      </c>
      <c r="B19" s="211" t="s">
        <v>248</v>
      </c>
      <c r="C19" s="221" t="s">
        <v>1</v>
      </c>
      <c r="D19" s="218">
        <f>(RESUMO!C$91+RESUMO!D$91)*2+(RESUMO!E$91+RESUMO!F$91)</f>
        <v>224</v>
      </c>
      <c r="E19" s="219">
        <v>0</v>
      </c>
      <c r="F19" s="220">
        <f t="shared" si="0"/>
        <v>0</v>
      </c>
    </row>
    <row r="20" spans="1:6" ht="14.25" customHeight="1" x14ac:dyDescent="0.25">
      <c r="A20" s="210">
        <v>4</v>
      </c>
      <c r="B20" s="211" t="s">
        <v>249</v>
      </c>
      <c r="C20" s="221" t="s">
        <v>1</v>
      </c>
      <c r="D20" s="218">
        <f>(RESUMO!C$91+RESUMO!D$91)*2+(RESUMO!E$91+RESUMO!F$91)</f>
        <v>224</v>
      </c>
      <c r="E20" s="219">
        <v>0</v>
      </c>
      <c r="F20" s="220">
        <f t="shared" si="0"/>
        <v>0</v>
      </c>
    </row>
    <row r="21" spans="1:6" ht="14.25" customHeight="1" x14ac:dyDescent="0.25">
      <c r="A21" s="210">
        <v>5</v>
      </c>
      <c r="B21" s="211" t="s">
        <v>250</v>
      </c>
      <c r="C21" s="221" t="s">
        <v>1</v>
      </c>
      <c r="D21" s="218">
        <f>(RESUMO!C$91+RESUMO!D$91)*2+(RESUMO!E$91+RESUMO!F$91)</f>
        <v>224</v>
      </c>
      <c r="E21" s="219">
        <v>0</v>
      </c>
      <c r="F21" s="220">
        <f t="shared" si="0"/>
        <v>0</v>
      </c>
    </row>
    <row r="22" spans="1:6" ht="14.25" customHeight="1" x14ac:dyDescent="0.25">
      <c r="A22" s="210">
        <v>6</v>
      </c>
      <c r="B22" s="211" t="s">
        <v>251</v>
      </c>
      <c r="C22" s="221" t="s">
        <v>1</v>
      </c>
      <c r="D22" s="221">
        <f>RESUMO!A$87-3</f>
        <v>80</v>
      </c>
      <c r="E22" s="219">
        <v>0</v>
      </c>
      <c r="F22" s="220">
        <f t="shared" si="0"/>
        <v>0</v>
      </c>
    </row>
    <row r="23" spans="1:6" ht="14.25" customHeight="1" x14ac:dyDescent="0.25">
      <c r="A23" s="210">
        <v>7</v>
      </c>
      <c r="B23" s="211" t="s">
        <v>252</v>
      </c>
      <c r="C23" s="221" t="s">
        <v>1</v>
      </c>
      <c r="D23" s="221">
        <f>RESUMO!A$87-3</f>
        <v>80</v>
      </c>
      <c r="E23" s="219">
        <v>0</v>
      </c>
      <c r="F23" s="220">
        <f t="shared" si="0"/>
        <v>0</v>
      </c>
    </row>
    <row r="24" spans="1:6" ht="14.25" customHeight="1" x14ac:dyDescent="0.25">
      <c r="A24" s="213">
        <v>8</v>
      </c>
      <c r="B24" s="214" t="s">
        <v>253</v>
      </c>
      <c r="C24" s="222" t="s">
        <v>1</v>
      </c>
      <c r="D24" s="222">
        <f>RESUMO!D91</f>
        <v>10</v>
      </c>
      <c r="E24" s="219">
        <v>0</v>
      </c>
      <c r="F24" s="220">
        <f t="shared" si="0"/>
        <v>0</v>
      </c>
    </row>
    <row r="25" spans="1:6" ht="14.25" customHeight="1" x14ac:dyDescent="0.25">
      <c r="A25" s="263" t="s">
        <v>254</v>
      </c>
      <c r="B25" s="263"/>
      <c r="C25" s="263"/>
      <c r="D25" s="263"/>
      <c r="E25" s="223"/>
      <c r="F25" s="224">
        <f>SUM(F17:F24)</f>
        <v>0</v>
      </c>
    </row>
    <row r="26" spans="1:6" ht="14.25" customHeight="1" x14ac:dyDescent="0.25">
      <c r="A26" s="264" t="s">
        <v>255</v>
      </c>
      <c r="B26" s="264"/>
      <c r="C26" s="264"/>
      <c r="D26" s="264"/>
      <c r="E26" s="264"/>
      <c r="F26" s="264"/>
    </row>
    <row r="27" spans="1:6" ht="14.25" customHeight="1" x14ac:dyDescent="0.25">
      <c r="A27" s="198"/>
      <c r="B27" s="199"/>
      <c r="C27" s="199"/>
      <c r="D27" s="199"/>
      <c r="E27" s="199"/>
      <c r="F27" s="199"/>
    </row>
    <row r="28" spans="1:6" ht="14.25" customHeight="1" x14ac:dyDescent="0.25">
      <c r="A28" s="257" t="s">
        <v>256</v>
      </c>
      <c r="B28" s="257"/>
      <c r="C28" s="257"/>
      <c r="D28" s="257"/>
      <c r="E28" s="257"/>
      <c r="F28" s="257"/>
    </row>
    <row r="29" spans="1:6" ht="14.25" customHeight="1" x14ac:dyDescent="0.25">
      <c r="A29" s="265" t="s">
        <v>231</v>
      </c>
      <c r="B29" s="266" t="s">
        <v>232</v>
      </c>
      <c r="C29" s="266" t="s">
        <v>1</v>
      </c>
      <c r="D29" s="267" t="s">
        <v>257</v>
      </c>
      <c r="E29" s="262" t="s">
        <v>234</v>
      </c>
      <c r="F29" s="261" t="s">
        <v>235</v>
      </c>
    </row>
    <row r="30" spans="1:6" ht="14.25" customHeight="1" x14ac:dyDescent="0.25">
      <c r="A30" s="265"/>
      <c r="B30" s="266"/>
      <c r="C30" s="266"/>
      <c r="D30" s="267"/>
      <c r="E30" s="262"/>
      <c r="F30" s="261"/>
    </row>
    <row r="31" spans="1:6" ht="14.25" customHeight="1" x14ac:dyDescent="0.25">
      <c r="A31" s="210">
        <v>1</v>
      </c>
      <c r="B31" s="211" t="s">
        <v>258</v>
      </c>
      <c r="C31" s="211" t="s">
        <v>259</v>
      </c>
      <c r="D31" s="221">
        <v>1</v>
      </c>
      <c r="E31" s="219">
        <v>0</v>
      </c>
      <c r="F31" s="225">
        <f>$E31*D31</f>
        <v>0</v>
      </c>
    </row>
    <row r="32" spans="1:6" ht="14.25" customHeight="1" x14ac:dyDescent="0.25">
      <c r="A32" s="210">
        <v>2</v>
      </c>
      <c r="B32" s="211" t="s">
        <v>260</v>
      </c>
      <c r="C32" s="211" t="s">
        <v>261</v>
      </c>
      <c r="D32" s="221">
        <v>44</v>
      </c>
      <c r="E32" s="219">
        <v>0</v>
      </c>
      <c r="F32" s="225">
        <f>($E32/50)*D32</f>
        <v>0</v>
      </c>
    </row>
    <row r="33" spans="1:6" ht="14.25" customHeight="1" x14ac:dyDescent="0.25">
      <c r="A33" s="213"/>
      <c r="B33" s="211" t="s">
        <v>262</v>
      </c>
      <c r="C33" s="211" t="s">
        <v>261</v>
      </c>
      <c r="D33" s="222">
        <v>66</v>
      </c>
      <c r="E33" s="219">
        <v>0</v>
      </c>
      <c r="F33" s="225">
        <f>($E33/50)*D33</f>
        <v>0</v>
      </c>
    </row>
    <row r="34" spans="1:6" ht="14.25" customHeight="1" x14ac:dyDescent="0.25">
      <c r="A34" s="213"/>
      <c r="B34" s="211" t="s">
        <v>263</v>
      </c>
      <c r="C34" s="211" t="s">
        <v>261</v>
      </c>
      <c r="D34" s="222">
        <v>120</v>
      </c>
      <c r="E34" s="219">
        <v>0</v>
      </c>
      <c r="F34" s="225">
        <f>($E34/50)*D34</f>
        <v>0</v>
      </c>
    </row>
    <row r="35" spans="1:6" ht="14.25" customHeight="1" x14ac:dyDescent="0.25">
      <c r="A35" s="213">
        <v>3</v>
      </c>
      <c r="B35" s="214" t="s">
        <v>264</v>
      </c>
      <c r="C35" s="214" t="s">
        <v>1</v>
      </c>
      <c r="D35" s="222">
        <v>1</v>
      </c>
      <c r="E35" s="219">
        <v>0</v>
      </c>
      <c r="F35" s="225">
        <f>$E35/6</f>
        <v>0</v>
      </c>
    </row>
    <row r="36" spans="1:6" ht="14.25" customHeight="1" x14ac:dyDescent="0.25">
      <c r="A36" s="268" t="s">
        <v>265</v>
      </c>
      <c r="B36" s="268"/>
      <c r="C36" s="268"/>
      <c r="D36" s="268"/>
      <c r="E36" s="268"/>
      <c r="F36" s="226">
        <f>SUM(F31+F32+F35)</f>
        <v>0</v>
      </c>
    </row>
    <row r="37" spans="1:6" ht="14.25" customHeight="1" x14ac:dyDescent="0.25">
      <c r="A37" s="268" t="s">
        <v>266</v>
      </c>
      <c r="B37" s="268"/>
      <c r="C37" s="268"/>
      <c r="D37" s="268"/>
      <c r="E37" s="268"/>
      <c r="F37" s="226">
        <f>SUM(F31+F33+F35)</f>
        <v>0</v>
      </c>
    </row>
    <row r="38" spans="1:6" ht="14.25" customHeight="1" x14ac:dyDescent="0.25">
      <c r="A38" s="268" t="s">
        <v>267</v>
      </c>
      <c r="B38" s="268"/>
      <c r="C38" s="268"/>
      <c r="D38" s="268"/>
      <c r="E38" s="268"/>
      <c r="F38" s="226">
        <f>SUM(F31+F34+F35)</f>
        <v>0</v>
      </c>
    </row>
    <row r="39" spans="1:6" ht="25.35" customHeight="1" x14ac:dyDescent="0.25">
      <c r="A39" s="269" t="s">
        <v>268</v>
      </c>
      <c r="B39" s="269"/>
      <c r="C39" s="269"/>
      <c r="D39" s="269"/>
      <c r="E39" s="269"/>
      <c r="F39" s="269"/>
    </row>
    <row r="40" spans="1:6" ht="14.25" customHeight="1" x14ac:dyDescent="0.25">
      <c r="A40" s="198"/>
      <c r="B40" s="199"/>
      <c r="C40" s="199"/>
      <c r="D40" s="199"/>
      <c r="E40" s="199"/>
      <c r="F40" s="199"/>
    </row>
    <row r="41" spans="1:6" ht="14.25" customHeight="1" x14ac:dyDescent="0.25">
      <c r="A41" s="270" t="s">
        <v>269</v>
      </c>
      <c r="B41" s="270"/>
      <c r="C41" s="271" t="s">
        <v>270</v>
      </c>
      <c r="D41" s="271"/>
      <c r="E41" s="271"/>
      <c r="F41" s="271"/>
    </row>
    <row r="42" spans="1:6" ht="14.25" customHeight="1" x14ac:dyDescent="0.25">
      <c r="A42" s="270" t="s">
        <v>271</v>
      </c>
      <c r="B42" s="270"/>
      <c r="C42" s="271" t="s">
        <v>272</v>
      </c>
      <c r="D42" s="271"/>
      <c r="E42" s="271"/>
      <c r="F42" s="271"/>
    </row>
    <row r="43" spans="1:6" ht="14.25" customHeight="1" x14ac:dyDescent="0.25">
      <c r="A43" s="272" t="s">
        <v>273</v>
      </c>
      <c r="B43" s="272"/>
      <c r="C43" s="271" t="s">
        <v>274</v>
      </c>
      <c r="D43" s="271"/>
      <c r="E43" s="271"/>
      <c r="F43" s="271"/>
    </row>
    <row r="44" spans="1:6" ht="14.25" customHeight="1" x14ac:dyDescent="0.25">
      <c r="A44" s="227"/>
      <c r="B44" s="228"/>
      <c r="C44" s="228"/>
      <c r="D44" s="228"/>
      <c r="E44" s="228"/>
      <c r="F44" s="228"/>
    </row>
    <row r="46" spans="1:6" x14ac:dyDescent="0.25">
      <c r="A46" t="s">
        <v>110</v>
      </c>
    </row>
  </sheetData>
  <mergeCells count="30">
    <mergeCell ref="A42:B42"/>
    <mergeCell ref="C42:F42"/>
    <mergeCell ref="A43:B43"/>
    <mergeCell ref="C43:F43"/>
    <mergeCell ref="A36:E36"/>
    <mergeCell ref="A37:E37"/>
    <mergeCell ref="A38:E38"/>
    <mergeCell ref="A39:F39"/>
    <mergeCell ref="A41:B41"/>
    <mergeCell ref="C41:F41"/>
    <mergeCell ref="F15:F16"/>
    <mergeCell ref="A25:D25"/>
    <mergeCell ref="A26:F26"/>
    <mergeCell ref="A28:F28"/>
    <mergeCell ref="A29:A30"/>
    <mergeCell ref="B29:B30"/>
    <mergeCell ref="C29:C30"/>
    <mergeCell ref="D29:D30"/>
    <mergeCell ref="E29:E30"/>
    <mergeCell ref="F29:F30"/>
    <mergeCell ref="A15:A16"/>
    <mergeCell ref="B15:B16"/>
    <mergeCell ref="C15:C16"/>
    <mergeCell ref="D15:D16"/>
    <mergeCell ref="E15:E16"/>
    <mergeCell ref="A1:F1"/>
    <mergeCell ref="A3:F3"/>
    <mergeCell ref="A10:E10"/>
    <mergeCell ref="A11:E11"/>
    <mergeCell ref="A14:F14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FF"/>
  </sheetPr>
  <dimension ref="A1:H91"/>
  <sheetViews>
    <sheetView windowProtection="1" zoomScaleNormal="100" workbookViewId="0">
      <pane ySplit="3" topLeftCell="A4" activePane="bottomLeft" state="frozen"/>
      <selection pane="bottomLeft" activeCell="A90" sqref="A90"/>
    </sheetView>
  </sheetViews>
  <sheetFormatPr defaultRowHeight="15" x14ac:dyDescent="0.25"/>
  <cols>
    <col min="1" max="1" width="8.7109375"/>
    <col min="2" max="2" width="37.140625"/>
    <col min="3" max="1025" width="8.7109375"/>
  </cols>
  <sheetData>
    <row r="1" spans="1:8" ht="27.75" customHeight="1" x14ac:dyDescent="0.35">
      <c r="A1" s="273" t="s">
        <v>275</v>
      </c>
      <c r="B1" s="273"/>
      <c r="C1" s="273"/>
      <c r="D1" s="273"/>
      <c r="E1" s="273"/>
      <c r="F1" s="229"/>
      <c r="G1" s="229"/>
      <c r="H1" s="229"/>
    </row>
    <row r="2" spans="1:8" ht="14.25" customHeight="1" x14ac:dyDescent="0.25">
      <c r="A2" s="274" t="s">
        <v>1</v>
      </c>
      <c r="B2" s="274"/>
      <c r="C2" s="274"/>
      <c r="D2" s="274"/>
      <c r="E2" s="274"/>
      <c r="F2" s="229"/>
      <c r="G2" s="229"/>
      <c r="H2" s="229"/>
    </row>
    <row r="3" spans="1:8" ht="27.75" customHeight="1" x14ac:dyDescent="0.25">
      <c r="A3" s="230" t="s">
        <v>6</v>
      </c>
      <c r="B3" s="230" t="s">
        <v>7</v>
      </c>
      <c r="C3" s="231" t="s">
        <v>276</v>
      </c>
      <c r="D3" s="230" t="s">
        <v>277</v>
      </c>
      <c r="E3" s="230" t="s">
        <v>278</v>
      </c>
      <c r="F3" s="229"/>
      <c r="G3" s="229"/>
      <c r="H3" s="229"/>
    </row>
    <row r="4" spans="1:8" ht="14.25" customHeight="1" x14ac:dyDescent="0.25">
      <c r="A4" s="232"/>
      <c r="B4" s="233" t="s">
        <v>279</v>
      </c>
      <c r="C4" s="234">
        <f>AVERAGE(C5:C88)</f>
        <v>3.8807692307692316</v>
      </c>
      <c r="D4" s="232"/>
      <c r="E4" s="234">
        <f>E89/D89</f>
        <v>3.943917525773196</v>
      </c>
      <c r="F4" s="229"/>
      <c r="G4" s="229"/>
      <c r="H4" s="229"/>
    </row>
    <row r="5" spans="1:8" ht="14.25" customHeight="1" x14ac:dyDescent="0.25">
      <c r="A5" s="229">
        <v>1</v>
      </c>
      <c r="B5" s="229" t="s">
        <v>21</v>
      </c>
      <c r="C5" s="235">
        <v>4.5</v>
      </c>
      <c r="D5" s="236">
        <f>(RESUMO!C4+RESUMO!D4)*2+(RESUMO!E4+RESUMO!F4)</f>
        <v>4</v>
      </c>
      <c r="E5" s="237">
        <f t="shared" ref="E5:E27" si="0">C5*D5</f>
        <v>18</v>
      </c>
      <c r="F5" s="229"/>
      <c r="G5" s="229"/>
      <c r="H5" s="229"/>
    </row>
    <row r="6" spans="1:8" ht="14.25" customHeight="1" x14ac:dyDescent="0.25">
      <c r="A6" s="238">
        <v>2</v>
      </c>
      <c r="B6" s="238" t="s">
        <v>22</v>
      </c>
      <c r="C6" s="239">
        <v>4.5</v>
      </c>
      <c r="D6" s="236">
        <f>(RESUMO!C5+RESUMO!D5)*2+(RESUMO!E5+RESUMO!F5)</f>
        <v>0</v>
      </c>
      <c r="E6" s="237">
        <f t="shared" si="0"/>
        <v>0</v>
      </c>
      <c r="F6" s="229"/>
      <c r="G6" s="229"/>
      <c r="H6" s="229"/>
    </row>
    <row r="7" spans="1:8" ht="14.25" customHeight="1" x14ac:dyDescent="0.25">
      <c r="A7" s="238">
        <v>3</v>
      </c>
      <c r="B7" s="238" t="s">
        <v>23</v>
      </c>
      <c r="C7" s="235">
        <v>4.5</v>
      </c>
      <c r="D7" s="236">
        <f>(RESUMO!C6+RESUMO!D6)*2+(RESUMO!E6+RESUMO!F6)</f>
        <v>0</v>
      </c>
      <c r="E7" s="237">
        <f t="shared" si="0"/>
        <v>0</v>
      </c>
      <c r="F7" s="229"/>
      <c r="G7" s="229"/>
      <c r="H7" s="229"/>
    </row>
    <row r="8" spans="1:8" ht="14.25" customHeight="1" x14ac:dyDescent="0.25">
      <c r="A8" s="238">
        <v>4</v>
      </c>
      <c r="B8" s="238" t="s">
        <v>24</v>
      </c>
      <c r="C8" s="239">
        <v>4.5</v>
      </c>
      <c r="D8" s="236">
        <f>(RESUMO!C7+RESUMO!D7)*2+(RESUMO!E7+RESUMO!F7)</f>
        <v>9</v>
      </c>
      <c r="E8" s="237">
        <f t="shared" si="0"/>
        <v>40.5</v>
      </c>
      <c r="F8" s="229"/>
      <c r="G8" s="229"/>
      <c r="H8" s="229"/>
    </row>
    <row r="9" spans="1:8" ht="14.25" customHeight="1" x14ac:dyDescent="0.25">
      <c r="A9" s="238">
        <v>5</v>
      </c>
      <c r="B9" s="238" t="s">
        <v>25</v>
      </c>
      <c r="C9" s="235">
        <v>4.5</v>
      </c>
      <c r="D9" s="236">
        <f>(RESUMO!C8+RESUMO!D8)*2+(RESUMO!E8+RESUMO!F8)</f>
        <v>5</v>
      </c>
      <c r="E9" s="237">
        <f t="shared" si="0"/>
        <v>22.5</v>
      </c>
      <c r="F9" s="229"/>
      <c r="G9" s="229"/>
      <c r="H9" s="229"/>
    </row>
    <row r="10" spans="1:8" ht="14.25" customHeight="1" x14ac:dyDescent="0.25">
      <c r="A10" s="238">
        <v>6</v>
      </c>
      <c r="B10" s="238" t="s">
        <v>26</v>
      </c>
      <c r="C10" s="239">
        <v>4.5</v>
      </c>
      <c r="D10" s="236">
        <f>(RESUMO!C9+RESUMO!D9)*2+(RESUMO!E9+RESUMO!F9)</f>
        <v>8</v>
      </c>
      <c r="E10" s="237">
        <f t="shared" si="0"/>
        <v>36</v>
      </c>
      <c r="F10" s="229"/>
      <c r="G10" s="229"/>
      <c r="H10" s="229"/>
    </row>
    <row r="11" spans="1:8" ht="14.25" customHeight="1" x14ac:dyDescent="0.25">
      <c r="A11" s="238">
        <v>7</v>
      </c>
      <c r="B11" s="238" t="s">
        <v>27</v>
      </c>
      <c r="C11" s="239">
        <v>3.7</v>
      </c>
      <c r="D11" s="236">
        <f>(RESUMO!C10+RESUMO!D10)*2+(RESUMO!E10+RESUMO!F10)</f>
        <v>5</v>
      </c>
      <c r="E11" s="237">
        <f t="shared" si="0"/>
        <v>18.5</v>
      </c>
      <c r="F11" s="229"/>
      <c r="G11" s="229"/>
      <c r="H11" s="229"/>
    </row>
    <row r="12" spans="1:8" ht="14.25" customHeight="1" x14ac:dyDescent="0.25">
      <c r="A12" s="238">
        <v>8</v>
      </c>
      <c r="B12" s="238" t="s">
        <v>28</v>
      </c>
      <c r="C12" s="235">
        <v>4.5</v>
      </c>
      <c r="D12" s="236">
        <f>(RESUMO!C11+RESUMO!D11)*2+(RESUMO!E11+RESUMO!F11)</f>
        <v>3</v>
      </c>
      <c r="E12" s="237">
        <f t="shared" si="0"/>
        <v>13.5</v>
      </c>
      <c r="F12" s="229"/>
      <c r="G12" s="229"/>
      <c r="H12" s="229"/>
    </row>
    <row r="13" spans="1:8" ht="14.25" customHeight="1" x14ac:dyDescent="0.25">
      <c r="A13" s="238">
        <v>9</v>
      </c>
      <c r="B13" s="238" t="s">
        <v>29</v>
      </c>
      <c r="C13" s="239">
        <v>4.5</v>
      </c>
      <c r="D13" s="236">
        <f>(RESUMO!C12+RESUMO!D12)*2+(RESUMO!E12+RESUMO!F12)</f>
        <v>3</v>
      </c>
      <c r="E13" s="237">
        <f t="shared" si="0"/>
        <v>13.5</v>
      </c>
      <c r="F13" s="229"/>
      <c r="G13" s="229"/>
      <c r="H13" s="229"/>
    </row>
    <row r="14" spans="1:8" ht="14.25" customHeight="1" x14ac:dyDescent="0.25">
      <c r="A14" s="238">
        <v>10</v>
      </c>
      <c r="B14" s="238" t="s">
        <v>30</v>
      </c>
      <c r="C14" s="235">
        <v>4.5</v>
      </c>
      <c r="D14" s="236">
        <f>(RESUMO!C13+RESUMO!D13)*2+(RESUMO!E13+RESUMO!F13)</f>
        <v>3</v>
      </c>
      <c r="E14" s="237">
        <f t="shared" si="0"/>
        <v>13.5</v>
      </c>
      <c r="F14" s="229"/>
      <c r="G14" s="229"/>
      <c r="H14" s="229"/>
    </row>
    <row r="15" spans="1:8" ht="14.25" customHeight="1" x14ac:dyDescent="0.25">
      <c r="A15" s="238">
        <v>11</v>
      </c>
      <c r="B15" s="238" t="s">
        <v>31</v>
      </c>
      <c r="C15" s="239">
        <v>4.5</v>
      </c>
      <c r="D15" s="236">
        <f>(RESUMO!C14+RESUMO!D14)*2+(RESUMO!E14+RESUMO!F14)</f>
        <v>1</v>
      </c>
      <c r="E15" s="237">
        <f t="shared" si="0"/>
        <v>4.5</v>
      </c>
      <c r="F15" s="229"/>
      <c r="G15" s="229"/>
      <c r="H15" s="229"/>
    </row>
    <row r="16" spans="1:8" ht="14.25" customHeight="1" x14ac:dyDescent="0.25">
      <c r="A16" s="238">
        <v>12</v>
      </c>
      <c r="B16" s="238" t="s">
        <v>32</v>
      </c>
      <c r="C16" s="235">
        <v>4.5</v>
      </c>
      <c r="D16" s="236">
        <f>(RESUMO!C15+RESUMO!D15)*2+(RESUMO!E15+RESUMO!F15)</f>
        <v>2</v>
      </c>
      <c r="E16" s="237">
        <f t="shared" si="0"/>
        <v>9</v>
      </c>
      <c r="F16" s="229"/>
      <c r="G16" s="229"/>
      <c r="H16" s="229"/>
    </row>
    <row r="17" spans="1:8" ht="14.25" customHeight="1" x14ac:dyDescent="0.25">
      <c r="A17" s="238">
        <v>13</v>
      </c>
      <c r="B17" s="238" t="s">
        <v>33</v>
      </c>
      <c r="C17" s="239">
        <v>4.5</v>
      </c>
      <c r="D17" s="236">
        <f>(RESUMO!C16+RESUMO!D16)*2+(RESUMO!E16+RESUMO!F16)</f>
        <v>2</v>
      </c>
      <c r="E17" s="237">
        <f t="shared" si="0"/>
        <v>9</v>
      </c>
      <c r="F17" s="229"/>
      <c r="G17" s="229"/>
      <c r="H17" s="229"/>
    </row>
    <row r="18" spans="1:8" ht="14.25" customHeight="1" x14ac:dyDescent="0.25">
      <c r="A18" s="238">
        <v>14</v>
      </c>
      <c r="B18" s="238" t="s">
        <v>34</v>
      </c>
      <c r="C18" s="235">
        <v>3.95</v>
      </c>
      <c r="D18" s="236">
        <f>(RESUMO!C17+RESUMO!D17)*2+(RESUMO!E17+RESUMO!F17)</f>
        <v>1</v>
      </c>
      <c r="E18" s="237">
        <f t="shared" si="0"/>
        <v>3.95</v>
      </c>
      <c r="F18" s="229"/>
      <c r="G18" s="229"/>
      <c r="H18" s="229"/>
    </row>
    <row r="19" spans="1:8" ht="14.25" customHeight="1" x14ac:dyDescent="0.25">
      <c r="A19" s="238">
        <v>15</v>
      </c>
      <c r="B19" s="238" t="s">
        <v>35</v>
      </c>
      <c r="C19" s="239">
        <v>6.5</v>
      </c>
      <c r="D19" s="236">
        <f>(RESUMO!C18+RESUMO!D18)*2+(RESUMO!E18+RESUMO!F18)</f>
        <v>1</v>
      </c>
      <c r="E19" s="237">
        <f t="shared" si="0"/>
        <v>6.5</v>
      </c>
      <c r="F19" s="229"/>
      <c r="G19" s="229"/>
      <c r="H19" s="229"/>
    </row>
    <row r="20" spans="1:8" ht="14.25" customHeight="1" x14ac:dyDescent="0.25">
      <c r="A20" s="238">
        <v>16</v>
      </c>
      <c r="B20" s="238" t="s">
        <v>36</v>
      </c>
      <c r="C20" s="235">
        <v>4.75</v>
      </c>
      <c r="D20" s="236">
        <f>(RESUMO!C19+RESUMO!D19)*2+(RESUMO!E19+RESUMO!F19)</f>
        <v>1</v>
      </c>
      <c r="E20" s="237">
        <f t="shared" si="0"/>
        <v>4.75</v>
      </c>
      <c r="F20" s="229"/>
      <c r="G20" s="229"/>
      <c r="H20" s="229"/>
    </row>
    <row r="21" spans="1:8" ht="14.25" customHeight="1" x14ac:dyDescent="0.25">
      <c r="A21" s="229">
        <v>17</v>
      </c>
      <c r="B21" s="229" t="s">
        <v>37</v>
      </c>
      <c r="C21" s="239">
        <v>4.0999999999999996</v>
      </c>
      <c r="D21" s="236">
        <f>(RESUMO!C20+RESUMO!D20)*2+(RESUMO!E20+RESUMO!F20)</f>
        <v>2</v>
      </c>
      <c r="E21" s="237">
        <f t="shared" si="0"/>
        <v>8.1999999999999993</v>
      </c>
      <c r="F21" s="229"/>
      <c r="G21" s="229"/>
      <c r="H21" s="229"/>
    </row>
    <row r="22" spans="1:8" ht="14.25" customHeight="1" x14ac:dyDescent="0.25">
      <c r="A22" s="238">
        <v>18</v>
      </c>
      <c r="B22" s="238" t="s">
        <v>38</v>
      </c>
      <c r="C22" s="235">
        <v>3</v>
      </c>
      <c r="D22" s="236">
        <f>(RESUMO!C21+RESUMO!D21)*2+(RESUMO!E21+RESUMO!F21)</f>
        <v>3</v>
      </c>
      <c r="E22" s="237">
        <f t="shared" si="0"/>
        <v>9</v>
      </c>
      <c r="F22" s="229"/>
      <c r="G22" s="229"/>
      <c r="H22" s="229"/>
    </row>
    <row r="23" spans="1:8" ht="14.25" customHeight="1" x14ac:dyDescent="0.25">
      <c r="A23" s="238">
        <v>19</v>
      </c>
      <c r="B23" s="238" t="s">
        <v>39</v>
      </c>
      <c r="C23" s="239">
        <v>4.0999999999999996</v>
      </c>
      <c r="D23" s="236">
        <f>(RESUMO!C22+RESUMO!D22)*2+(RESUMO!E22+RESUMO!F22)</f>
        <v>4</v>
      </c>
      <c r="E23" s="237">
        <f t="shared" si="0"/>
        <v>16.399999999999999</v>
      </c>
      <c r="F23" s="229"/>
      <c r="G23" s="229"/>
      <c r="H23" s="229"/>
    </row>
    <row r="24" spans="1:8" ht="14.25" customHeight="1" x14ac:dyDescent="0.25">
      <c r="A24" s="238">
        <v>20</v>
      </c>
      <c r="B24" s="238" t="s">
        <v>40</v>
      </c>
      <c r="C24" s="235">
        <v>3.95</v>
      </c>
      <c r="D24" s="236">
        <f>(RESUMO!C23+RESUMO!D23)*2+(RESUMO!E23+RESUMO!F23)</f>
        <v>5</v>
      </c>
      <c r="E24" s="237">
        <f t="shared" si="0"/>
        <v>19.75</v>
      </c>
      <c r="F24" s="229"/>
      <c r="G24" s="229"/>
      <c r="H24" s="229"/>
    </row>
    <row r="25" spans="1:8" ht="14.25" customHeight="1" x14ac:dyDescent="0.25">
      <c r="A25" s="238">
        <v>21</v>
      </c>
      <c r="B25" s="238" t="s">
        <v>41</v>
      </c>
      <c r="C25" s="239">
        <v>3.65</v>
      </c>
      <c r="D25" s="236">
        <f>(RESUMO!C24+RESUMO!D24)*2+(RESUMO!E24+RESUMO!F24)</f>
        <v>5</v>
      </c>
      <c r="E25" s="237">
        <f t="shared" si="0"/>
        <v>18.25</v>
      </c>
      <c r="F25" s="229"/>
      <c r="G25" s="229"/>
      <c r="H25" s="229"/>
    </row>
    <row r="26" spans="1:8" ht="14.25" customHeight="1" x14ac:dyDescent="0.25">
      <c r="A26" s="238">
        <v>22</v>
      </c>
      <c r="B26" s="238" t="s">
        <v>42</v>
      </c>
      <c r="C26" s="235">
        <v>3.8</v>
      </c>
      <c r="D26" s="236">
        <f>(RESUMO!C25+RESUMO!D25)*2+(RESUMO!E25+RESUMO!F25)</f>
        <v>3</v>
      </c>
      <c r="E26" s="237">
        <f t="shared" si="0"/>
        <v>11.399999999999999</v>
      </c>
      <c r="F26" s="229"/>
      <c r="G26" s="229"/>
      <c r="H26" s="229"/>
    </row>
    <row r="27" spans="1:8" ht="14.25" customHeight="1" x14ac:dyDescent="0.25">
      <c r="A27" s="238">
        <v>23</v>
      </c>
      <c r="B27" s="238" t="s">
        <v>43</v>
      </c>
      <c r="C27" s="239">
        <v>3.5</v>
      </c>
      <c r="D27" s="236">
        <f>(RESUMO!C26+RESUMO!D26)*2+(RESUMO!E26+RESUMO!F26)</f>
        <v>4</v>
      </c>
      <c r="E27" s="237">
        <f t="shared" si="0"/>
        <v>14</v>
      </c>
      <c r="F27" s="229"/>
      <c r="G27" s="229"/>
      <c r="H27" s="229"/>
    </row>
    <row r="28" spans="1:8" ht="14.25" customHeight="1" x14ac:dyDescent="0.25">
      <c r="A28" s="238">
        <v>24</v>
      </c>
      <c r="B28" s="238" t="s">
        <v>44</v>
      </c>
      <c r="C28" s="235" t="s">
        <v>280</v>
      </c>
      <c r="D28" s="236"/>
      <c r="E28" s="237"/>
      <c r="F28" s="229"/>
      <c r="G28" s="229"/>
      <c r="H28" s="229"/>
    </row>
    <row r="29" spans="1:8" ht="14.25" customHeight="1" x14ac:dyDescent="0.25">
      <c r="A29" s="238">
        <v>25</v>
      </c>
      <c r="B29" s="238" t="s">
        <v>45</v>
      </c>
      <c r="C29" s="239">
        <v>4.05</v>
      </c>
      <c r="D29" s="236">
        <f>(RESUMO!C28+RESUMO!D28)*2+(RESUMO!E28+RESUMO!F28)</f>
        <v>4</v>
      </c>
      <c r="E29" s="237">
        <f>C29*D29</f>
        <v>16.2</v>
      </c>
      <c r="F29" s="229"/>
      <c r="G29" s="229"/>
      <c r="H29" s="229"/>
    </row>
    <row r="30" spans="1:8" ht="14.25" customHeight="1" x14ac:dyDescent="0.25">
      <c r="A30" s="238">
        <v>26</v>
      </c>
      <c r="B30" s="238" t="s">
        <v>46</v>
      </c>
      <c r="C30" s="235">
        <v>3.07</v>
      </c>
      <c r="D30" s="236">
        <f>(RESUMO!C29+RESUMO!D29)*2+(RESUMO!E29+RESUMO!F29)</f>
        <v>2</v>
      </c>
      <c r="E30" s="237">
        <f>C30*D30</f>
        <v>6.14</v>
      </c>
      <c r="F30" s="229"/>
      <c r="G30" s="229"/>
      <c r="H30" s="229"/>
    </row>
    <row r="31" spans="1:8" ht="14.25" customHeight="1" x14ac:dyDescent="0.25">
      <c r="A31" s="238">
        <v>27</v>
      </c>
      <c r="B31" s="238" t="s">
        <v>47</v>
      </c>
      <c r="C31" s="239" t="s">
        <v>280</v>
      </c>
      <c r="D31" s="236"/>
      <c r="E31" s="237"/>
      <c r="F31" s="229"/>
      <c r="G31" s="229"/>
      <c r="H31" s="229"/>
    </row>
    <row r="32" spans="1:8" ht="14.25" customHeight="1" x14ac:dyDescent="0.25">
      <c r="A32" s="238">
        <v>28</v>
      </c>
      <c r="B32" s="238" t="s">
        <v>48</v>
      </c>
      <c r="C32" s="235">
        <v>2.95</v>
      </c>
      <c r="D32" s="236">
        <f>(RESUMO!C31+RESUMO!D31)*2+(RESUMO!E31+RESUMO!F31)</f>
        <v>3</v>
      </c>
      <c r="E32" s="237">
        <f>C32*D32</f>
        <v>8.8500000000000014</v>
      </c>
      <c r="F32" s="229"/>
      <c r="G32" s="229"/>
      <c r="H32" s="229"/>
    </row>
    <row r="33" spans="1:8" ht="14.25" customHeight="1" x14ac:dyDescent="0.25">
      <c r="A33" s="238">
        <v>29</v>
      </c>
      <c r="B33" s="238" t="s">
        <v>49</v>
      </c>
      <c r="C33" s="239">
        <v>4</v>
      </c>
      <c r="D33" s="236">
        <f>(RESUMO!C32+RESUMO!D32)*2+(RESUMO!E32+RESUMO!F32)</f>
        <v>2</v>
      </c>
      <c r="E33" s="237">
        <f>C33*D33</f>
        <v>8</v>
      </c>
      <c r="F33" s="229"/>
      <c r="G33" s="229"/>
      <c r="H33" s="229"/>
    </row>
    <row r="34" spans="1:8" ht="14.25" customHeight="1" x14ac:dyDescent="0.25">
      <c r="A34" s="238">
        <v>30</v>
      </c>
      <c r="B34" s="238" t="s">
        <v>50</v>
      </c>
      <c r="C34" s="235" t="s">
        <v>280</v>
      </c>
      <c r="D34" s="236"/>
      <c r="E34" s="237"/>
      <c r="F34" s="229"/>
      <c r="G34" s="229"/>
      <c r="H34" s="229"/>
    </row>
    <row r="35" spans="1:8" ht="14.25" customHeight="1" x14ac:dyDescent="0.25">
      <c r="A35" s="238">
        <v>31</v>
      </c>
      <c r="B35" s="238" t="s">
        <v>51</v>
      </c>
      <c r="C35" s="239">
        <v>3</v>
      </c>
      <c r="D35" s="236">
        <f>(RESUMO!C34+RESUMO!D34)*2+(RESUMO!E34+RESUMO!F34)</f>
        <v>2</v>
      </c>
      <c r="E35" s="237">
        <f>C35*D35</f>
        <v>6</v>
      </c>
      <c r="F35" s="229"/>
      <c r="G35" s="229"/>
      <c r="H35" s="229"/>
    </row>
    <row r="36" spans="1:8" ht="14.25" customHeight="1" x14ac:dyDescent="0.25">
      <c r="A36" s="238">
        <v>32</v>
      </c>
      <c r="B36" s="238" t="s">
        <v>52</v>
      </c>
      <c r="C36" s="235" t="s">
        <v>280</v>
      </c>
      <c r="D36" s="236"/>
      <c r="E36" s="237"/>
      <c r="F36" s="229"/>
      <c r="G36" s="229"/>
      <c r="H36" s="229"/>
    </row>
    <row r="37" spans="1:8" ht="14.25" customHeight="1" x14ac:dyDescent="0.25">
      <c r="A37" s="238">
        <v>33</v>
      </c>
      <c r="B37" s="238" t="s">
        <v>53</v>
      </c>
      <c r="C37" s="239">
        <v>2.6</v>
      </c>
      <c r="D37" s="236">
        <f>(RESUMO!C36+RESUMO!D36)*2+(RESUMO!E36+RESUMO!F36)</f>
        <v>1</v>
      </c>
      <c r="E37" s="237">
        <f>C37*D37</f>
        <v>2.6</v>
      </c>
      <c r="F37" s="229"/>
      <c r="G37" s="229"/>
      <c r="H37" s="229"/>
    </row>
    <row r="38" spans="1:8" ht="14.25" customHeight="1" x14ac:dyDescent="0.25">
      <c r="A38" s="238">
        <v>34</v>
      </c>
      <c r="B38" s="238" t="s">
        <v>54</v>
      </c>
      <c r="C38" s="235" t="s">
        <v>280</v>
      </c>
      <c r="D38" s="236"/>
      <c r="E38" s="237"/>
      <c r="F38" s="229"/>
      <c r="G38" s="229"/>
      <c r="H38" s="229"/>
    </row>
    <row r="39" spans="1:8" ht="14.25" customHeight="1" x14ac:dyDescent="0.25">
      <c r="A39" s="238">
        <v>35</v>
      </c>
      <c r="B39" s="238" t="s">
        <v>55</v>
      </c>
      <c r="C39" s="239" t="s">
        <v>280</v>
      </c>
      <c r="D39" s="236"/>
      <c r="E39" s="237"/>
      <c r="F39" s="229"/>
      <c r="G39" s="229"/>
      <c r="H39" s="229"/>
    </row>
    <row r="40" spans="1:8" ht="14.25" customHeight="1" x14ac:dyDescent="0.25">
      <c r="A40" s="229">
        <v>36</v>
      </c>
      <c r="B40" s="229" t="s">
        <v>56</v>
      </c>
      <c r="C40" s="239">
        <v>4.25</v>
      </c>
      <c r="D40" s="236">
        <f>(RESUMO!C39+RESUMO!D39)*2+(RESUMO!E39+RESUMO!F39)</f>
        <v>4</v>
      </c>
      <c r="E40" s="237">
        <f>C40*D40</f>
        <v>17</v>
      </c>
      <c r="F40" s="229"/>
      <c r="G40" s="229"/>
      <c r="H40" s="229"/>
    </row>
    <row r="41" spans="1:8" ht="14.25" customHeight="1" x14ac:dyDescent="0.25">
      <c r="A41" s="238">
        <v>37</v>
      </c>
      <c r="B41" s="238" t="s">
        <v>57</v>
      </c>
      <c r="C41" s="235">
        <v>3.6</v>
      </c>
      <c r="D41" s="236">
        <f>(RESUMO!C40+RESUMO!D40)*2+(RESUMO!E40+RESUMO!F40)</f>
        <v>5</v>
      </c>
      <c r="E41" s="237">
        <f>C41*D41</f>
        <v>18</v>
      </c>
      <c r="F41" s="229"/>
      <c r="G41" s="229"/>
      <c r="H41" s="229"/>
    </row>
    <row r="42" spans="1:8" ht="14.25" customHeight="1" x14ac:dyDescent="0.25">
      <c r="A42" s="238">
        <v>38</v>
      </c>
      <c r="B42" s="238" t="s">
        <v>58</v>
      </c>
      <c r="C42" s="239">
        <v>4.75</v>
      </c>
      <c r="D42" s="236">
        <f>(RESUMO!C41+RESUMO!D41)*2+(RESUMO!E41+RESUMO!F41)</f>
        <v>5</v>
      </c>
      <c r="E42" s="237">
        <f>C42*D42</f>
        <v>23.75</v>
      </c>
      <c r="F42" s="229"/>
      <c r="G42" s="229"/>
      <c r="H42" s="229"/>
    </row>
    <row r="43" spans="1:8" ht="14.25" customHeight="1" x14ac:dyDescent="0.25">
      <c r="A43" s="238">
        <v>39</v>
      </c>
      <c r="B43" s="238" t="s">
        <v>59</v>
      </c>
      <c r="C43" s="235">
        <v>3.5</v>
      </c>
      <c r="D43" s="236">
        <f>(RESUMO!C42+RESUMO!D42)*2+(RESUMO!E42+RESUMO!F42)</f>
        <v>1</v>
      </c>
      <c r="E43" s="237">
        <f>C43*D43</f>
        <v>3.5</v>
      </c>
      <c r="F43" s="229"/>
      <c r="G43" s="229"/>
      <c r="H43" s="229"/>
    </row>
    <row r="44" spans="1:8" ht="14.25" customHeight="1" x14ac:dyDescent="0.25">
      <c r="A44" s="238">
        <v>40</v>
      </c>
      <c r="B44" s="238" t="s">
        <v>60</v>
      </c>
      <c r="C44" s="239" t="s">
        <v>280</v>
      </c>
      <c r="D44" s="236"/>
      <c r="E44" s="237"/>
      <c r="F44" s="229"/>
      <c r="G44" s="229"/>
      <c r="H44" s="229"/>
    </row>
    <row r="45" spans="1:8" ht="14.25" customHeight="1" x14ac:dyDescent="0.25">
      <c r="A45" s="238">
        <v>41</v>
      </c>
      <c r="B45" s="238" t="s">
        <v>61</v>
      </c>
      <c r="C45" s="235">
        <v>4.25</v>
      </c>
      <c r="D45" s="236">
        <f>(RESUMO!C44+RESUMO!D44)*2+(RESUMO!E44+RESUMO!F44)</f>
        <v>2</v>
      </c>
      <c r="E45" s="237">
        <f>C45*D45</f>
        <v>8.5</v>
      </c>
      <c r="F45" s="229"/>
      <c r="G45" s="229"/>
      <c r="H45" s="229"/>
    </row>
    <row r="46" spans="1:8" ht="14.25" customHeight="1" x14ac:dyDescent="0.25">
      <c r="A46" s="238">
        <v>42</v>
      </c>
      <c r="B46" s="238" t="s">
        <v>62</v>
      </c>
      <c r="C46" s="239" t="s">
        <v>280</v>
      </c>
      <c r="D46" s="236"/>
      <c r="E46" s="237"/>
      <c r="F46" s="229"/>
      <c r="G46" s="229"/>
      <c r="H46" s="229"/>
    </row>
    <row r="47" spans="1:8" ht="14.25" customHeight="1" x14ac:dyDescent="0.25">
      <c r="A47" s="238">
        <v>43</v>
      </c>
      <c r="B47" s="238" t="s">
        <v>63</v>
      </c>
      <c r="C47" s="235" t="s">
        <v>280</v>
      </c>
      <c r="D47" s="236"/>
      <c r="E47" s="237"/>
      <c r="F47" s="229"/>
      <c r="G47" s="229"/>
      <c r="H47" s="229"/>
    </row>
    <row r="48" spans="1:8" ht="14.25" customHeight="1" x14ac:dyDescent="0.25">
      <c r="A48" s="238">
        <v>44</v>
      </c>
      <c r="B48" s="238" t="s">
        <v>64</v>
      </c>
      <c r="C48" s="239">
        <v>2.5</v>
      </c>
      <c r="D48" s="236">
        <f>(RESUMO!C47+RESUMO!D47)*2+(RESUMO!E47+RESUMO!F47)</f>
        <v>1</v>
      </c>
      <c r="E48" s="237">
        <f t="shared" ref="E48:E57" si="1">C48*D48</f>
        <v>2.5</v>
      </c>
      <c r="F48" s="229"/>
      <c r="G48" s="229"/>
      <c r="H48" s="229"/>
    </row>
    <row r="49" spans="1:8" ht="14.25" customHeight="1" x14ac:dyDescent="0.25">
      <c r="A49" s="238">
        <v>45</v>
      </c>
      <c r="B49" s="238" t="s">
        <v>65</v>
      </c>
      <c r="C49" s="235">
        <v>4.25</v>
      </c>
      <c r="D49" s="236">
        <f>(RESUMO!C48+RESUMO!D48)*2+(RESUMO!E48+RESUMO!F48)</f>
        <v>1</v>
      </c>
      <c r="E49" s="237">
        <f t="shared" si="1"/>
        <v>4.25</v>
      </c>
      <c r="F49" s="229"/>
      <c r="G49" s="229"/>
      <c r="H49" s="229"/>
    </row>
    <row r="50" spans="1:8" ht="14.25" customHeight="1" x14ac:dyDescent="0.25">
      <c r="A50" s="238">
        <v>46</v>
      </c>
      <c r="B50" s="238" t="s">
        <v>66</v>
      </c>
      <c r="C50" s="239">
        <v>4.25</v>
      </c>
      <c r="D50" s="236">
        <f>(RESUMO!C49+RESUMO!D49)*2+(RESUMO!E49+RESUMO!F49)</f>
        <v>4</v>
      </c>
      <c r="E50" s="237">
        <f t="shared" si="1"/>
        <v>17</v>
      </c>
      <c r="F50" s="229"/>
      <c r="G50" s="229"/>
      <c r="H50" s="229"/>
    </row>
    <row r="51" spans="1:8" ht="14.25" customHeight="1" x14ac:dyDescent="0.25">
      <c r="A51" s="238">
        <v>47</v>
      </c>
      <c r="B51" s="238" t="s">
        <v>67</v>
      </c>
      <c r="C51" s="235">
        <v>3.5</v>
      </c>
      <c r="D51" s="236">
        <f>(RESUMO!C50+RESUMO!D50)*2+(RESUMO!E50+RESUMO!F50)</f>
        <v>1</v>
      </c>
      <c r="E51" s="237">
        <f t="shared" si="1"/>
        <v>3.5</v>
      </c>
      <c r="F51" s="229"/>
      <c r="G51" s="229"/>
      <c r="H51" s="229"/>
    </row>
    <row r="52" spans="1:8" ht="14.25" customHeight="1" x14ac:dyDescent="0.25">
      <c r="A52" s="238">
        <v>48</v>
      </c>
      <c r="B52" s="238" t="s">
        <v>68</v>
      </c>
      <c r="C52" s="239">
        <v>3.5</v>
      </c>
      <c r="D52" s="236">
        <f>(RESUMO!C51+RESUMO!D51)*2+(RESUMO!E51+RESUMO!F51)</f>
        <v>2</v>
      </c>
      <c r="E52" s="237">
        <f t="shared" si="1"/>
        <v>7</v>
      </c>
      <c r="F52" s="229"/>
      <c r="G52" s="229"/>
      <c r="H52" s="229"/>
    </row>
    <row r="53" spans="1:8" ht="14.25" customHeight="1" x14ac:dyDescent="0.25">
      <c r="A53" s="238">
        <v>49</v>
      </c>
      <c r="B53" s="238" t="s">
        <v>69</v>
      </c>
      <c r="C53" s="235">
        <v>4.25</v>
      </c>
      <c r="D53" s="236">
        <f>(RESUMO!C52+RESUMO!D52)*2+(RESUMO!E52+RESUMO!F52)</f>
        <v>1</v>
      </c>
      <c r="E53" s="237">
        <f t="shared" si="1"/>
        <v>4.25</v>
      </c>
      <c r="F53" s="229"/>
      <c r="G53" s="229"/>
      <c r="H53" s="229"/>
    </row>
    <row r="54" spans="1:8" ht="14.25" customHeight="1" x14ac:dyDescent="0.25">
      <c r="A54" s="229">
        <v>50</v>
      </c>
      <c r="B54" s="229" t="s">
        <v>70</v>
      </c>
      <c r="C54" s="235">
        <v>5</v>
      </c>
      <c r="D54" s="236">
        <f>(RESUMO!C53+RESUMO!D53)*2+(RESUMO!E53+RESUMO!F53)</f>
        <v>2</v>
      </c>
      <c r="E54" s="237">
        <f t="shared" si="1"/>
        <v>10</v>
      </c>
      <c r="F54" s="229"/>
      <c r="G54" s="229"/>
      <c r="H54" s="229"/>
    </row>
    <row r="55" spans="1:8" ht="14.25" customHeight="1" x14ac:dyDescent="0.25">
      <c r="A55" s="238">
        <v>51</v>
      </c>
      <c r="B55" s="238" t="s">
        <v>71</v>
      </c>
      <c r="C55" s="239">
        <v>3</v>
      </c>
      <c r="D55" s="236">
        <f>(RESUMO!C54+RESUMO!D54)*2+(RESUMO!E54+RESUMO!F54)</f>
        <v>2</v>
      </c>
      <c r="E55" s="237">
        <f t="shared" si="1"/>
        <v>6</v>
      </c>
      <c r="F55" s="229"/>
      <c r="G55" s="229"/>
      <c r="H55" s="229"/>
    </row>
    <row r="56" spans="1:8" ht="14.25" customHeight="1" x14ac:dyDescent="0.25">
      <c r="A56" s="238">
        <v>52</v>
      </c>
      <c r="B56" s="238" t="s">
        <v>72</v>
      </c>
      <c r="C56" s="235">
        <v>3</v>
      </c>
      <c r="D56" s="236">
        <f>(RESUMO!C55+RESUMO!D55)*2+(RESUMO!E55+RESUMO!F55)</f>
        <v>3</v>
      </c>
      <c r="E56" s="237">
        <f t="shared" si="1"/>
        <v>9</v>
      </c>
      <c r="F56" s="229"/>
      <c r="G56" s="229"/>
      <c r="H56" s="229"/>
    </row>
    <row r="57" spans="1:8" ht="14.25" customHeight="1" x14ac:dyDescent="0.25">
      <c r="A57" s="238">
        <v>53</v>
      </c>
      <c r="B57" s="238" t="s">
        <v>73</v>
      </c>
      <c r="C57" s="239">
        <v>2.4</v>
      </c>
      <c r="D57" s="236">
        <f>(RESUMO!C56+RESUMO!D56)*2+(RESUMO!E56+RESUMO!F56)</f>
        <v>3</v>
      </c>
      <c r="E57" s="237">
        <f t="shared" si="1"/>
        <v>7.1999999999999993</v>
      </c>
      <c r="F57" s="229"/>
      <c r="G57" s="229"/>
      <c r="H57" s="229"/>
    </row>
    <row r="58" spans="1:8" ht="14.25" customHeight="1" x14ac:dyDescent="0.25">
      <c r="A58" s="238">
        <v>54</v>
      </c>
      <c r="B58" s="238" t="s">
        <v>74</v>
      </c>
      <c r="C58" s="235" t="s">
        <v>280</v>
      </c>
      <c r="D58" s="236"/>
      <c r="E58" s="237"/>
      <c r="F58" s="229"/>
      <c r="G58" s="229"/>
      <c r="H58" s="229"/>
    </row>
    <row r="59" spans="1:8" ht="14.25" customHeight="1" x14ac:dyDescent="0.25">
      <c r="A59" s="238">
        <v>55</v>
      </c>
      <c r="B59" s="238" t="s">
        <v>75</v>
      </c>
      <c r="C59" s="239">
        <v>5</v>
      </c>
      <c r="D59" s="236">
        <f>(RESUMO!C58+RESUMO!D58)*2+(RESUMO!E58+RESUMO!F58)</f>
        <v>7</v>
      </c>
      <c r="E59" s="237">
        <f>C59*D59</f>
        <v>35</v>
      </c>
      <c r="F59" s="229"/>
      <c r="G59" s="229"/>
      <c r="H59" s="229"/>
    </row>
    <row r="60" spans="1:8" ht="14.25" customHeight="1" x14ac:dyDescent="0.25">
      <c r="A60" s="238">
        <v>56</v>
      </c>
      <c r="B60" s="238" t="s">
        <v>76</v>
      </c>
      <c r="C60" s="235">
        <v>3.93</v>
      </c>
      <c r="D60" s="236">
        <f>(RESUMO!C59+RESUMO!D59)*2+(RESUMO!E59+RESUMO!F59)</f>
        <v>6</v>
      </c>
      <c r="E60" s="237">
        <f>C60*D60</f>
        <v>23.580000000000002</v>
      </c>
      <c r="F60" s="229"/>
      <c r="G60" s="229"/>
      <c r="H60" s="229"/>
    </row>
    <row r="61" spans="1:8" ht="14.25" customHeight="1" x14ac:dyDescent="0.25">
      <c r="A61" s="238">
        <v>57</v>
      </c>
      <c r="B61" s="238" t="s">
        <v>77</v>
      </c>
      <c r="C61" s="239">
        <v>4.4000000000000004</v>
      </c>
      <c r="D61" s="236">
        <f>(RESUMO!C60+RESUMO!D60)*2+(RESUMO!E60+RESUMO!F60)</f>
        <v>4</v>
      </c>
      <c r="E61" s="237">
        <f>C61*D61</f>
        <v>17.600000000000001</v>
      </c>
      <c r="F61" s="229"/>
      <c r="G61" s="229"/>
      <c r="H61" s="229"/>
    </row>
    <row r="62" spans="1:8" ht="14.25" customHeight="1" x14ac:dyDescent="0.25">
      <c r="A62" s="238">
        <v>58</v>
      </c>
      <c r="B62" s="238" t="s">
        <v>78</v>
      </c>
      <c r="C62" s="235" t="s">
        <v>280</v>
      </c>
      <c r="D62" s="236"/>
      <c r="E62" s="237"/>
      <c r="F62" s="229"/>
      <c r="G62" s="229"/>
      <c r="H62" s="229"/>
    </row>
    <row r="63" spans="1:8" ht="14.25" customHeight="1" x14ac:dyDescent="0.25">
      <c r="A63" s="238">
        <v>59</v>
      </c>
      <c r="B63" s="238" t="s">
        <v>79</v>
      </c>
      <c r="C63" s="239">
        <v>4.1500000000000004</v>
      </c>
      <c r="D63" s="236">
        <f>(RESUMO!C62+RESUMO!D62)*2+(RESUMO!E62+RESUMO!F62)</f>
        <v>2</v>
      </c>
      <c r="E63" s="237">
        <f>C63*D63</f>
        <v>8.3000000000000007</v>
      </c>
      <c r="F63" s="229"/>
      <c r="G63" s="229"/>
      <c r="H63" s="229"/>
    </row>
    <row r="64" spans="1:8" ht="14.25" customHeight="1" x14ac:dyDescent="0.25">
      <c r="A64" s="238">
        <v>60</v>
      </c>
      <c r="B64" s="238" t="s">
        <v>80</v>
      </c>
      <c r="C64" s="235" t="s">
        <v>280</v>
      </c>
      <c r="D64" s="236"/>
      <c r="E64" s="237"/>
      <c r="F64" s="229"/>
      <c r="G64" s="229"/>
      <c r="H64" s="229"/>
    </row>
    <row r="65" spans="1:8" ht="14.25" customHeight="1" x14ac:dyDescent="0.25">
      <c r="A65" s="238">
        <v>61</v>
      </c>
      <c r="B65" s="238" t="s">
        <v>81</v>
      </c>
      <c r="C65" s="239" t="s">
        <v>280</v>
      </c>
      <c r="D65" s="236"/>
      <c r="E65" s="237"/>
      <c r="F65" s="229"/>
      <c r="G65" s="229"/>
      <c r="H65" s="229"/>
    </row>
    <row r="66" spans="1:8" ht="14.25" customHeight="1" x14ac:dyDescent="0.25">
      <c r="A66" s="238">
        <v>62</v>
      </c>
      <c r="B66" s="238" t="s">
        <v>82</v>
      </c>
      <c r="C66" s="235" t="s">
        <v>280</v>
      </c>
      <c r="D66" s="236"/>
      <c r="E66" s="237"/>
      <c r="F66" s="229"/>
      <c r="G66" s="229"/>
      <c r="H66" s="229"/>
    </row>
    <row r="67" spans="1:8" ht="14.25" customHeight="1" x14ac:dyDescent="0.25">
      <c r="A67" s="238">
        <v>63</v>
      </c>
      <c r="B67" s="238" t="s">
        <v>83</v>
      </c>
      <c r="C67" s="239">
        <v>3.7</v>
      </c>
      <c r="D67" s="236">
        <f>(RESUMO!C66+RESUMO!D66)*2+(RESUMO!E66+RESUMO!F66)</f>
        <v>2</v>
      </c>
      <c r="E67" s="237">
        <f t="shared" ref="E67:E79" si="2">C67*D67</f>
        <v>7.4</v>
      </c>
      <c r="F67" s="229"/>
      <c r="G67" s="229"/>
      <c r="H67" s="229"/>
    </row>
    <row r="68" spans="1:8" ht="14.25" customHeight="1" x14ac:dyDescent="0.25">
      <c r="A68" s="238">
        <v>64</v>
      </c>
      <c r="B68" s="238" t="s">
        <v>84</v>
      </c>
      <c r="C68" s="235">
        <v>5</v>
      </c>
      <c r="D68" s="236">
        <f>(RESUMO!C67+RESUMO!D67)*2+(RESUMO!E67+RESUMO!F67)</f>
        <v>1</v>
      </c>
      <c r="E68" s="237">
        <f t="shared" si="2"/>
        <v>5</v>
      </c>
      <c r="F68" s="229"/>
      <c r="G68" s="229"/>
      <c r="H68" s="229"/>
    </row>
    <row r="69" spans="1:8" ht="14.25" customHeight="1" x14ac:dyDescent="0.25">
      <c r="A69" s="229">
        <v>65</v>
      </c>
      <c r="B69" s="229" t="s">
        <v>85</v>
      </c>
      <c r="C69" s="235">
        <v>4.3</v>
      </c>
      <c r="D69" s="236">
        <f>(RESUMO!C68+RESUMO!D68)*2+(RESUMO!E68+RESUMO!F68)</f>
        <v>4</v>
      </c>
      <c r="E69" s="237">
        <f t="shared" si="2"/>
        <v>17.2</v>
      </c>
      <c r="F69" s="229"/>
      <c r="G69" s="229"/>
      <c r="H69" s="229"/>
    </row>
    <row r="70" spans="1:8" ht="14.25" customHeight="1" x14ac:dyDescent="0.25">
      <c r="A70" s="238">
        <v>66</v>
      </c>
      <c r="B70" s="238" t="s">
        <v>22</v>
      </c>
      <c r="C70" s="239">
        <v>4.3</v>
      </c>
      <c r="D70" s="236">
        <f>(RESUMO!C69+RESUMO!D69)*2+(RESUMO!E69+RESUMO!F69)</f>
        <v>0</v>
      </c>
      <c r="E70" s="237">
        <f t="shared" si="2"/>
        <v>0</v>
      </c>
      <c r="F70" s="229"/>
      <c r="G70" s="229"/>
      <c r="H70" s="229"/>
    </row>
    <row r="71" spans="1:8" ht="14.25" customHeight="1" x14ac:dyDescent="0.25">
      <c r="A71" s="238">
        <v>67</v>
      </c>
      <c r="B71" s="238" t="s">
        <v>86</v>
      </c>
      <c r="C71" s="235">
        <v>4.3</v>
      </c>
      <c r="D71" s="236">
        <f>(RESUMO!C70+RESUMO!D70)*2+(RESUMO!E70+RESUMO!F70)</f>
        <v>10</v>
      </c>
      <c r="E71" s="237">
        <f t="shared" si="2"/>
        <v>43</v>
      </c>
      <c r="F71" s="229"/>
      <c r="G71" s="229"/>
      <c r="H71" s="229"/>
    </row>
    <row r="72" spans="1:8" ht="14.25" customHeight="1" x14ac:dyDescent="0.25">
      <c r="A72" s="238">
        <v>68</v>
      </c>
      <c r="B72" s="238" t="s">
        <v>87</v>
      </c>
      <c r="C72" s="239">
        <v>3.4</v>
      </c>
      <c r="D72" s="236">
        <f>(RESUMO!C71+RESUMO!D71)*2+(RESUMO!E71+RESUMO!F71)</f>
        <v>5</v>
      </c>
      <c r="E72" s="237">
        <f t="shared" si="2"/>
        <v>17</v>
      </c>
      <c r="F72" s="229"/>
      <c r="G72" s="229"/>
      <c r="H72" s="229"/>
    </row>
    <row r="73" spans="1:8" ht="14.25" customHeight="1" x14ac:dyDescent="0.25">
      <c r="A73" s="238">
        <v>69</v>
      </c>
      <c r="B73" s="238" t="s">
        <v>88</v>
      </c>
      <c r="C73" s="235">
        <v>4</v>
      </c>
      <c r="D73" s="236">
        <f>(RESUMO!C72+RESUMO!D72)*2+(RESUMO!E72+RESUMO!F72)</f>
        <v>3</v>
      </c>
      <c r="E73" s="237">
        <f t="shared" si="2"/>
        <v>12</v>
      </c>
      <c r="F73" s="229"/>
      <c r="G73" s="229"/>
      <c r="H73" s="229"/>
    </row>
    <row r="74" spans="1:8" ht="14.25" customHeight="1" x14ac:dyDescent="0.25">
      <c r="A74" s="238">
        <v>70</v>
      </c>
      <c r="B74" s="238" t="s">
        <v>89</v>
      </c>
      <c r="C74" s="239">
        <v>3.3</v>
      </c>
      <c r="D74" s="236">
        <f>(RESUMO!C73+RESUMO!D73)*2+(RESUMO!E73+RESUMO!F73)</f>
        <v>3</v>
      </c>
      <c r="E74" s="237">
        <f t="shared" si="2"/>
        <v>9.8999999999999986</v>
      </c>
      <c r="F74" s="229"/>
      <c r="G74" s="229"/>
      <c r="H74" s="229"/>
    </row>
    <row r="75" spans="1:8" ht="14.25" customHeight="1" x14ac:dyDescent="0.25">
      <c r="A75" s="238">
        <v>71</v>
      </c>
      <c r="B75" s="238" t="s">
        <v>90</v>
      </c>
      <c r="C75" s="235">
        <v>4</v>
      </c>
      <c r="D75" s="236">
        <f>(RESUMO!C74+RESUMO!D74)*2+(RESUMO!E74+RESUMO!F74)</f>
        <v>4</v>
      </c>
      <c r="E75" s="237">
        <f t="shared" si="2"/>
        <v>16</v>
      </c>
      <c r="F75" s="229"/>
      <c r="G75" s="229"/>
      <c r="H75" s="229"/>
    </row>
    <row r="76" spans="1:8" ht="14.25" customHeight="1" x14ac:dyDescent="0.25">
      <c r="A76" s="238">
        <v>72</v>
      </c>
      <c r="B76" s="238" t="s">
        <v>91</v>
      </c>
      <c r="C76" s="239">
        <v>3.5</v>
      </c>
      <c r="D76" s="236">
        <f>(RESUMO!C75+RESUMO!D75)*2+(RESUMO!E75+RESUMO!F75)</f>
        <v>1</v>
      </c>
      <c r="E76" s="237">
        <f t="shared" si="2"/>
        <v>3.5</v>
      </c>
      <c r="F76" s="229"/>
      <c r="G76" s="229"/>
      <c r="H76" s="229"/>
    </row>
    <row r="77" spans="1:8" ht="14.25" customHeight="1" x14ac:dyDescent="0.25">
      <c r="A77" s="238">
        <v>73</v>
      </c>
      <c r="B77" s="238" t="s">
        <v>92</v>
      </c>
      <c r="C77" s="235">
        <v>3.7</v>
      </c>
      <c r="D77" s="236">
        <f>(RESUMO!C76+RESUMO!D76)*2+(RESUMO!E76+RESUMO!F76)</f>
        <v>3</v>
      </c>
      <c r="E77" s="237">
        <f t="shared" si="2"/>
        <v>11.100000000000001</v>
      </c>
      <c r="F77" s="229"/>
      <c r="G77" s="229"/>
      <c r="H77" s="229"/>
    </row>
    <row r="78" spans="1:8" ht="14.25" customHeight="1" x14ac:dyDescent="0.25">
      <c r="A78" s="238">
        <v>74</v>
      </c>
      <c r="B78" s="238" t="s">
        <v>93</v>
      </c>
      <c r="C78" s="239">
        <v>3.05</v>
      </c>
      <c r="D78" s="236">
        <f>(RESUMO!C77+RESUMO!D77)*2+(RESUMO!E77+RESUMO!F77)</f>
        <v>5</v>
      </c>
      <c r="E78" s="237">
        <f t="shared" si="2"/>
        <v>15.25</v>
      </c>
      <c r="F78" s="229"/>
      <c r="G78" s="229"/>
      <c r="H78" s="229"/>
    </row>
    <row r="79" spans="1:8" ht="14.25" customHeight="1" x14ac:dyDescent="0.25">
      <c r="A79" s="238">
        <v>75</v>
      </c>
      <c r="B79" s="238" t="s">
        <v>94</v>
      </c>
      <c r="C79" s="235">
        <v>2</v>
      </c>
      <c r="D79" s="236">
        <f>(RESUMO!C78+RESUMO!D78)*2+(RESUMO!E78+RESUMO!F78)</f>
        <v>2</v>
      </c>
      <c r="E79" s="237">
        <f t="shared" si="2"/>
        <v>4</v>
      </c>
      <c r="F79" s="229"/>
      <c r="G79" s="229"/>
      <c r="H79" s="229"/>
    </row>
    <row r="80" spans="1:8" ht="14.25" customHeight="1" x14ac:dyDescent="0.25">
      <c r="A80" s="238">
        <v>76</v>
      </c>
      <c r="B80" s="238" t="s">
        <v>95</v>
      </c>
      <c r="C80" s="239" t="s">
        <v>280</v>
      </c>
      <c r="D80" s="236"/>
      <c r="E80" s="237"/>
      <c r="F80" s="229"/>
      <c r="G80" s="229"/>
      <c r="H80" s="229"/>
    </row>
    <row r="81" spans="1:8" ht="14.25" customHeight="1" x14ac:dyDescent="0.25">
      <c r="A81" s="238">
        <v>77</v>
      </c>
      <c r="B81" s="238" t="s">
        <v>96</v>
      </c>
      <c r="C81" s="235">
        <v>2.5</v>
      </c>
      <c r="D81" s="236">
        <f>(RESUMO!C80+RESUMO!D80)*2+(RESUMO!E80+RESUMO!F80)</f>
        <v>1</v>
      </c>
      <c r="E81" s="237">
        <f>C81*D81</f>
        <v>2.5</v>
      </c>
      <c r="F81" s="229"/>
      <c r="G81" s="229"/>
      <c r="H81" s="229"/>
    </row>
    <row r="82" spans="1:8" ht="14.25" customHeight="1" x14ac:dyDescent="0.25">
      <c r="A82" s="238">
        <v>78</v>
      </c>
      <c r="B82" s="238" t="s">
        <v>97</v>
      </c>
      <c r="C82" s="239" t="s">
        <v>280</v>
      </c>
      <c r="D82" s="236"/>
      <c r="E82" s="237"/>
      <c r="F82" s="229"/>
      <c r="G82" s="229"/>
      <c r="H82" s="229"/>
    </row>
    <row r="83" spans="1:8" ht="14.25" customHeight="1" x14ac:dyDescent="0.25">
      <c r="A83" s="238">
        <v>79</v>
      </c>
      <c r="B83" s="238" t="s">
        <v>98</v>
      </c>
      <c r="C83" s="235" t="s">
        <v>280</v>
      </c>
      <c r="D83" s="236"/>
      <c r="E83" s="237"/>
      <c r="F83" s="229"/>
      <c r="G83" s="229"/>
      <c r="H83" s="229"/>
    </row>
    <row r="84" spans="1:8" ht="14.25" customHeight="1" x14ac:dyDescent="0.25">
      <c r="A84" s="238">
        <v>80</v>
      </c>
      <c r="B84" s="238" t="s">
        <v>99</v>
      </c>
      <c r="C84" s="239" t="s">
        <v>280</v>
      </c>
      <c r="D84" s="236"/>
      <c r="E84" s="237"/>
      <c r="F84" s="229"/>
      <c r="G84" s="229"/>
      <c r="H84" s="229"/>
    </row>
    <row r="85" spans="1:8" ht="14.25" customHeight="1" x14ac:dyDescent="0.25">
      <c r="A85" s="238">
        <v>81</v>
      </c>
      <c r="B85" s="238" t="s">
        <v>100</v>
      </c>
      <c r="C85" s="235">
        <v>2.5</v>
      </c>
      <c r="D85" s="236">
        <f>(RESUMO!C84+RESUMO!D84)*2+(RESUMO!E84+RESUMO!F84)</f>
        <v>3</v>
      </c>
      <c r="E85" s="237">
        <f>C85*D85</f>
        <v>7.5</v>
      </c>
      <c r="F85" s="229"/>
      <c r="G85" s="229"/>
      <c r="H85" s="229"/>
    </row>
    <row r="86" spans="1:8" ht="14.25" customHeight="1" x14ac:dyDescent="0.25">
      <c r="A86" s="238">
        <v>82</v>
      </c>
      <c r="B86" s="238" t="s">
        <v>101</v>
      </c>
      <c r="C86" s="239">
        <v>2.8</v>
      </c>
      <c r="D86" s="236">
        <f>(RESUMO!C85+RESUMO!D85)*2+(RESUMO!E85+RESUMO!F85)</f>
        <v>2</v>
      </c>
      <c r="E86" s="237">
        <f>C86*D86</f>
        <v>5.6</v>
      </c>
      <c r="F86" s="229"/>
      <c r="G86" s="229"/>
      <c r="H86" s="229"/>
    </row>
    <row r="87" spans="1:8" ht="14.25" customHeight="1" x14ac:dyDescent="0.25">
      <c r="A87" s="229"/>
      <c r="B87" s="229" t="s">
        <v>102</v>
      </c>
      <c r="C87" s="239"/>
      <c r="D87" s="236"/>
      <c r="E87" s="237"/>
      <c r="F87" s="229"/>
      <c r="G87" s="229"/>
      <c r="H87" s="229"/>
    </row>
    <row r="88" spans="1:8" ht="14.25" customHeight="1" x14ac:dyDescent="0.25">
      <c r="A88" s="238">
        <v>83</v>
      </c>
      <c r="B88" s="238" t="s">
        <v>103</v>
      </c>
      <c r="C88" s="235">
        <v>3.75</v>
      </c>
      <c r="D88" s="236">
        <f>(RESUMO!C87+RESUMO!D87)*2+(RESUMO!E87+RESUMO!F87)</f>
        <v>1</v>
      </c>
      <c r="E88" s="237">
        <f>C88*D88</f>
        <v>3.75</v>
      </c>
      <c r="F88" s="229"/>
      <c r="G88" s="229"/>
      <c r="H88" s="229"/>
    </row>
    <row r="89" spans="1:8" ht="14.25" customHeight="1" x14ac:dyDescent="0.25">
      <c r="A89" s="238"/>
      <c r="B89" s="238"/>
      <c r="C89" s="229"/>
      <c r="D89" s="240">
        <f>SUM(D5:D88)</f>
        <v>194</v>
      </c>
      <c r="E89" s="237">
        <f>SUM(E5:E88)</f>
        <v>765.12</v>
      </c>
      <c r="F89" s="229"/>
      <c r="G89" s="229"/>
      <c r="H89" s="229"/>
    </row>
    <row r="91" spans="1:8" x14ac:dyDescent="0.25">
      <c r="A91" t="s">
        <v>110</v>
      </c>
    </row>
  </sheetData>
  <mergeCells count="2">
    <mergeCell ref="A1:E1"/>
    <mergeCell ref="A2:E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RESUMO</vt:lpstr>
      <vt:lpstr>PR</vt:lpstr>
      <vt:lpstr>Insumos</vt:lpstr>
      <vt:lpstr>VT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Lourenço</dc:creator>
  <cp:lastModifiedBy>Vanessa Lourenço</cp:lastModifiedBy>
  <cp:revision>0</cp:revision>
  <dcterms:created xsi:type="dcterms:W3CDTF">2021-02-09T19:12:40Z</dcterms:created>
  <dcterms:modified xsi:type="dcterms:W3CDTF">2021-08-04T19:40:03Z</dcterms:modified>
  <dc:language>pt-BR</dc:language>
</cp:coreProperties>
</file>