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\Campo Grande\"/>
    </mc:Choice>
  </mc:AlternateContent>
  <xr:revisionPtr revIDLastSave="0" documentId="13_ncr:1_{72020E5D-80A8-41A9-B1F5-97AB8E3702F4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3" i="2" l="1"/>
  <c r="C64" i="1" s="1"/>
  <c r="C61" i="1"/>
  <c r="E20" i="2"/>
  <c r="C26" i="2"/>
  <c r="E26" i="2" l="1"/>
  <c r="C13" i="2" l="1"/>
  <c r="C63" i="1"/>
  <c r="C35" i="1" l="1"/>
  <c r="E24" i="3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<sst xmlns="http://schemas.openxmlformats.org/spreadsheetml/2006/main" count="240" uniqueCount="206">
  <si>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</si>
  <si>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</si>
  <si>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</si>
  <si>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</si>
  <si>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</si>
  <si>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</si>
  <si>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</si>
  <si>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</si>
  <si>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</si>
  <si>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</si>
  <si>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</si>
  <si>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</si>
  <si>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</si>
  <si>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</si>
  <si>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</si>
  <si>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</si>
  <si>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</si>
  <si>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</si>
  <si>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</si>
  <si>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</si>
  <si>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</si>
  <si>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</si>
  <si>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</si>
  <si>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</si>
  <si>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</si>
  <si>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</si>
  <si>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</si>
  <si>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</si>
  <si>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</si>
  <si>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</si>
  <si>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</si>
  <si>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</si>
  <si>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</si>
  <si>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</si>
  <si>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</si>
  <si>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</si>
  <si>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</si>
  <si>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</si>
  <si>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</si>
  <si>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</si>
  <si>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</si>
  <si>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</si>
  <si>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</si>
  <si>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</si>
  <si>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</si>
  <si>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</si>
  <si>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</si>
  <si>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</si>
  <si>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</si>
  <si>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</si>
  <si>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</si>
  <si>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</si>
  <si>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</si>
  <si>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</si>
  <si>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</si>
  <si>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</si>
  <si>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</si>
  <si>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</si>
  <si>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</si>
  <si>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</si>
  <si>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</si>
  <si>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</si>
  <si>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</si>
  <si>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</si>
  <si>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</si>
  <si>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</si>
  <si>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</si>
  <si>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</si>
  <si>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</si>
  <si>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</si>
  <si>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</si>
  <si>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</si>
  <si>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</si>
  <si>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</si>
  <si>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</si>
  <si>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</si>
  <si>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</si>
  <si>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</si>
  <si>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</si>
  <si>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</si>
  <si>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</si>
  <si>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</si>
  <si>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</si>
  <si>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</si>
  <si>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</si>
  <si>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</si>
  <si>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</si>
  <si>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</si>
  <si>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</si>
  <si>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</si>
  <si>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</si>
  <si>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</si>
  <si>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</si>
  <si>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</si>
  <si>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</si>
  <si>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</si>
  <si>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</si>
  <si>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</si>
  <si>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</si>
  <si>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</si>
  <si>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</si>
  <si>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</si>
  <si>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</si>
  <si>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</si>
  <si>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</si>
  <si>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</si>
  <si>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</si>
  <si>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</si>
  <si>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</si>
  <si>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</si>
  <si>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</si>
  <si>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</si>
  <si>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</si>
  <si>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</si>
  <si>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</si>
  <si>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</si>
  <si>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</si>
  <si>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</si>
  <si>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</si>
  <si>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</si>
  <si>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</si>
  <si>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</si>
  <si>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</si>
  <si>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</si>
  <si>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</si>
  <si>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</si>
  <si>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</si>
  <si>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</si>
  <si>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</si>
  <si>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</si>
  <si>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</si>
  <si>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</si>
  <si>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</si>
  <si>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</si>
  <si>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SEGURO DE VIDA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</si>
  <si>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</si>
  <si>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</si>
  <si>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</si>
  <si>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</si>
  <si>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</si>
  <si>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</si>
  <si>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</si>
  <si>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</si>
  <si>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</si>
  <si>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</si>
  <si>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</si>
  <si>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</si>
  <si>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</si>
  <si>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</si>
  <si>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</si>
  <si>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</si>
  <si>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</si>
  <si>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</si>
  <si>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</si>
  <si>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</si>
  <si>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</si>
  <si>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</si>
  <si>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</si>
  <si>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</si>
  <si>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</si>
  <si>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</si>
  <si>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</si>
  <si>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</si>
  <si>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</si>
  <si>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</si>
  <si>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</si>
  <si>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</si>
  <si>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</si>
  <si>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</si>
  <si>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</si>
  <si>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</si>
  <si>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</si>
  <si>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</si>
  <si>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</si>
  <si>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</si>
  <si>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</si>
  <si>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</si>
  <si>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</si>
  <si>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</si>
  <si>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</si>
  <si>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</si>
  <si>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</si>
  <si>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</si>
  <si>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2021/2022</t>
  </si>
  <si>
    <t>A - Salário-Base (Salário Mínimo Nacional)</t>
  </si>
  <si>
    <t>Valor definido CCT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</si>
  <si>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</si>
  <si>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</si>
  <si>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</si>
  <si>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</si>
  <si>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>INSS - GERÊNCIA EXECUTIVA EM CAMPO GRANDE/MS</t>
  </si>
  <si>
    <t>Campo Grande/MS</t>
  </si>
  <si>
    <t>01 de maio</t>
  </si>
  <si>
    <t>MS000215/2021</t>
  </si>
  <si>
    <t xml:space="preserve">    A - Auxílio Transporte (Cláusula 18ª)</t>
  </si>
  <si>
    <t xml:space="preserve">    B - Auxílio Alimentação (Cláusula 17ª)</t>
  </si>
  <si>
    <t>Custo Anual por Empregado</t>
  </si>
  <si>
    <t xml:space="preserve">    E – Outros  (Cesta Básica - Cláusula 52ª)</t>
  </si>
  <si>
    <t>CESTA BÁSICA</t>
  </si>
  <si>
    <t xml:space="preserve">    D – Outros (Seguro de Vida - Cláusula 20ª)</t>
  </si>
  <si>
    <t>PLANO DE SÁUDE</t>
  </si>
  <si>
    <t xml:space="preserve">    C - Assistência Médica e Familiar (Plano de Súde - 56ª)</t>
  </si>
  <si>
    <t>Desconto Assiduidade</t>
  </si>
  <si>
    <t xml:space="preserve">    F – Outros (Plano Odontológico - Cláusula 58ª)</t>
  </si>
  <si>
    <t>PLANO ODONTOLÓGICO</t>
  </si>
  <si>
    <t>A - Pernoite do carregador/auxiliar de serviços gerais em outro município (alimentação e hospedagem) - (Cláusula 16ª)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</si>
</sst>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indexed="34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4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13" borderId="3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7" fillId="2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left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7" fillId="39" borderId="22" xfId="0" applyFont="1" applyFill="1" applyBorder="1" applyAlignment="1">
      <alignment horizontal="center" vertical="center" wrapText="1"/>
    </xf>
    <xf numFmtId="0" fontId="9" fillId="40" borderId="3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37" fillId="41" borderId="22" xfId="0" applyFont="1" applyFill="1" applyBorder="1" applyAlignment="1">
      <alignment horizontal="center" vertical="center" wrapText="1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right" vertical="center" wrapText="1"/>
    </xf>
    <xf numFmtId="173" fontId="8" fillId="44" borderId="30" xfId="0" applyNumberFormat="1" applyFont="1" applyFill="1" applyBorder="1" applyAlignment="1">
      <alignment vertical="center"/>
    </xf>
    <xf numFmtId="166" fontId="15" fillId="13" borderId="22" xfId="2" applyNumberFormat="1" applyFont="1" applyFill="1" applyBorder="1" applyAlignment="1" applyProtection="1">
      <alignment horizontal="center" vertical="center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zoomScaleNormal="78" zoomScaleSheetLayoutView="100" zoomScalePageLayoutView="90" workbookViewId="0">
      <selection activeCell="B132" sqref="B132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197" t="s">
        <v>104</v>
      </c>
      <c r="B1" s="197"/>
      <c r="C1" s="197"/>
    </row>
    <row r="2" spans="1:3" x14ac:dyDescent="0.2">
      <c r="A2" s="207"/>
      <c r="B2" s="207"/>
      <c r="C2" s="207"/>
    </row>
    <row r="3" spans="1:3" ht="20.25" customHeight="1" x14ac:dyDescent="0.2">
      <c r="A3" s="198" t="s">
        <v>190</v>
      </c>
      <c r="B3" s="198"/>
      <c r="C3" s="198"/>
    </row>
    <row r="4" spans="1:3" x14ac:dyDescent="0.2">
      <c r="A4" s="208"/>
      <c r="B4" s="208"/>
      <c r="C4" s="208"/>
    </row>
    <row r="5" spans="1:3" x14ac:dyDescent="0.2">
      <c r="A5" s="167" t="s">
        <v>105</v>
      </c>
      <c r="B5" s="196"/>
      <c r="C5" s="196"/>
    </row>
    <row r="6" spans="1:3" x14ac:dyDescent="0.2">
      <c r="A6" s="167" t="s">
        <v>106</v>
      </c>
      <c r="B6" s="196"/>
      <c r="C6" s="196"/>
    </row>
    <row r="7" spans="1:3" ht="29.25" customHeight="1" x14ac:dyDescent="0.2">
      <c r="A7" s="167" t="s">
        <v>107</v>
      </c>
      <c r="B7" s="196" t="s">
        <v>108</v>
      </c>
      <c r="C7" s="196"/>
    </row>
    <row r="8" spans="1:3" ht="22.5" customHeight="1" x14ac:dyDescent="0.2">
      <c r="A8" s="206"/>
      <c r="B8" s="206"/>
      <c r="C8" s="206"/>
    </row>
    <row r="9" spans="1:3" ht="15" x14ac:dyDescent="0.2">
      <c r="A9" s="190" t="s">
        <v>109</v>
      </c>
      <c r="B9" s="191"/>
      <c r="C9" s="192"/>
    </row>
    <row r="10" spans="1:3" ht="43.5" customHeight="1" x14ac:dyDescent="0.2">
      <c r="A10" s="193" t="s">
        <v>182</v>
      </c>
      <c r="B10" s="194"/>
      <c r="C10" s="195"/>
    </row>
    <row r="11" spans="1:3" ht="15" x14ac:dyDescent="0.2">
      <c r="A11" s="190" t="s">
        <v>110</v>
      </c>
      <c r="B11" s="191"/>
      <c r="C11" s="192"/>
    </row>
    <row r="12" spans="1:3" ht="26.25" customHeight="1" x14ac:dyDescent="0.2">
      <c r="A12" s="193" t="s">
        <v>181</v>
      </c>
      <c r="B12" s="194"/>
      <c r="C12" s="195"/>
    </row>
    <row r="13" spans="1:3" ht="26.25" customHeight="1" thickBot="1" x14ac:dyDescent="0.25">
      <c r="A13" s="210"/>
      <c r="B13" s="210"/>
      <c r="C13" s="210"/>
    </row>
    <row r="14" spans="1:3" ht="15" customHeight="1" thickBot="1" x14ac:dyDescent="0.25">
      <c r="A14" s="209" t="s">
        <v>111</v>
      </c>
      <c r="B14" s="209"/>
      <c r="C14" s="209"/>
    </row>
    <row r="15" spans="1:3" ht="20.25" customHeight="1" thickBot="1" x14ac:dyDescent="0.25">
      <c r="A15" s="120" t="s">
        <v>116</v>
      </c>
      <c r="B15" s="211"/>
      <c r="C15" s="211"/>
    </row>
    <row r="16" spans="1:3" ht="20.25" customHeight="1" thickBot="1" x14ac:dyDescent="0.25">
      <c r="A16" s="120" t="s">
        <v>117</v>
      </c>
      <c r="B16" s="212" t="s">
        <v>191</v>
      </c>
      <c r="C16" s="212"/>
    </row>
    <row r="17" spans="1:3" ht="24" customHeight="1" thickBot="1" x14ac:dyDescent="0.25">
      <c r="A17" s="121" t="s">
        <v>118</v>
      </c>
      <c r="B17" s="212" t="s">
        <v>183</v>
      </c>
      <c r="C17" s="212"/>
    </row>
    <row r="18" spans="1:3" ht="13.5" thickBot="1" x14ac:dyDescent="0.25">
      <c r="A18" s="120" t="s">
        <v>119</v>
      </c>
      <c r="B18" s="189">
        <v>30</v>
      </c>
      <c r="C18" s="189"/>
    </row>
    <row r="19" spans="1:3" ht="13.5" thickBot="1" x14ac:dyDescent="0.25">
      <c r="A19" s="120" t="s">
        <v>175</v>
      </c>
      <c r="B19" s="189">
        <v>2</v>
      </c>
      <c r="C19" s="189"/>
    </row>
    <row r="20" spans="1:3" ht="13.5" thickBot="1" x14ac:dyDescent="0.25">
      <c r="B20" s="35"/>
      <c r="C20" s="35"/>
    </row>
    <row r="21" spans="1:3" ht="15.75" thickBot="1" x14ac:dyDescent="0.25">
      <c r="A21" s="200" t="s">
        <v>112</v>
      </c>
      <c r="B21" s="201"/>
      <c r="C21" s="202"/>
    </row>
    <row r="22" spans="1:3" ht="15.75" thickBot="1" x14ac:dyDescent="0.25">
      <c r="A22" s="203" t="s">
        <v>113</v>
      </c>
      <c r="B22" s="204"/>
      <c r="C22" s="205"/>
    </row>
    <row r="23" spans="1:3" ht="13.5" thickBot="1" x14ac:dyDescent="0.25">
      <c r="A23" s="118" t="s">
        <v>120</v>
      </c>
      <c r="B23" s="214" t="s">
        <v>114</v>
      </c>
      <c r="C23" s="214"/>
    </row>
    <row r="24" spans="1:3" ht="13.5" thickBot="1" x14ac:dyDescent="0.25">
      <c r="A24" s="118" t="s">
        <v>121</v>
      </c>
      <c r="B24" s="215" t="s">
        <v>123</v>
      </c>
      <c r="C24" s="215"/>
    </row>
    <row r="25" spans="1:3" ht="13.5" thickBot="1" x14ac:dyDescent="0.25">
      <c r="A25" s="119" t="s">
        <v>122</v>
      </c>
      <c r="B25" s="216">
        <v>1200</v>
      </c>
      <c r="C25" s="216"/>
    </row>
    <row r="26" spans="1:3" ht="13.5" thickBot="1" x14ac:dyDescent="0.25">
      <c r="A26" s="119" t="s">
        <v>186</v>
      </c>
      <c r="B26" s="218">
        <v>1212</v>
      </c>
      <c r="C26" s="218"/>
    </row>
    <row r="27" spans="1:3" ht="13.5" thickBot="1" x14ac:dyDescent="0.25">
      <c r="A27" s="119" t="s">
        <v>187</v>
      </c>
      <c r="B27" s="214" t="s">
        <v>115</v>
      </c>
      <c r="C27" s="214"/>
    </row>
    <row r="28" spans="1:3" ht="13.5" thickBot="1" x14ac:dyDescent="0.25">
      <c r="A28" s="119" t="s">
        <v>188</v>
      </c>
      <c r="B28" s="217" t="s">
        <v>192</v>
      </c>
      <c r="C28" s="217"/>
    </row>
    <row r="29" spans="1:3" ht="13.5" thickBot="1" x14ac:dyDescent="0.25">
      <c r="A29" s="119" t="s">
        <v>189</v>
      </c>
      <c r="B29" s="217" t="s">
        <v>193</v>
      </c>
      <c r="C29" s="217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199" t="s">
        <v>3</v>
      </c>
      <c r="B33" s="199"/>
      <c r="C33" s="199"/>
    </row>
    <row r="34" spans="1:1022" ht="26.25" thickBot="1" x14ac:dyDescent="0.25">
      <c r="A34" s="115" t="s">
        <v>4</v>
      </c>
      <c r="B34" s="116" t="s">
        <v>135</v>
      </c>
      <c r="C34" s="117" t="s">
        <v>5</v>
      </c>
    </row>
    <row r="35" spans="1:1022" ht="15" x14ac:dyDescent="0.2">
      <c r="A35" s="40" t="s">
        <v>184</v>
      </c>
      <c r="B35" s="41"/>
      <c r="C35" s="42">
        <f>IF(B25&gt;=B26,B25,B26)</f>
        <v>1212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2" t="s">
        <v>11</v>
      </c>
      <c r="B41" s="113"/>
      <c r="C41" s="114">
        <f>SUM(C35:C40)</f>
        <v>1212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3" t="s">
        <v>12</v>
      </c>
      <c r="B43" s="213"/>
      <c r="C43" s="213"/>
    </row>
    <row r="44" spans="1:1022" s="54" customFormat="1" ht="13.5" thickBot="1" x14ac:dyDescent="0.25">
      <c r="A44" s="52" t="s">
        <v>13</v>
      </c>
      <c r="B44" s="122" t="s">
        <v>14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3">
        <f>1/12</f>
        <v>8.3333333333333329E-2</v>
      </c>
      <c r="C45" s="95">
        <f>ROUND($B45*C$41,2)</f>
        <v>101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4">
        <f>B45/3</f>
        <v>2.7777777777777776E-2</v>
      </c>
      <c r="C46" s="96">
        <f>ROUND($B46*C$41,2)</f>
        <v>33.67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5">
        <f>SUM(B45:B46)</f>
        <v>0.1111111111111111</v>
      </c>
      <c r="C47" s="59">
        <f>ROUND(SUM(C45:C46),2)</f>
        <v>134.66999999999999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125</v>
      </c>
      <c r="B48" s="122" t="s">
        <v>14</v>
      </c>
      <c r="C48" s="122" t="s">
        <v>5</v>
      </c>
    </row>
    <row r="49" spans="1:1022" s="62" customFormat="1" ht="15" x14ac:dyDescent="0.2">
      <c r="A49" s="40" t="s">
        <v>126</v>
      </c>
      <c r="B49" s="124">
        <v>0.2</v>
      </c>
      <c r="C49" s="42">
        <f>ROUND($B49*(C$41+C$47),2)</f>
        <v>269.33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4">
        <v>2.5000000000000001E-2</v>
      </c>
      <c r="C50" s="42">
        <f>ROUND($B50*(C$41+C$47),2)</f>
        <v>33.67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4">
        <v>0.03</v>
      </c>
      <c r="C51" s="42">
        <f t="shared" ref="C51:C56" si="0">ROUND($B51*(C$41+C$47),2)</f>
        <v>40.4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4">
        <v>1.4999999999999999E-2</v>
      </c>
      <c r="C52" s="42">
        <f t="shared" si="0"/>
        <v>20.2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4">
        <v>0.01</v>
      </c>
      <c r="C53" s="42">
        <f t="shared" si="0"/>
        <v>13.47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4">
        <v>6.0000000000000001E-3</v>
      </c>
      <c r="C54" s="42">
        <f t="shared" si="0"/>
        <v>8.08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4">
        <v>2E-3</v>
      </c>
      <c r="C55" s="42">
        <f t="shared" si="0"/>
        <v>2.69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4">
        <v>0.08</v>
      </c>
      <c r="C56" s="42">
        <f t="shared" si="0"/>
        <v>107.73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5">
        <f>SUM(B49:B56)</f>
        <v>0.36800000000000005</v>
      </c>
      <c r="C57" s="63">
        <f>ROUND(SUM(C49:C56),2)</f>
        <v>495.57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9"/>
      <c r="C58" s="126" t="s">
        <v>5</v>
      </c>
    </row>
    <row r="59" spans="1:1022" ht="15" x14ac:dyDescent="0.2">
      <c r="A59" s="40" t="s">
        <v>194</v>
      </c>
      <c r="B59" s="127"/>
      <c r="C59" s="105">
        <f>Benefícios!E9</f>
        <v>120.88000000000002</v>
      </c>
    </row>
    <row r="60" spans="1:1022" ht="15" x14ac:dyDescent="0.2">
      <c r="A60" s="40" t="s">
        <v>195</v>
      </c>
      <c r="B60" s="127"/>
      <c r="C60" s="67">
        <f>Benefícios!E13</f>
        <v>346.5</v>
      </c>
    </row>
    <row r="61" spans="1:1022" ht="15" x14ac:dyDescent="0.2">
      <c r="A61" s="40" t="s">
        <v>201</v>
      </c>
      <c r="B61" s="127"/>
      <c r="C61" s="67">
        <f>Benefícios!E20</f>
        <v>65</v>
      </c>
    </row>
    <row r="62" spans="1:1022" ht="15" x14ac:dyDescent="0.2">
      <c r="A62" s="40" t="s">
        <v>199</v>
      </c>
      <c r="B62" s="127"/>
      <c r="C62" s="67">
        <f>Benefícios!E26</f>
        <v>8.5</v>
      </c>
    </row>
    <row r="63" spans="1:1022" ht="15" x14ac:dyDescent="0.2">
      <c r="A63" s="40" t="s">
        <v>197</v>
      </c>
      <c r="B63" s="127"/>
      <c r="C63" s="67">
        <f>Benefícios!C17</f>
        <v>141.75</v>
      </c>
    </row>
    <row r="64" spans="1:1022" ht="15" x14ac:dyDescent="0.2">
      <c r="A64" s="40" t="s">
        <v>203</v>
      </c>
      <c r="B64" s="127"/>
      <c r="C64" s="67">
        <f>Benefícios!E23</f>
        <v>20</v>
      </c>
    </row>
    <row r="65" spans="1:1022" ht="15" x14ac:dyDescent="0.2">
      <c r="A65" s="57" t="s">
        <v>16</v>
      </c>
      <c r="B65" s="128"/>
      <c r="C65" s="63">
        <f>SUM(C59:C64)</f>
        <v>702.63</v>
      </c>
    </row>
    <row r="66" spans="1:1022" x14ac:dyDescent="0.2">
      <c r="A66" s="130" t="s">
        <v>18</v>
      </c>
      <c r="B66" s="131"/>
      <c r="C66" s="132" t="s">
        <v>5</v>
      </c>
    </row>
    <row r="67" spans="1:1022" ht="15" x14ac:dyDescent="0.2">
      <c r="A67" s="68" t="s">
        <v>137</v>
      </c>
      <c r="B67" s="69">
        <f>B47</f>
        <v>0.1111111111111111</v>
      </c>
      <c r="C67" s="56">
        <f>C47</f>
        <v>134.66999999999999</v>
      </c>
    </row>
    <row r="68" spans="1:1022" ht="15" x14ac:dyDescent="0.2">
      <c r="A68" s="70" t="s">
        <v>138</v>
      </c>
      <c r="B68" s="71">
        <f>B57</f>
        <v>0.36800000000000005</v>
      </c>
      <c r="C68" s="67">
        <f>C57</f>
        <v>495.57</v>
      </c>
    </row>
    <row r="69" spans="1:1022" ht="15" x14ac:dyDescent="0.2">
      <c r="A69" s="70" t="s">
        <v>139</v>
      </c>
      <c r="B69" s="71"/>
      <c r="C69" s="67">
        <f>C65</f>
        <v>702.63</v>
      </c>
    </row>
    <row r="70" spans="1:1022" ht="15" x14ac:dyDescent="0.2">
      <c r="A70" s="112" t="s">
        <v>11</v>
      </c>
      <c r="B70" s="113"/>
      <c r="C70" s="114">
        <f>SUM(C67:C69)</f>
        <v>1332.87</v>
      </c>
    </row>
    <row r="71" spans="1:1022" ht="15" x14ac:dyDescent="0.2">
      <c r="A71" s="72"/>
      <c r="B71" s="51"/>
      <c r="C71" s="51"/>
    </row>
    <row r="72" spans="1:1022" ht="15" customHeight="1" x14ac:dyDescent="0.2">
      <c r="A72" s="213" t="s">
        <v>19</v>
      </c>
      <c r="B72" s="213"/>
      <c r="C72" s="213"/>
    </row>
    <row r="73" spans="1:1022" x14ac:dyDescent="0.2">
      <c r="A73" s="133" t="s">
        <v>20</v>
      </c>
      <c r="B73" s="134"/>
      <c r="C73" s="135" t="s">
        <v>5</v>
      </c>
    </row>
    <row r="74" spans="1:1022" s="62" customFormat="1" ht="25.5" x14ac:dyDescent="0.2">
      <c r="A74" s="40" t="s">
        <v>140</v>
      </c>
      <c r="B74" s="136">
        <f>1/12*0.05</f>
        <v>4.1666666666666666E-3</v>
      </c>
      <c r="C74" s="56">
        <f>ROUND($B74*C$41,2)</f>
        <v>5.05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141</v>
      </c>
      <c r="B75" s="136">
        <f>B56*B74</f>
        <v>3.3333333333333332E-4</v>
      </c>
      <c r="C75" s="67">
        <f>ROUND($B75*C$41,2)</f>
        <v>0.4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142</v>
      </c>
      <c r="B76" s="136">
        <f>B74*((0.4*B56)+SUM(B50:B55))</f>
        <v>5.0000000000000001E-4</v>
      </c>
      <c r="C76" s="67">
        <f t="shared" ref="C76:C78" si="1">ROUND($B76*C$41,2)</f>
        <v>0.61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143</v>
      </c>
      <c r="B77" s="136">
        <f>1/30*7/12</f>
        <v>1.9444444444444445E-2</v>
      </c>
      <c r="C77" s="67">
        <f t="shared" si="1"/>
        <v>23.57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144</v>
      </c>
      <c r="B78" s="136">
        <f>B57*B77</f>
        <v>7.1555555555555565E-3</v>
      </c>
      <c r="C78" s="67">
        <f t="shared" si="1"/>
        <v>8.67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145</v>
      </c>
      <c r="B79" s="137">
        <f>8%*40%*90%*(1+1/12+1/12+1/3*1/12)</f>
        <v>3.4399999999999993E-2</v>
      </c>
      <c r="C79" s="67">
        <f>ROUND($B79*C$41,2)</f>
        <v>41.69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11</v>
      </c>
      <c r="B80" s="139">
        <f>SUM(B74:B79)</f>
        <v>6.5999999999999989E-2</v>
      </c>
      <c r="C80" s="114">
        <f>SUM(C74:C79)</f>
        <v>79.990000000000009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3" t="s">
        <v>21</v>
      </c>
      <c r="B82" s="213"/>
      <c r="C82" s="213"/>
    </row>
    <row r="83" spans="1:1022" x14ac:dyDescent="0.2">
      <c r="A83" s="66" t="s">
        <v>22</v>
      </c>
      <c r="B83" s="140"/>
      <c r="C83" s="141" t="s">
        <v>5</v>
      </c>
    </row>
    <row r="84" spans="1:1022" s="62" customFormat="1" ht="15" x14ac:dyDescent="0.2">
      <c r="A84" s="40" t="s">
        <v>146</v>
      </c>
      <c r="B84" s="124">
        <f>1/12</f>
        <v>8.3333333333333329E-2</v>
      </c>
      <c r="C84" s="42">
        <f>ROUND($B84*(C$41+C$70+C80),2)</f>
        <v>218.74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147</v>
      </c>
      <c r="B85" s="142">
        <f>'Estimativa Afastamentos'!C14/30.4375/12</f>
        <v>1.0519917864476385E-2</v>
      </c>
      <c r="C85" s="42">
        <f>ROUND($B85*(C$41+C$70+C$80),2)</f>
        <v>27.61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148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0.54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149</v>
      </c>
      <c r="B87" s="142">
        <f>'Estimativa Afastamentos'!D25/30.4375/12</f>
        <v>1.8926762491444217E-3</v>
      </c>
      <c r="C87" s="42">
        <f t="shared" si="2"/>
        <v>4.97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150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151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5">
        <f>SUM(B84:B89)</f>
        <v>9.5951266255989043E-2</v>
      </c>
      <c r="C90" s="63">
        <f>ROUND(SUM(C84:C89),2)</f>
        <v>251.86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40"/>
      <c r="C91" s="141" t="s">
        <v>5</v>
      </c>
    </row>
    <row r="92" spans="1:1022" s="62" customFormat="1" ht="15.75" thickBot="1" x14ac:dyDescent="0.25">
      <c r="A92" s="40" t="s">
        <v>25</v>
      </c>
      <c r="B92" s="142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26</v>
      </c>
      <c r="B94" s="148"/>
      <c r="C94" s="135" t="s">
        <v>5</v>
      </c>
      <c r="E94" s="65"/>
    </row>
    <row r="95" spans="1:1022" s="62" customFormat="1" ht="15" x14ac:dyDescent="0.2">
      <c r="A95" s="149" t="s">
        <v>152</v>
      </c>
      <c r="B95" s="150">
        <f>B90</f>
        <v>9.5951266255989043E-2</v>
      </c>
      <c r="C95" s="56">
        <f>C90</f>
        <v>251.86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153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11</v>
      </c>
      <c r="B97" s="139"/>
      <c r="C97" s="114">
        <f>SUM(C95:C96)</f>
        <v>251.86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3" t="s">
        <v>27</v>
      </c>
      <c r="B99" s="213"/>
      <c r="C99" s="213"/>
      <c r="D99" s="65"/>
      <c r="E99" s="65"/>
    </row>
    <row r="100" spans="1:42" x14ac:dyDescent="0.2">
      <c r="A100" s="133" t="s">
        <v>28</v>
      </c>
      <c r="B100" s="134"/>
      <c r="C100" s="135" t="s">
        <v>5</v>
      </c>
    </row>
    <row r="101" spans="1:42" ht="15" x14ac:dyDescent="0.2">
      <c r="A101" s="78" t="s">
        <v>29</v>
      </c>
      <c r="B101" s="143"/>
      <c r="C101" s="79">
        <f>Insumos!E8</f>
        <v>18.510000000000002</v>
      </c>
    </row>
    <row r="102" spans="1:42" ht="15" x14ac:dyDescent="0.2">
      <c r="A102" s="78" t="s">
        <v>30</v>
      </c>
      <c r="B102" s="143"/>
      <c r="C102" s="79">
        <f>Insumos!E16</f>
        <v>14.17</v>
      </c>
    </row>
    <row r="103" spans="1:42" ht="15" x14ac:dyDescent="0.2">
      <c r="A103" s="78" t="s">
        <v>31</v>
      </c>
      <c r="B103" s="143"/>
      <c r="C103" s="79">
        <f>Insumos!E25</f>
        <v>31.29</v>
      </c>
    </row>
    <row r="104" spans="1:42" ht="15" x14ac:dyDescent="0.2">
      <c r="A104" s="138" t="s">
        <v>11</v>
      </c>
      <c r="B104" s="146"/>
      <c r="C104" s="114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3" t="s">
        <v>32</v>
      </c>
      <c r="B106" s="213"/>
      <c r="C106" s="213"/>
    </row>
    <row r="107" spans="1:42" x14ac:dyDescent="0.2">
      <c r="A107" s="133" t="s">
        <v>33</v>
      </c>
      <c r="B107" s="134"/>
      <c r="C107" s="135" t="s">
        <v>5</v>
      </c>
    </row>
    <row r="108" spans="1:42" ht="15" x14ac:dyDescent="0.2">
      <c r="A108" s="149" t="s">
        <v>34</v>
      </c>
      <c r="B108" s="151">
        <v>0.06</v>
      </c>
      <c r="C108" s="56">
        <f>ROUND($B108*(C41+C70+C80+C97+C104),2)</f>
        <v>176.44</v>
      </c>
    </row>
    <row r="109" spans="1:42" ht="15" x14ac:dyDescent="0.2">
      <c r="A109" s="149" t="s">
        <v>35</v>
      </c>
      <c r="B109" s="151">
        <v>6.7900000000000002E-2</v>
      </c>
      <c r="C109" s="67">
        <f>ROUND($B109*(C41+C70+C80+C97+C104+C108),2)</f>
        <v>211.65</v>
      </c>
    </row>
    <row r="110" spans="1:42" ht="15" x14ac:dyDescent="0.2">
      <c r="A110" s="149" t="s">
        <v>36</v>
      </c>
      <c r="B110" s="150">
        <f>SUM(B111:B114)</f>
        <v>8.6499999999999994E-2</v>
      </c>
      <c r="C110" s="67">
        <f>ROUND(((C41+C70+C80+C97+C104+C108+C109)/(1-($B$110)))*$B110,2)</f>
        <v>315.2</v>
      </c>
    </row>
    <row r="111" spans="1:42" ht="14.25" x14ac:dyDescent="0.2">
      <c r="A111" s="149" t="s">
        <v>37</v>
      </c>
      <c r="B111" s="150">
        <f>0.0065+0.03</f>
        <v>3.6499999999999998E-2</v>
      </c>
      <c r="C111" s="80">
        <f>((C41+C70+C80+C97+C104+C108+C109)/(1-($B$110)))*$B111</f>
        <v>133.00544061302679</v>
      </c>
    </row>
    <row r="112" spans="1:42" ht="14.25" x14ac:dyDescent="0.2">
      <c r="A112" s="149" t="s">
        <v>38</v>
      </c>
      <c r="B112" s="150"/>
      <c r="C112" s="80"/>
    </row>
    <row r="113" spans="1:42" ht="14.25" x14ac:dyDescent="0.2">
      <c r="A113" s="149" t="s">
        <v>39</v>
      </c>
      <c r="B113" s="151">
        <v>0.05</v>
      </c>
      <c r="C113" s="80">
        <f>((C41+C70+C80+C97+C104+C108+C109)/(1-($B$110)))*$B113</f>
        <v>182.19923371647508</v>
      </c>
    </row>
    <row r="114" spans="1:42" ht="14.25" x14ac:dyDescent="0.2">
      <c r="A114" s="149" t="s">
        <v>40</v>
      </c>
      <c r="B114" s="152"/>
      <c r="C114" s="81"/>
    </row>
    <row r="115" spans="1:42" ht="15" x14ac:dyDescent="0.2">
      <c r="A115" s="144" t="s">
        <v>11</v>
      </c>
      <c r="B115" s="153"/>
      <c r="C115" s="145">
        <f>SUM(C108:C110)</f>
        <v>703.29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21" t="s">
        <v>41</v>
      </c>
      <c r="B118" s="221"/>
      <c r="C118" s="221"/>
    </row>
    <row r="119" spans="1:42" ht="13.9" customHeight="1" x14ac:dyDescent="0.2">
      <c r="A119" s="222" t="s">
        <v>42</v>
      </c>
      <c r="B119" s="222"/>
      <c r="C119" s="155" t="s">
        <v>5</v>
      </c>
    </row>
    <row r="120" spans="1:42" ht="15" customHeight="1" x14ac:dyDescent="0.2">
      <c r="A120" s="223" t="s">
        <v>43</v>
      </c>
      <c r="B120" s="223"/>
      <c r="C120" s="82">
        <f>C41</f>
        <v>1212</v>
      </c>
    </row>
    <row r="121" spans="1:42" ht="15" customHeight="1" x14ac:dyDescent="0.2">
      <c r="A121" s="219" t="s">
        <v>44</v>
      </c>
      <c r="B121" s="219"/>
      <c r="C121" s="83">
        <f>C70</f>
        <v>1332.87</v>
      </c>
    </row>
    <row r="122" spans="1:42" ht="13.9" customHeight="1" x14ac:dyDescent="0.2">
      <c r="A122" s="219" t="s">
        <v>45</v>
      </c>
      <c r="B122" s="219"/>
      <c r="C122" s="83">
        <f>C80</f>
        <v>79.990000000000009</v>
      </c>
    </row>
    <row r="123" spans="1:42" ht="15" customHeight="1" x14ac:dyDescent="0.2">
      <c r="A123" s="219" t="s">
        <v>46</v>
      </c>
      <c r="B123" s="219"/>
      <c r="C123" s="83">
        <f>C97</f>
        <v>251.86</v>
      </c>
    </row>
    <row r="124" spans="1:42" ht="15.75" customHeight="1" x14ac:dyDescent="0.2">
      <c r="A124" s="219" t="s">
        <v>47</v>
      </c>
      <c r="B124" s="219"/>
      <c r="C124" s="83">
        <f>C104</f>
        <v>63.97</v>
      </c>
    </row>
    <row r="125" spans="1:42" ht="15.75" customHeight="1" x14ac:dyDescent="0.2">
      <c r="A125" s="220" t="s">
        <v>48</v>
      </c>
      <c r="B125" s="220"/>
      <c r="C125" s="84">
        <f>SUM(C120:C124)</f>
        <v>2940.6899999999996</v>
      </c>
    </row>
    <row r="126" spans="1:42" ht="15.75" customHeight="1" x14ac:dyDescent="0.2">
      <c r="A126" s="237" t="s">
        <v>49</v>
      </c>
      <c r="B126" s="237"/>
      <c r="C126" s="85">
        <f>C115</f>
        <v>703.29</v>
      </c>
    </row>
    <row r="127" spans="1:42" ht="15.75" customHeight="1" x14ac:dyDescent="0.2">
      <c r="A127" s="238" t="s">
        <v>50</v>
      </c>
      <c r="B127" s="238"/>
      <c r="C127" s="156">
        <f>C120+C121+C122+C123+C124+C126</f>
        <v>3643.9799999999996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239" t="s">
        <v>51</v>
      </c>
      <c r="B129" s="239"/>
      <c r="C129" s="239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52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205</v>
      </c>
      <c r="B131" s="98">
        <v>100</v>
      </c>
      <c r="C131" s="241">
        <f>B131*B132</f>
        <v>1000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168</v>
      </c>
      <c r="B132" s="108">
        <v>10</v>
      </c>
      <c r="C132" s="242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169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240" t="s">
        <v>171</v>
      </c>
      <c r="B134" s="240"/>
      <c r="C134" s="160">
        <f>SUM(C131:C133)</f>
        <v>1500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226"/>
      <c r="B135" s="226"/>
      <c r="C135" s="226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224" t="s">
        <v>53</v>
      </c>
      <c r="B136" s="225"/>
      <c r="C136" s="225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29" t="s">
        <v>54</v>
      </c>
      <c r="B137" s="230"/>
      <c r="C137" s="161" t="s">
        <v>170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31" t="s">
        <v>55</v>
      </c>
      <c r="B138" s="232"/>
      <c r="C138" s="109">
        <f>C127</f>
        <v>3643.9799999999996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33" t="s">
        <v>56</v>
      </c>
      <c r="B139" s="234"/>
      <c r="C139" s="110">
        <f>C134</f>
        <v>1500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35" t="s">
        <v>57</v>
      </c>
      <c r="B140" s="236"/>
      <c r="C140" s="162">
        <f>C138+C139</f>
        <v>5143.9799999999996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226"/>
      <c r="B141" s="226"/>
      <c r="C141" s="226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227" t="s">
        <v>172</v>
      </c>
      <c r="B142" s="227"/>
      <c r="C142" s="227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54</v>
      </c>
      <c r="B143" s="165" t="s">
        <v>58</v>
      </c>
      <c r="C143" s="165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3">
        <f>B19</f>
        <v>2</v>
      </c>
      <c r="C144" s="92">
        <f>C140*B144</f>
        <v>10287.959999999999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228"/>
      <c r="B145" s="228"/>
      <c r="C145" s="228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61</v>
      </c>
      <c r="B146" s="165" t="s">
        <v>173</v>
      </c>
      <c r="C146" s="165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174</v>
      </c>
      <c r="B147" s="163">
        <f>B18</f>
        <v>30</v>
      </c>
      <c r="C147" s="90">
        <f>C144*B147</f>
        <v>308638.8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6:B126"/>
    <mergeCell ref="A127:B127"/>
    <mergeCell ref="A129:C129"/>
    <mergeCell ref="A134:B134"/>
    <mergeCell ref="A135:C135"/>
    <mergeCell ref="C131:C132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12:C12"/>
    <mergeCell ref="B5:C5"/>
    <mergeCell ref="B6:C6"/>
    <mergeCell ref="B7:C7"/>
    <mergeCell ref="A9:C9"/>
    <mergeCell ref="A10:C10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3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7" t="s">
        <v>176</v>
      </c>
      <c r="B1" s="248"/>
      <c r="C1" s="248"/>
      <c r="D1" s="248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3" t="s">
        <v>84</v>
      </c>
      <c r="B4" s="243"/>
      <c r="C4" s="244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8" t="s">
        <v>11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5" t="s">
        <v>94</v>
      </c>
      <c r="B17" s="245"/>
      <c r="C17" s="245"/>
      <c r="D17" s="246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5" t="s">
        <v>99</v>
      </c>
      <c r="B24" s="245"/>
      <c r="C24" s="245"/>
      <c r="D24" s="246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49" t="s">
        <v>101</v>
      </c>
      <c r="B28" s="250"/>
      <c r="C28" s="250"/>
      <c r="D28" s="251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7"/>
  <sheetViews>
    <sheetView showGridLines="0" view="pageBreakPreview" topLeftCell="A7" zoomScale="90" zoomScaleNormal="85" zoomScalePageLayoutView="90" workbookViewId="0">
      <selection activeCell="D24" sqref="D24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2" t="s">
        <v>62</v>
      </c>
      <c r="B1" s="252"/>
      <c r="C1" s="252"/>
      <c r="D1" s="252"/>
      <c r="E1" s="252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53" t="s">
        <v>63</v>
      </c>
      <c r="B3" s="253"/>
      <c r="C3" s="253"/>
      <c r="D3" s="253"/>
      <c r="E3" s="253"/>
      <c r="F3"/>
    </row>
    <row r="4" spans="1:6 1025:1025" ht="15" customHeight="1" x14ac:dyDescent="0.25">
      <c r="A4" s="254"/>
      <c r="B4" s="254"/>
      <c r="C4" s="254"/>
      <c r="D4" s="254"/>
      <c r="E4" s="254"/>
      <c r="F4"/>
    </row>
    <row r="5" spans="1:6 1025:1025" ht="15" customHeight="1" x14ac:dyDescent="0.2">
      <c r="A5" s="255"/>
      <c r="B5" s="255"/>
      <c r="C5" s="255"/>
      <c r="D5" s="255"/>
      <c r="E5" s="4"/>
      <c r="F5" s="5"/>
    </row>
    <row r="6" spans="1:6 1025:1025" ht="42.6" customHeight="1" x14ac:dyDescent="0.2">
      <c r="A6" s="256" t="s">
        <v>64</v>
      </c>
      <c r="B6" s="172" t="s">
        <v>65</v>
      </c>
      <c r="C6" s="172" t="s">
        <v>66</v>
      </c>
      <c r="D6" s="173" t="s">
        <v>67</v>
      </c>
      <c r="E6" s="174" t="s">
        <v>68</v>
      </c>
    </row>
    <row r="7" spans="1:6 1025:1025" ht="15" customHeight="1" x14ac:dyDescent="0.2">
      <c r="A7" s="256" t="s">
        <v>69</v>
      </c>
      <c r="B7" s="102">
        <v>2</v>
      </c>
      <c r="C7" s="103">
        <v>22</v>
      </c>
      <c r="D7" s="99">
        <v>4.4000000000000004</v>
      </c>
      <c r="E7" s="104">
        <f>B7*C7*D7</f>
        <v>193.60000000000002</v>
      </c>
    </row>
    <row r="8" spans="1:6 1025:1025" ht="15" customHeight="1" x14ac:dyDescent="0.2">
      <c r="A8" s="258" t="s">
        <v>70</v>
      </c>
      <c r="B8" s="258"/>
      <c r="C8" s="258"/>
      <c r="D8" s="258"/>
      <c r="E8" s="104">
        <f>ROUND('Planilha Estimativa'!C35*0.06,2)</f>
        <v>72.72</v>
      </c>
    </row>
    <row r="9" spans="1:6 1025:1025" ht="15" customHeight="1" x14ac:dyDescent="0.2">
      <c r="A9" s="259" t="s">
        <v>71</v>
      </c>
      <c r="B9" s="259"/>
      <c r="C9" s="259"/>
      <c r="D9" s="259"/>
      <c r="E9" s="171">
        <f>(E7-E8)</f>
        <v>120.88000000000002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5"/>
      <c r="B11" s="255"/>
      <c r="C11" s="255"/>
      <c r="D11" s="255"/>
      <c r="E11" s="255"/>
    </row>
    <row r="12" spans="1:6 1025:1025" ht="39.6" customHeight="1" x14ac:dyDescent="0.2">
      <c r="A12" s="260" t="s">
        <v>72</v>
      </c>
      <c r="B12" s="260"/>
      <c r="C12" s="173" t="s">
        <v>73</v>
      </c>
      <c r="D12" s="175" t="s">
        <v>74</v>
      </c>
      <c r="E12" s="175" t="s">
        <v>68</v>
      </c>
    </row>
    <row r="13" spans="1:6 1025:1025" ht="15" customHeight="1" x14ac:dyDescent="0.2">
      <c r="A13" s="260"/>
      <c r="B13" s="260"/>
      <c r="C13" s="99">
        <f>ROUND(15.75*22,2)</f>
        <v>346.5</v>
      </c>
      <c r="D13" s="100">
        <v>0</v>
      </c>
      <c r="E13" s="101">
        <f>C13-D13</f>
        <v>346.5</v>
      </c>
    </row>
    <row r="14" spans="1:6 1025:1025" ht="15" customHeight="1" x14ac:dyDescent="0.2">
      <c r="A14" s="255"/>
      <c r="B14" s="255"/>
      <c r="C14" s="255"/>
      <c r="D14" s="255"/>
      <c r="E14" s="4"/>
    </row>
    <row r="15" spans="1:6 1025:1025" ht="15" customHeight="1" x14ac:dyDescent="0.2">
      <c r="A15" s="94"/>
      <c r="B15" s="94"/>
      <c r="C15" s="94"/>
      <c r="D15" s="94"/>
      <c r="E15" s="4"/>
    </row>
    <row r="16" spans="1:6 1025:1025" ht="50.25" customHeight="1" x14ac:dyDescent="0.2">
      <c r="A16" s="260" t="s">
        <v>198</v>
      </c>
      <c r="B16" s="260"/>
      <c r="C16" s="175" t="s">
        <v>185</v>
      </c>
      <c r="D16" s="4"/>
      <c r="AMK16"/>
    </row>
    <row r="17" spans="1:5 1025:1025" ht="22.5" customHeight="1" x14ac:dyDescent="0.2">
      <c r="A17" s="260"/>
      <c r="B17" s="260"/>
      <c r="C17" s="187">
        <v>141.75</v>
      </c>
      <c r="D17" s="4"/>
      <c r="AMK17"/>
    </row>
    <row r="18" spans="1:5 1025:1025" ht="15" customHeight="1" x14ac:dyDescent="0.2">
      <c r="A18" s="94"/>
      <c r="B18" s="94"/>
      <c r="C18" s="94"/>
      <c r="D18" s="94"/>
      <c r="E18" s="4"/>
    </row>
    <row r="19" spans="1:5 1025:1025" ht="23.25" customHeight="1" x14ac:dyDescent="0.2">
      <c r="A19" s="260" t="s">
        <v>200</v>
      </c>
      <c r="B19" s="260"/>
      <c r="C19" s="175" t="s">
        <v>185</v>
      </c>
      <c r="D19" s="175" t="s">
        <v>202</v>
      </c>
      <c r="E19" s="175" t="s">
        <v>185</v>
      </c>
    </row>
    <row r="20" spans="1:5 1025:1025" ht="15" customHeight="1" x14ac:dyDescent="0.2">
      <c r="A20" s="260"/>
      <c r="B20" s="260"/>
      <c r="C20" s="187">
        <v>75</v>
      </c>
      <c r="D20" s="187">
        <v>10</v>
      </c>
      <c r="E20" s="273">
        <f>C20-D20</f>
        <v>65</v>
      </c>
    </row>
    <row r="21" spans="1:5 1025:1025" ht="15" customHeight="1" x14ac:dyDescent="0.2">
      <c r="A21" s="188"/>
      <c r="B21" s="188"/>
      <c r="C21" s="188"/>
      <c r="D21" s="188"/>
      <c r="E21" s="4"/>
    </row>
    <row r="22" spans="1:5 1025:1025" ht="15" customHeight="1" x14ac:dyDescent="0.2">
      <c r="A22" s="260" t="s">
        <v>204</v>
      </c>
      <c r="B22" s="260"/>
      <c r="C22" s="175" t="s">
        <v>185</v>
      </c>
      <c r="D22" s="175" t="s">
        <v>202</v>
      </c>
      <c r="E22" s="175" t="s">
        <v>185</v>
      </c>
    </row>
    <row r="23" spans="1:5 1025:1025" ht="15" customHeight="1" x14ac:dyDescent="0.2">
      <c r="A23" s="260"/>
      <c r="B23" s="260"/>
      <c r="C23" s="187">
        <v>25</v>
      </c>
      <c r="D23" s="187">
        <v>5</v>
      </c>
      <c r="E23" s="273">
        <f>C23-D23</f>
        <v>20</v>
      </c>
    </row>
    <row r="24" spans="1:5 1025:1025" ht="15" customHeight="1" x14ac:dyDescent="0.2">
      <c r="A24" s="188"/>
      <c r="B24" s="188"/>
      <c r="C24" s="188"/>
      <c r="D24" s="188"/>
      <c r="E24" s="4"/>
    </row>
    <row r="25" spans="1:5 1025:1025" ht="42.6" customHeight="1" x14ac:dyDescent="0.2">
      <c r="A25" s="257" t="s">
        <v>134</v>
      </c>
      <c r="B25" s="257"/>
      <c r="C25" s="176" t="s">
        <v>196</v>
      </c>
      <c r="D25" s="176" t="s">
        <v>136</v>
      </c>
      <c r="E25" s="177" t="s">
        <v>68</v>
      </c>
    </row>
    <row r="26" spans="1:5 1025:1025" ht="15" customHeight="1" x14ac:dyDescent="0.2">
      <c r="A26" s="257"/>
      <c r="B26" s="257"/>
      <c r="C26" s="107">
        <f>8.5*12</f>
        <v>102</v>
      </c>
      <c r="D26" s="272">
        <v>0</v>
      </c>
      <c r="E26" s="106">
        <f>ROUND((C26-D26)/12,2)</f>
        <v>8.5</v>
      </c>
    </row>
    <row r="27" spans="1:5 1025:1025" ht="15" customHeight="1" x14ac:dyDescent="0.2">
      <c r="A27" s="255"/>
      <c r="B27" s="255"/>
      <c r="C27" s="255"/>
      <c r="D27" s="255"/>
      <c r="E27" s="255"/>
    </row>
  </sheetData>
  <mergeCells count="15">
    <mergeCell ref="A14:D14"/>
    <mergeCell ref="A25:B26"/>
    <mergeCell ref="A27:E27"/>
    <mergeCell ref="A8:D8"/>
    <mergeCell ref="A9:D9"/>
    <mergeCell ref="A11:E11"/>
    <mergeCell ref="A12:B13"/>
    <mergeCell ref="A16:B17"/>
    <mergeCell ref="A19:B20"/>
    <mergeCell ref="A22:B23"/>
    <mergeCell ref="A1:E1"/>
    <mergeCell ref="A3:E3"/>
    <mergeCell ref="A4:E4"/>
    <mergeCell ref="A5:D5"/>
    <mergeCell ref="A6:A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A23" sqref="A23:D23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7" t="s">
        <v>177</v>
      </c>
      <c r="B1" s="267"/>
      <c r="C1" s="267"/>
      <c r="D1" s="267"/>
      <c r="E1" s="268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54</v>
      </c>
      <c r="B3" s="183" t="s">
        <v>179</v>
      </c>
      <c r="C3" s="183" t="s">
        <v>75</v>
      </c>
      <c r="D3" s="184" t="s">
        <v>76</v>
      </c>
      <c r="E3" s="183" t="s">
        <v>178</v>
      </c>
    </row>
    <row r="4" spans="1:5" ht="14.25" customHeight="1" x14ac:dyDescent="0.2">
      <c r="A4" s="262" t="s">
        <v>77</v>
      </c>
      <c r="B4" s="262"/>
      <c r="C4" s="262"/>
      <c r="D4" s="262"/>
      <c r="E4" s="262"/>
    </row>
    <row r="5" spans="1:5" ht="25.5" x14ac:dyDescent="0.2">
      <c r="A5" s="178" t="s">
        <v>154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155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156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63" t="s">
        <v>78</v>
      </c>
      <c r="B8" s="263"/>
      <c r="C8" s="263"/>
      <c r="D8" s="263"/>
      <c r="E8" s="182">
        <f>ROUND(SUM(E5:E7),2)</f>
        <v>18.510000000000002</v>
      </c>
    </row>
    <row r="9" spans="1:5" ht="14.25" customHeight="1" x14ac:dyDescent="0.2">
      <c r="A9" s="264" t="s">
        <v>79</v>
      </c>
      <c r="B9" s="264"/>
      <c r="C9" s="264"/>
      <c r="D9" s="264"/>
      <c r="E9" s="264"/>
    </row>
    <row r="10" spans="1:5" ht="51" x14ac:dyDescent="0.2">
      <c r="A10" s="178" t="s">
        <v>162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161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160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157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158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159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5" t="s">
        <v>80</v>
      </c>
      <c r="B16" s="265"/>
      <c r="C16" s="265"/>
      <c r="D16" s="265"/>
      <c r="E16" s="182">
        <f>ROUND(SUM(E10:E15),2)</f>
        <v>14.17</v>
      </c>
    </row>
    <row r="17" spans="1:5" ht="14.25" customHeight="1" x14ac:dyDescent="0.2">
      <c r="A17" s="266" t="s">
        <v>81</v>
      </c>
      <c r="B17" s="266"/>
      <c r="C17" s="266"/>
      <c r="D17" s="266"/>
      <c r="E17" s="266"/>
    </row>
    <row r="18" spans="1:5" ht="38.25" x14ac:dyDescent="0.2">
      <c r="A18" s="178" t="s">
        <v>163</v>
      </c>
      <c r="B18" s="179">
        <v>1212.98</v>
      </c>
      <c r="C18" s="180">
        <v>30</v>
      </c>
      <c r="D18" s="180">
        <v>1</v>
      </c>
      <c r="E18" s="9">
        <f>ROUND(B18*D18/C18,2)</f>
        <v>40.43</v>
      </c>
    </row>
    <row r="19" spans="1:5" ht="38.25" x14ac:dyDescent="0.2">
      <c r="A19" s="178" t="s">
        <v>164</v>
      </c>
      <c r="B19" s="179">
        <v>361.86</v>
      </c>
      <c r="C19" s="180">
        <v>30</v>
      </c>
      <c r="D19" s="180">
        <v>1</v>
      </c>
      <c r="E19" s="9">
        <f>ROUND(B19*D19/C19,2)</f>
        <v>12.06</v>
      </c>
    </row>
    <row r="20" spans="1:5" ht="60.75" customHeight="1" x14ac:dyDescent="0.2">
      <c r="A20" s="178" t="s">
        <v>166</v>
      </c>
      <c r="B20" s="179">
        <v>228.28</v>
      </c>
      <c r="C20" s="180">
        <v>30</v>
      </c>
      <c r="D20" s="180">
        <v>1</v>
      </c>
      <c r="E20" s="9">
        <f>ROUND(B20*D20/C20,2)</f>
        <v>7.61</v>
      </c>
    </row>
    <row r="21" spans="1:5" ht="64.5" customHeight="1" x14ac:dyDescent="0.2">
      <c r="A21" s="178" t="s">
        <v>165</v>
      </c>
      <c r="B21" s="179">
        <v>48.9</v>
      </c>
      <c r="C21" s="180">
        <v>30</v>
      </c>
      <c r="D21" s="180">
        <v>1</v>
      </c>
      <c r="E21" s="9">
        <f>ROUND(B21*D21/C21,2)</f>
        <v>1.63</v>
      </c>
    </row>
    <row r="22" spans="1:5" ht="38.25" x14ac:dyDescent="0.2">
      <c r="A22" s="178" t="s">
        <v>167</v>
      </c>
      <c r="B22" s="179">
        <v>25.15</v>
      </c>
      <c r="C22" s="180">
        <v>30</v>
      </c>
      <c r="D22" s="180">
        <v>1</v>
      </c>
      <c r="E22" s="9">
        <f>ROUND(B22*D22/C22,2)</f>
        <v>0.84</v>
      </c>
    </row>
    <row r="23" spans="1:5" ht="14.25" customHeight="1" x14ac:dyDescent="0.2">
      <c r="A23" s="271" t="s">
        <v>82</v>
      </c>
      <c r="B23" s="271"/>
      <c r="C23" s="271"/>
      <c r="D23" s="271"/>
      <c r="E23" s="10">
        <f>ROUND(SUM(E18:E22),2)</f>
        <v>62.57</v>
      </c>
    </row>
    <row r="24" spans="1:5" ht="14.25" x14ac:dyDescent="0.2">
      <c r="A24" s="271" t="s">
        <v>180</v>
      </c>
      <c r="B24" s="271"/>
      <c r="C24" s="271"/>
      <c r="D24" s="271"/>
      <c r="E24" s="181">
        <f>'Planilha Estimativa'!B19</f>
        <v>2</v>
      </c>
    </row>
    <row r="25" spans="1:5" ht="14.25" x14ac:dyDescent="0.2">
      <c r="A25" s="265" t="s">
        <v>82</v>
      </c>
      <c r="B25" s="265"/>
      <c r="C25" s="265"/>
      <c r="D25" s="265"/>
      <c r="E25" s="182">
        <f>ROUND(E23/E24,2)</f>
        <v>31.29</v>
      </c>
    </row>
    <row r="26" spans="1:5" ht="14.25" customHeight="1" x14ac:dyDescent="0.2">
      <c r="A26" s="269"/>
      <c r="B26" s="270"/>
      <c r="C26" s="270"/>
      <c r="D26" s="270"/>
      <c r="E26" s="270"/>
    </row>
    <row r="27" spans="1:5" ht="14.25" x14ac:dyDescent="0.2">
      <c r="A27" s="261" t="s">
        <v>83</v>
      </c>
      <c r="B27" s="261"/>
      <c r="C27" s="261"/>
      <c r="D27" s="261"/>
      <c r="E27" s="182">
        <f>SUM(E8+E16+E25)</f>
        <v>63.97</v>
      </c>
    </row>
  </sheetData>
  <mergeCells count="11">
    <mergeCell ref="A1:E1"/>
    <mergeCell ref="A26:E26"/>
    <mergeCell ref="A25:D25"/>
    <mergeCell ref="A23:D23"/>
    <mergeCell ref="A24:D24"/>
    <mergeCell ref="A27:D27"/>
    <mergeCell ref="A4:E4"/>
    <mergeCell ref="A8:D8"/>
    <mergeCell ref="A9:E9"/>
    <mergeCell ref="A16:D16"/>
    <mergeCell ref="A17:E17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4EB42F04-0B1C-4837-BB41-199E3028DD03}"/>
</file>

<file path=customXml/itemProps2.xml><?xml version="1.0" encoding="utf-8"?>
<ds:datastoreItem xmlns:ds="http://schemas.openxmlformats.org/officeDocument/2006/customXml" ds:itemID="{001C5FE6-BC7C-4B56-9340-6D7057F52609}"/>
</file>

<file path=customXml/itemProps3.xml><?xml version="1.0" encoding="utf-8"?>
<ds:datastoreItem xmlns:ds="http://schemas.openxmlformats.org/officeDocument/2006/customXml" ds:itemID="{810F4FBD-907B-4794-8472-54054AA7A3FB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2022-04-01T17:44:38Z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