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\Boa Vista\"/>
    </mc:Choice>
  </mc:AlternateContent>
  <xr:revisionPtr revIDLastSave="0" documentId="13_ncr:1_{8D6753C1-F2C3-49D2-8651-30A041F85266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7" i="2" l="1"/>
  <c r="E17" i="2" l="1"/>
  <c r="C13" i="2" l="1"/>
  <c r="C35" i="1" l="1"/>
  <c r="E24" i="3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<sst xmlns="http://schemas.openxmlformats.org/spreadsheetml/2006/main" count="230" uniqueCount="201">
  <si>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</si>
  <si>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</si>
  <si>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</si>
  <si>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</si>
  <si>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</si>
  <si>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</si>
  <si>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</si>
  <si>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</si>
  <si>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</si>
  <si>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</si>
  <si>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</si>
  <si>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</si>
  <si>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</si>
  <si>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</si>
  <si>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</si>
  <si>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</si>
  <si>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</si>
  <si>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</si>
  <si>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</si>
  <si>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</si>
  <si>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</si>
  <si>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</si>
  <si>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</si>
  <si>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</si>
  <si>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</si>
  <si>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</si>
  <si>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</si>
  <si>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</si>
  <si>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</si>
  <si>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</si>
  <si>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</si>
  <si>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</si>
  <si>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</si>
  <si>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</si>
  <si>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</si>
  <si>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</si>
  <si>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</si>
  <si>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</si>
  <si>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</si>
  <si>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</si>
  <si>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</si>
  <si>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</si>
  <si>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</si>
  <si>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</si>
  <si>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</si>
  <si>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</si>
  <si>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</si>
  <si>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</si>
  <si>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</si>
  <si>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</si>
  <si>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</si>
  <si>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</si>
  <si>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</si>
  <si>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</si>
  <si>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</si>
  <si>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</si>
  <si>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</si>
  <si>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</si>
  <si>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</si>
  <si>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</si>
  <si>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</si>
  <si>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</si>
  <si>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</si>
  <si>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</si>
  <si>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</si>
  <si>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</si>
  <si>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</si>
  <si>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</si>
  <si>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</si>
  <si>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</si>
  <si>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</si>
  <si>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</si>
  <si>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</si>
  <si>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</si>
  <si>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</si>
  <si>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</si>
  <si>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</si>
  <si>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</si>
  <si>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</si>
  <si>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</si>
  <si>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</si>
  <si>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</si>
  <si>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</si>
  <si>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</si>
  <si>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</si>
  <si>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</si>
  <si>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</si>
  <si>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</si>
  <si>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</si>
  <si>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</si>
  <si>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</si>
  <si>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</si>
  <si>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</si>
  <si>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</si>
  <si>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</si>
  <si>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</si>
  <si>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</si>
  <si>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</si>
  <si>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</si>
  <si>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</si>
  <si>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</si>
  <si>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</si>
  <si>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</si>
  <si>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</si>
  <si>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</si>
  <si>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</si>
  <si>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</si>
  <si>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</si>
  <si>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</si>
  <si>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</si>
  <si>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</si>
  <si>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</si>
  <si>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</si>
  <si>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</si>
  <si>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</si>
  <si>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</si>
  <si>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</si>
  <si>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</si>
  <si>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</si>
  <si>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</si>
  <si>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</si>
  <si>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</si>
  <si>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</si>
  <si>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</si>
  <si>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</si>
  <si>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</si>
  <si>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</si>
  <si>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</si>
  <si>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</si>
  <si>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</si>
  <si>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</si>
  <si>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</si>
  <si>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</si>
  <si>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</si>
  <si>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SEGURO DE VIDA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</si>
  <si>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</si>
  <si>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</si>
  <si>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</si>
  <si>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</si>
  <si>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</si>
  <si>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</si>
  <si>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</si>
  <si>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</si>
  <si>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</si>
  <si>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</si>
  <si>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</si>
  <si>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</si>
  <si>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</si>
  <si>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</si>
  <si>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</si>
  <si>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</si>
  <si>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</si>
  <si>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</si>
  <si>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</si>
  <si>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</si>
  <si>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</si>
  <si>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</si>
  <si>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</si>
  <si>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</si>
  <si>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</si>
  <si>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</si>
  <si>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</si>
  <si>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</si>
  <si>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</si>
  <si>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</si>
  <si>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</si>
  <si>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</si>
  <si>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</si>
  <si>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</si>
  <si>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</si>
  <si>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</si>
  <si>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</si>
  <si>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</si>
  <si>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</si>
  <si>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</si>
  <si>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</si>
  <si>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</si>
  <si>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</si>
  <si>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</si>
  <si>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</si>
  <si>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</si>
  <si>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</si>
  <si>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</si>
  <si>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</si>
  <si>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</si>
  <si>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</si>
  <si>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</si>
  <si>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>Custo Anual por Empregado</t>
  </si>
  <si>
    <t>01 de janeiro</t>
  </si>
  <si>
    <t xml:space="preserve">    C - Assistência Médica e Familiar </t>
  </si>
  <si>
    <t xml:space="preserve">    F – Outros</t>
  </si>
  <si>
    <t>A - Pernoite do carregador/auxiliar de serviços gerais em outro município (alimentação e hospedagem) - Valor não definido em CCT</t>
  </si>
  <si>
    <t>INSS - GERÊNCIA EXECUTIVA EM BOA VISTA/RR</t>
  </si>
  <si>
    <t>Boa Vista/RR</t>
  </si>
  <si>
    <t>2022/2022</t>
  </si>
  <si>
    <t>RR000013/2022</t>
  </si>
  <si>
    <t>A - Salário-Base (Cláusula 3ª)</t>
  </si>
  <si>
    <t xml:space="preserve">    B - Auxílio Alimentação (Cláusula 10ª)</t>
  </si>
  <si>
    <t xml:space="preserve">    A - Auxílio Transporte (Cláusula 11ª)</t>
  </si>
  <si>
    <t xml:space="preserve">    D – Outros (Seguro de Vida)</t>
  </si>
  <si>
    <t xml:space="preserve">    E – Outros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</si>
</sst>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indexed="34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1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3" fontId="8" fillId="44" borderId="30" xfId="0" applyNumberFormat="1" applyFont="1" applyFill="1" applyBorder="1" applyAlignment="1">
      <alignment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7" fillId="21" borderId="2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37" fillId="41" borderId="22" xfId="0" applyFont="1" applyFill="1" applyBorder="1" applyAlignment="1">
      <alignment horizontal="center" vertical="center" wrapText="1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7" fillId="39" borderId="22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9" fillId="0" borderId="22" xfId="0" applyFont="1" applyBorder="1" applyAlignment="1">
      <alignment horizontal="right" vertical="center" wrapText="1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zoomScaleNormal="78" zoomScaleSheetLayoutView="100" zoomScalePageLayoutView="90" workbookViewId="0">
      <selection activeCell="C63" sqref="C63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218" t="s">
        <v>104</v>
      </c>
      <c r="B1" s="218"/>
      <c r="C1" s="218"/>
    </row>
    <row r="2" spans="1:3" x14ac:dyDescent="0.2">
      <c r="A2" s="229"/>
      <c r="B2" s="229"/>
      <c r="C2" s="229"/>
    </row>
    <row r="3" spans="1:3" ht="20.25" customHeight="1" x14ac:dyDescent="0.2">
      <c r="A3" s="219" t="s">
        <v>192</v>
      </c>
      <c r="B3" s="219"/>
      <c r="C3" s="219"/>
    </row>
    <row r="4" spans="1:3" x14ac:dyDescent="0.2">
      <c r="A4" s="230"/>
      <c r="B4" s="230"/>
      <c r="C4" s="230"/>
    </row>
    <row r="5" spans="1:3" x14ac:dyDescent="0.2">
      <c r="A5" s="166" t="s">
        <v>105</v>
      </c>
      <c r="B5" s="241"/>
      <c r="C5" s="241"/>
    </row>
    <row r="6" spans="1:3" x14ac:dyDescent="0.2">
      <c r="A6" s="166" t="s">
        <v>106</v>
      </c>
      <c r="B6" s="241"/>
      <c r="C6" s="241"/>
    </row>
    <row r="7" spans="1:3" ht="29.25" customHeight="1" x14ac:dyDescent="0.2">
      <c r="A7" s="166" t="s">
        <v>107</v>
      </c>
      <c r="B7" s="241" t="s">
        <v>108</v>
      </c>
      <c r="C7" s="241"/>
    </row>
    <row r="8" spans="1:3" ht="22.5" customHeight="1" x14ac:dyDescent="0.2">
      <c r="A8" s="228"/>
      <c r="B8" s="228"/>
      <c r="C8" s="228"/>
    </row>
    <row r="9" spans="1:3" ht="15" x14ac:dyDescent="0.2">
      <c r="A9" s="235" t="s">
        <v>109</v>
      </c>
      <c r="B9" s="236"/>
      <c r="C9" s="237"/>
    </row>
    <row r="10" spans="1:3" ht="43.5" customHeight="1" x14ac:dyDescent="0.2">
      <c r="A10" s="238" t="s">
        <v>182</v>
      </c>
      <c r="B10" s="239"/>
      <c r="C10" s="240"/>
    </row>
    <row r="11" spans="1:3" ht="15" x14ac:dyDescent="0.2">
      <c r="A11" s="235" t="s">
        <v>110</v>
      </c>
      <c r="B11" s="236"/>
      <c r="C11" s="237"/>
    </row>
    <row r="12" spans="1:3" ht="26.25" customHeight="1" x14ac:dyDescent="0.2">
      <c r="A12" s="238" t="s">
        <v>181</v>
      </c>
      <c r="B12" s="239"/>
      <c r="C12" s="240"/>
    </row>
    <row r="13" spans="1:3" ht="26.25" customHeight="1" thickBot="1" x14ac:dyDescent="0.25">
      <c r="A13" s="232"/>
      <c r="B13" s="232"/>
      <c r="C13" s="232"/>
    </row>
    <row r="14" spans="1:3" ht="15" customHeight="1" thickBot="1" x14ac:dyDescent="0.25">
      <c r="A14" s="231" t="s">
        <v>111</v>
      </c>
      <c r="B14" s="231"/>
      <c r="C14" s="231"/>
    </row>
    <row r="15" spans="1:3" ht="20.25" customHeight="1" thickBot="1" x14ac:dyDescent="0.25">
      <c r="A15" s="119" t="s">
        <v>116</v>
      </c>
      <c r="B15" s="233"/>
      <c r="C15" s="233"/>
    </row>
    <row r="16" spans="1:3" ht="20.25" customHeight="1" thickBot="1" x14ac:dyDescent="0.25">
      <c r="A16" s="119" t="s">
        <v>117</v>
      </c>
      <c r="B16" s="234" t="s">
        <v>193</v>
      </c>
      <c r="C16" s="234"/>
    </row>
    <row r="17" spans="1:3" ht="24" customHeight="1" thickBot="1" x14ac:dyDescent="0.25">
      <c r="A17" s="120" t="s">
        <v>118</v>
      </c>
      <c r="B17" s="234" t="s">
        <v>194</v>
      </c>
      <c r="C17" s="234"/>
    </row>
    <row r="18" spans="1:3" ht="13.5" thickBot="1" x14ac:dyDescent="0.25">
      <c r="A18" s="119" t="s">
        <v>119</v>
      </c>
      <c r="B18" s="221">
        <v>30</v>
      </c>
      <c r="C18" s="221"/>
    </row>
    <row r="19" spans="1:3" ht="13.5" thickBot="1" x14ac:dyDescent="0.25">
      <c r="A19" s="119" t="s">
        <v>175</v>
      </c>
      <c r="B19" s="221">
        <v>2</v>
      </c>
      <c r="C19" s="221"/>
    </row>
    <row r="20" spans="1:3" ht="13.5" thickBot="1" x14ac:dyDescent="0.25">
      <c r="B20" s="35"/>
      <c r="C20" s="35"/>
    </row>
    <row r="21" spans="1:3" ht="15.75" thickBot="1" x14ac:dyDescent="0.25">
      <c r="A21" s="222" t="s">
        <v>112</v>
      </c>
      <c r="B21" s="223"/>
      <c r="C21" s="224"/>
    </row>
    <row r="22" spans="1:3" ht="15.75" thickBot="1" x14ac:dyDescent="0.25">
      <c r="A22" s="225" t="s">
        <v>113</v>
      </c>
      <c r="B22" s="226"/>
      <c r="C22" s="227"/>
    </row>
    <row r="23" spans="1:3" ht="13.5" thickBot="1" x14ac:dyDescent="0.25">
      <c r="A23" s="117" t="s">
        <v>120</v>
      </c>
      <c r="B23" s="213" t="s">
        <v>114</v>
      </c>
      <c r="C23" s="213"/>
    </row>
    <row r="24" spans="1:3" ht="13.5" thickBot="1" x14ac:dyDescent="0.25">
      <c r="A24" s="117" t="s">
        <v>121</v>
      </c>
      <c r="B24" s="214" t="s">
        <v>123</v>
      </c>
      <c r="C24" s="214"/>
    </row>
    <row r="25" spans="1:3" ht="13.5" thickBot="1" x14ac:dyDescent="0.25">
      <c r="A25" s="118" t="s">
        <v>122</v>
      </c>
      <c r="B25" s="215">
        <v>1240</v>
      </c>
      <c r="C25" s="215"/>
    </row>
    <row r="26" spans="1:3" ht="13.5" thickBot="1" x14ac:dyDescent="0.25">
      <c r="A26" s="118" t="s">
        <v>183</v>
      </c>
      <c r="B26" s="217">
        <v>1212</v>
      </c>
      <c r="C26" s="217"/>
    </row>
    <row r="27" spans="1:3" ht="13.5" thickBot="1" x14ac:dyDescent="0.25">
      <c r="A27" s="118" t="s">
        <v>184</v>
      </c>
      <c r="B27" s="213" t="s">
        <v>115</v>
      </c>
      <c r="C27" s="213"/>
    </row>
    <row r="28" spans="1:3" ht="13.5" thickBot="1" x14ac:dyDescent="0.25">
      <c r="A28" s="118" t="s">
        <v>185</v>
      </c>
      <c r="B28" s="216" t="s">
        <v>188</v>
      </c>
      <c r="C28" s="216"/>
    </row>
    <row r="29" spans="1:3" ht="13.5" thickBot="1" x14ac:dyDescent="0.25">
      <c r="A29" s="118" t="s">
        <v>186</v>
      </c>
      <c r="B29" s="216" t="s">
        <v>195</v>
      </c>
      <c r="C29" s="216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0" t="s">
        <v>1</v>
      </c>
      <c r="C32" s="110" t="s">
        <v>2</v>
      </c>
    </row>
    <row r="33" spans="1:1022" ht="15" customHeight="1" thickBot="1" x14ac:dyDescent="0.25">
      <c r="A33" s="220" t="s">
        <v>3</v>
      </c>
      <c r="B33" s="220"/>
      <c r="C33" s="220"/>
    </row>
    <row r="34" spans="1:1022" ht="26.25" thickBot="1" x14ac:dyDescent="0.25">
      <c r="A34" s="114" t="s">
        <v>4</v>
      </c>
      <c r="B34" s="115" t="s">
        <v>135</v>
      </c>
      <c r="C34" s="116" t="s">
        <v>5</v>
      </c>
    </row>
    <row r="35" spans="1:1022" ht="15" x14ac:dyDescent="0.2">
      <c r="A35" s="40" t="s">
        <v>196</v>
      </c>
      <c r="B35" s="41"/>
      <c r="C35" s="42">
        <f>IF(B25&gt;=B26,B25,B26)</f>
        <v>1240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1" t="s">
        <v>11</v>
      </c>
      <c r="B41" s="112"/>
      <c r="C41" s="113">
        <f>SUM(C35:C40)</f>
        <v>1240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09" t="s">
        <v>12</v>
      </c>
      <c r="B43" s="209"/>
      <c r="C43" s="209"/>
    </row>
    <row r="44" spans="1:1022" s="54" customFormat="1" ht="13.5" thickBot="1" x14ac:dyDescent="0.25">
      <c r="A44" s="52" t="s">
        <v>13</v>
      </c>
      <c r="B44" s="121" t="s">
        <v>14</v>
      </c>
      <c r="C44" s="121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2">
        <f>1/12</f>
        <v>8.3333333333333329E-2</v>
      </c>
      <c r="C45" s="94">
        <f>ROUND($B45*C$41,2)</f>
        <v>103.33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3">
        <f>B45/3</f>
        <v>2.7777777777777776E-2</v>
      </c>
      <c r="C46" s="95">
        <f>ROUND($B46*C$41,2)</f>
        <v>34.44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4">
        <f>SUM(B45:B46)</f>
        <v>0.1111111111111111</v>
      </c>
      <c r="C47" s="59">
        <f>ROUND(SUM(C45:C46),2)</f>
        <v>137.77000000000001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6" t="s">
        <v>125</v>
      </c>
      <c r="B48" s="121" t="s">
        <v>14</v>
      </c>
      <c r="C48" s="121" t="s">
        <v>5</v>
      </c>
    </row>
    <row r="49" spans="1:1022" s="62" customFormat="1" ht="15" x14ac:dyDescent="0.2">
      <c r="A49" s="40" t="s">
        <v>126</v>
      </c>
      <c r="B49" s="123">
        <v>0.2</v>
      </c>
      <c r="C49" s="42">
        <f>ROUND($B49*(C$41+C$47),2)</f>
        <v>275.55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3">
        <v>2.5000000000000001E-2</v>
      </c>
      <c r="C50" s="42">
        <f>ROUND($B50*(C$41+C$47),2)</f>
        <v>34.44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3">
        <v>0.03</v>
      </c>
      <c r="C51" s="42">
        <f t="shared" ref="C51:C56" si="0">ROUND($B51*(C$41+C$47),2)</f>
        <v>41.33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3">
        <v>1.4999999999999999E-2</v>
      </c>
      <c r="C52" s="42">
        <f t="shared" si="0"/>
        <v>20.67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3">
        <v>0.01</v>
      </c>
      <c r="C53" s="42">
        <f t="shared" si="0"/>
        <v>13.78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3">
        <v>6.0000000000000001E-3</v>
      </c>
      <c r="C54" s="42">
        <f t="shared" si="0"/>
        <v>8.27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3">
        <v>2E-3</v>
      </c>
      <c r="C55" s="42">
        <f t="shared" si="0"/>
        <v>2.76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3">
        <v>0.08</v>
      </c>
      <c r="C56" s="42">
        <f t="shared" si="0"/>
        <v>110.22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4">
        <f>SUM(B49:B56)</f>
        <v>0.36800000000000005</v>
      </c>
      <c r="C57" s="63">
        <f>ROUND(SUM(C49:C56),2)</f>
        <v>507.02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8"/>
      <c r="C58" s="125" t="s">
        <v>5</v>
      </c>
    </row>
    <row r="59" spans="1:1022" ht="15" x14ac:dyDescent="0.2">
      <c r="A59" s="40" t="s">
        <v>198</v>
      </c>
      <c r="B59" s="126"/>
      <c r="C59" s="104">
        <f>Benefícios!E9</f>
        <v>88.4</v>
      </c>
    </row>
    <row r="60" spans="1:1022" ht="15" x14ac:dyDescent="0.2">
      <c r="A60" s="40" t="s">
        <v>197</v>
      </c>
      <c r="B60" s="126"/>
      <c r="C60" s="67">
        <f>Benefícios!E13</f>
        <v>428.75</v>
      </c>
    </row>
    <row r="61" spans="1:1022" ht="15" x14ac:dyDescent="0.2">
      <c r="A61" s="40" t="s">
        <v>189</v>
      </c>
      <c r="B61" s="126"/>
      <c r="C61" s="67"/>
    </row>
    <row r="62" spans="1:1022" ht="15" x14ac:dyDescent="0.2">
      <c r="A62" s="40" t="s">
        <v>199</v>
      </c>
      <c r="B62" s="126"/>
      <c r="C62" s="67">
        <f>Benefícios!E17</f>
        <v>8.5</v>
      </c>
    </row>
    <row r="63" spans="1:1022" ht="15" x14ac:dyDescent="0.2">
      <c r="A63" s="40" t="s">
        <v>200</v>
      </c>
      <c r="B63" s="126"/>
      <c r="C63" s="67"/>
    </row>
    <row r="64" spans="1:1022" ht="15" x14ac:dyDescent="0.2">
      <c r="A64" s="40" t="s">
        <v>190</v>
      </c>
      <c r="B64" s="126"/>
      <c r="C64" s="67"/>
    </row>
    <row r="65" spans="1:1022" ht="15" x14ac:dyDescent="0.2">
      <c r="A65" s="57" t="s">
        <v>16</v>
      </c>
      <c r="B65" s="127"/>
      <c r="C65" s="63">
        <f>SUM(C59:C64)</f>
        <v>525.65</v>
      </c>
    </row>
    <row r="66" spans="1:1022" x14ac:dyDescent="0.2">
      <c r="A66" s="129" t="s">
        <v>18</v>
      </c>
      <c r="B66" s="130"/>
      <c r="C66" s="131" t="s">
        <v>5</v>
      </c>
    </row>
    <row r="67" spans="1:1022" ht="15" x14ac:dyDescent="0.2">
      <c r="A67" s="68" t="s">
        <v>137</v>
      </c>
      <c r="B67" s="69">
        <f>B47</f>
        <v>0.1111111111111111</v>
      </c>
      <c r="C67" s="56">
        <f>C47</f>
        <v>137.77000000000001</v>
      </c>
    </row>
    <row r="68" spans="1:1022" ht="15" x14ac:dyDescent="0.2">
      <c r="A68" s="70" t="s">
        <v>138</v>
      </c>
      <c r="B68" s="71">
        <f>B57</f>
        <v>0.36800000000000005</v>
      </c>
      <c r="C68" s="67">
        <f>C57</f>
        <v>507.02</v>
      </c>
    </row>
    <row r="69" spans="1:1022" ht="15" x14ac:dyDescent="0.2">
      <c r="A69" s="70" t="s">
        <v>139</v>
      </c>
      <c r="B69" s="71"/>
      <c r="C69" s="67">
        <f>C65</f>
        <v>525.65</v>
      </c>
    </row>
    <row r="70" spans="1:1022" ht="15" x14ac:dyDescent="0.2">
      <c r="A70" s="111" t="s">
        <v>11</v>
      </c>
      <c r="B70" s="112"/>
      <c r="C70" s="113">
        <f>SUM(C67:C69)</f>
        <v>1170.44</v>
      </c>
    </row>
    <row r="71" spans="1:1022" ht="15" x14ac:dyDescent="0.2">
      <c r="A71" s="72"/>
      <c r="B71" s="51"/>
      <c r="C71" s="51"/>
    </row>
    <row r="72" spans="1:1022" ht="15" customHeight="1" x14ac:dyDescent="0.2">
      <c r="A72" s="209" t="s">
        <v>19</v>
      </c>
      <c r="B72" s="209"/>
      <c r="C72" s="209"/>
    </row>
    <row r="73" spans="1:1022" x14ac:dyDescent="0.2">
      <c r="A73" s="132" t="s">
        <v>20</v>
      </c>
      <c r="B73" s="133"/>
      <c r="C73" s="134" t="s">
        <v>5</v>
      </c>
    </row>
    <row r="74" spans="1:1022" s="62" customFormat="1" ht="25.5" x14ac:dyDescent="0.2">
      <c r="A74" s="40" t="s">
        <v>140</v>
      </c>
      <c r="B74" s="135">
        <f>1/12*0.05</f>
        <v>4.1666666666666666E-3</v>
      </c>
      <c r="C74" s="56">
        <f>ROUND($B74*C$41,2)</f>
        <v>5.17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141</v>
      </c>
      <c r="B75" s="135">
        <f>B56*B74</f>
        <v>3.3333333333333332E-4</v>
      </c>
      <c r="C75" s="67">
        <f>ROUND($B75*C$41,2)</f>
        <v>0.41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142</v>
      </c>
      <c r="B76" s="135">
        <f>B74*((0.4*B56)+SUM(B50:B55))</f>
        <v>5.0000000000000001E-4</v>
      </c>
      <c r="C76" s="67">
        <f t="shared" ref="C76:C78" si="1">ROUND($B76*C$41,2)</f>
        <v>0.62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143</v>
      </c>
      <c r="B77" s="135">
        <f>1/30*7/12</f>
        <v>1.9444444444444445E-2</v>
      </c>
      <c r="C77" s="67">
        <f t="shared" si="1"/>
        <v>24.11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144</v>
      </c>
      <c r="B78" s="135">
        <f>B57*B77</f>
        <v>7.1555555555555565E-3</v>
      </c>
      <c r="C78" s="67">
        <f t="shared" si="1"/>
        <v>8.8699999999999992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145</v>
      </c>
      <c r="B79" s="136">
        <f>8%*40%*90%*(1+1/12+1/12+1/3*1/12)</f>
        <v>3.4399999999999993E-2</v>
      </c>
      <c r="C79" s="67">
        <f>ROUND($B79*C$41,2)</f>
        <v>42.66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7" t="s">
        <v>11</v>
      </c>
      <c r="B80" s="138">
        <f>SUM(B74:B79)</f>
        <v>6.5999999999999989E-2</v>
      </c>
      <c r="C80" s="113">
        <f>SUM(C74:C79)</f>
        <v>81.84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09" t="s">
        <v>21</v>
      </c>
      <c r="B82" s="209"/>
      <c r="C82" s="209"/>
    </row>
    <row r="83" spans="1:1022" x14ac:dyDescent="0.2">
      <c r="A83" s="66" t="s">
        <v>22</v>
      </c>
      <c r="B83" s="139"/>
      <c r="C83" s="140" t="s">
        <v>5</v>
      </c>
    </row>
    <row r="84" spans="1:1022" s="62" customFormat="1" ht="15" x14ac:dyDescent="0.2">
      <c r="A84" s="40" t="s">
        <v>146</v>
      </c>
      <c r="B84" s="123">
        <f>1/12</f>
        <v>8.3333333333333329E-2</v>
      </c>
      <c r="C84" s="42">
        <f>ROUND($B84*(C$41+C$70+C80),2)</f>
        <v>207.69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147</v>
      </c>
      <c r="B85" s="141">
        <f>'Estimativa Afastamentos'!C14/30.4375/12</f>
        <v>1.0519917864476385E-2</v>
      </c>
      <c r="C85" s="42">
        <f>ROUND($B85*(C$41+C$70+C$80),2)</f>
        <v>26.22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148</v>
      </c>
      <c r="B86" s="141">
        <f>5/30.4375/12*'Estimativa Afastamentos'!D20*'Estimativa Afastamentos'!D19</f>
        <v>2.0533880903490757E-4</v>
      </c>
      <c r="C86" s="42">
        <f t="shared" ref="C86:C89" si="2">ROUND($B86*(C$41+C$70+C$80),2)</f>
        <v>0.51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149</v>
      </c>
      <c r="B87" s="141">
        <f>'Estimativa Afastamentos'!D25/30.4375/12</f>
        <v>1.8926762491444217E-3</v>
      </c>
      <c r="C87" s="42">
        <f t="shared" si="2"/>
        <v>4.72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150</v>
      </c>
      <c r="B88" s="141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151</v>
      </c>
      <c r="B89" s="123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4">
        <f>SUM(B84:B89)</f>
        <v>9.5951266255989043E-2</v>
      </c>
      <c r="C90" s="63">
        <f>ROUND(SUM(C84:C89),2)</f>
        <v>239.14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39"/>
      <c r="C91" s="140" t="s">
        <v>5</v>
      </c>
    </row>
    <row r="92" spans="1:1022" s="62" customFormat="1" ht="15.75" thickBot="1" x14ac:dyDescent="0.25">
      <c r="A92" s="40" t="s">
        <v>25</v>
      </c>
      <c r="B92" s="141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6" t="s">
        <v>26</v>
      </c>
      <c r="B94" s="147"/>
      <c r="C94" s="134" t="s">
        <v>5</v>
      </c>
      <c r="E94" s="65"/>
    </row>
    <row r="95" spans="1:1022" s="62" customFormat="1" ht="15" x14ac:dyDescent="0.2">
      <c r="A95" s="148" t="s">
        <v>152</v>
      </c>
      <c r="B95" s="149">
        <f>B90</f>
        <v>9.5951266255989043E-2</v>
      </c>
      <c r="C95" s="56">
        <f>C90</f>
        <v>239.14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8" t="s">
        <v>153</v>
      </c>
      <c r="B96" s="149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7" t="s">
        <v>11</v>
      </c>
      <c r="B97" s="138"/>
      <c r="C97" s="113">
        <f>SUM(C95:C96)</f>
        <v>239.14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09" t="s">
        <v>27</v>
      </c>
      <c r="B99" s="209"/>
      <c r="C99" s="209"/>
      <c r="D99" s="65"/>
      <c r="E99" s="65"/>
    </row>
    <row r="100" spans="1:42" x14ac:dyDescent="0.2">
      <c r="A100" s="132" t="s">
        <v>28</v>
      </c>
      <c r="B100" s="133"/>
      <c r="C100" s="134" t="s">
        <v>5</v>
      </c>
    </row>
    <row r="101" spans="1:42" ht="15" x14ac:dyDescent="0.2">
      <c r="A101" s="78" t="s">
        <v>29</v>
      </c>
      <c r="B101" s="142"/>
      <c r="C101" s="79">
        <f>Insumos!E8</f>
        <v>18.510000000000002</v>
      </c>
    </row>
    <row r="102" spans="1:42" ht="15" x14ac:dyDescent="0.2">
      <c r="A102" s="78" t="s">
        <v>30</v>
      </c>
      <c r="B102" s="142"/>
      <c r="C102" s="79">
        <f>Insumos!E16</f>
        <v>14.17</v>
      </c>
    </row>
    <row r="103" spans="1:42" ht="15" x14ac:dyDescent="0.2">
      <c r="A103" s="78" t="s">
        <v>31</v>
      </c>
      <c r="B103" s="142"/>
      <c r="C103" s="79">
        <f>Insumos!E25</f>
        <v>31.29</v>
      </c>
    </row>
    <row r="104" spans="1:42" ht="15" x14ac:dyDescent="0.2">
      <c r="A104" s="137" t="s">
        <v>11</v>
      </c>
      <c r="B104" s="145"/>
      <c r="C104" s="113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09" t="s">
        <v>32</v>
      </c>
      <c r="B106" s="209"/>
      <c r="C106" s="209"/>
    </row>
    <row r="107" spans="1:42" x14ac:dyDescent="0.2">
      <c r="A107" s="132" t="s">
        <v>33</v>
      </c>
      <c r="B107" s="133"/>
      <c r="C107" s="134" t="s">
        <v>5</v>
      </c>
    </row>
    <row r="108" spans="1:42" ht="15" x14ac:dyDescent="0.2">
      <c r="A108" s="148" t="s">
        <v>34</v>
      </c>
      <c r="B108" s="150">
        <v>0.06</v>
      </c>
      <c r="C108" s="56">
        <f>ROUND($B108*(C41+C70+C80+C97+C104),2)</f>
        <v>167.72</v>
      </c>
    </row>
    <row r="109" spans="1:42" ht="15" x14ac:dyDescent="0.2">
      <c r="A109" s="148" t="s">
        <v>35</v>
      </c>
      <c r="B109" s="150">
        <v>6.7900000000000002E-2</v>
      </c>
      <c r="C109" s="67">
        <f>ROUND($B109*(C41+C70+C80+C97+C104+C108),2)</f>
        <v>201.2</v>
      </c>
    </row>
    <row r="110" spans="1:42" ht="15" x14ac:dyDescent="0.2">
      <c r="A110" s="148" t="s">
        <v>36</v>
      </c>
      <c r="B110" s="149">
        <f>SUM(B111:B114)</f>
        <v>8.6499999999999994E-2</v>
      </c>
      <c r="C110" s="67">
        <f>ROUND(((C41+C70+C80+C97+C104+C108+C109)/(1-($B$110)))*$B110,2)</f>
        <v>299.63</v>
      </c>
    </row>
    <row r="111" spans="1:42" ht="14.25" x14ac:dyDescent="0.2">
      <c r="A111" s="148" t="s">
        <v>37</v>
      </c>
      <c r="B111" s="149">
        <f>0.0065+0.03</f>
        <v>3.6499999999999998E-2</v>
      </c>
      <c r="C111" s="80">
        <f>((C41+C70+C80+C97+C104+C108+C109)/(1-($B$110)))*$B111</f>
        <v>126.43384236453198</v>
      </c>
    </row>
    <row r="112" spans="1:42" ht="14.25" x14ac:dyDescent="0.2">
      <c r="A112" s="148" t="s">
        <v>38</v>
      </c>
      <c r="B112" s="149"/>
      <c r="C112" s="80"/>
    </row>
    <row r="113" spans="1:42" ht="14.25" x14ac:dyDescent="0.2">
      <c r="A113" s="148" t="s">
        <v>39</v>
      </c>
      <c r="B113" s="150">
        <v>0.05</v>
      </c>
      <c r="C113" s="80">
        <f>((C41+C70+C80+C97+C104+C108+C109)/(1-($B$110)))*$B113</f>
        <v>173.19704433497535</v>
      </c>
    </row>
    <row r="114" spans="1:42" ht="14.25" x14ac:dyDescent="0.2">
      <c r="A114" s="148" t="s">
        <v>40</v>
      </c>
      <c r="B114" s="151"/>
      <c r="C114" s="81"/>
    </row>
    <row r="115" spans="1:42" ht="15" x14ac:dyDescent="0.2">
      <c r="A115" s="143" t="s">
        <v>11</v>
      </c>
      <c r="B115" s="152"/>
      <c r="C115" s="144">
        <f>SUM(C108:C110)</f>
        <v>668.55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10" t="s">
        <v>41</v>
      </c>
      <c r="B118" s="210"/>
      <c r="C118" s="210"/>
    </row>
    <row r="119" spans="1:42" ht="13.9" customHeight="1" x14ac:dyDescent="0.2">
      <c r="A119" s="211" t="s">
        <v>42</v>
      </c>
      <c r="B119" s="211"/>
      <c r="C119" s="154" t="s">
        <v>5</v>
      </c>
    </row>
    <row r="120" spans="1:42" ht="15" customHeight="1" x14ac:dyDescent="0.2">
      <c r="A120" s="212" t="s">
        <v>43</v>
      </c>
      <c r="B120" s="212"/>
      <c r="C120" s="82">
        <f>C41</f>
        <v>1240</v>
      </c>
    </row>
    <row r="121" spans="1:42" ht="15" customHeight="1" x14ac:dyDescent="0.2">
      <c r="A121" s="207" t="s">
        <v>44</v>
      </c>
      <c r="B121" s="207"/>
      <c r="C121" s="83">
        <f>C70</f>
        <v>1170.44</v>
      </c>
    </row>
    <row r="122" spans="1:42" ht="13.9" customHeight="1" x14ac:dyDescent="0.2">
      <c r="A122" s="207" t="s">
        <v>45</v>
      </c>
      <c r="B122" s="207"/>
      <c r="C122" s="83">
        <f>C80</f>
        <v>81.84</v>
      </c>
    </row>
    <row r="123" spans="1:42" ht="15" customHeight="1" x14ac:dyDescent="0.2">
      <c r="A123" s="207" t="s">
        <v>46</v>
      </c>
      <c r="B123" s="207"/>
      <c r="C123" s="83">
        <f>C97</f>
        <v>239.14</v>
      </c>
    </row>
    <row r="124" spans="1:42" ht="15.75" customHeight="1" x14ac:dyDescent="0.2">
      <c r="A124" s="207" t="s">
        <v>47</v>
      </c>
      <c r="B124" s="207"/>
      <c r="C124" s="83">
        <f>C104</f>
        <v>63.97</v>
      </c>
    </row>
    <row r="125" spans="1:42" ht="15.75" customHeight="1" x14ac:dyDescent="0.2">
      <c r="A125" s="208" t="s">
        <v>48</v>
      </c>
      <c r="B125" s="208"/>
      <c r="C125" s="84">
        <f>SUM(C120:C124)</f>
        <v>2795.39</v>
      </c>
    </row>
    <row r="126" spans="1:42" ht="15.75" customHeight="1" x14ac:dyDescent="0.2">
      <c r="A126" s="188" t="s">
        <v>49</v>
      </c>
      <c r="B126" s="188"/>
      <c r="C126" s="85">
        <f>C115</f>
        <v>668.55</v>
      </c>
    </row>
    <row r="127" spans="1:42" ht="15.75" customHeight="1" x14ac:dyDescent="0.2">
      <c r="A127" s="189" t="s">
        <v>50</v>
      </c>
      <c r="B127" s="189"/>
      <c r="C127" s="155">
        <f>C120+C121+C122+C123+C124+C126</f>
        <v>3463.9399999999996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190" t="s">
        <v>51</v>
      </c>
      <c r="B129" s="190"/>
      <c r="C129" s="190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6" t="s">
        <v>52</v>
      </c>
      <c r="B130" s="157"/>
      <c r="C130" s="158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191</v>
      </c>
      <c r="B131" s="97">
        <v>177</v>
      </c>
      <c r="C131" s="193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168</v>
      </c>
      <c r="B132" s="107">
        <v>10</v>
      </c>
      <c r="C132" s="194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169</v>
      </c>
      <c r="B133" s="88">
        <v>500</v>
      </c>
      <c r="C133" s="153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191" t="s">
        <v>171</v>
      </c>
      <c r="B134" s="191"/>
      <c r="C134" s="159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192"/>
      <c r="B135" s="192"/>
      <c r="C135" s="192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195" t="s">
        <v>53</v>
      </c>
      <c r="B136" s="196"/>
      <c r="C136" s="196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199" t="s">
        <v>54</v>
      </c>
      <c r="B137" s="200"/>
      <c r="C137" s="160" t="s">
        <v>170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01" t="s">
        <v>55</v>
      </c>
      <c r="B138" s="202"/>
      <c r="C138" s="108">
        <f>C127</f>
        <v>3463.9399999999996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03" t="s">
        <v>56</v>
      </c>
      <c r="B139" s="204"/>
      <c r="C139" s="109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05" t="s">
        <v>57</v>
      </c>
      <c r="B140" s="206"/>
      <c r="C140" s="161">
        <f>C138+C139</f>
        <v>5733.94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192"/>
      <c r="B141" s="192"/>
      <c r="C141" s="192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197" t="s">
        <v>172</v>
      </c>
      <c r="B142" s="197"/>
      <c r="C142" s="197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3" t="s">
        <v>54</v>
      </c>
      <c r="B143" s="164" t="s">
        <v>58</v>
      </c>
      <c r="C143" s="164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2">
        <f>B19</f>
        <v>2</v>
      </c>
      <c r="C144" s="92">
        <f>C140*B144</f>
        <v>11467.88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198"/>
      <c r="B145" s="198"/>
      <c r="C145" s="198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5" t="s">
        <v>61</v>
      </c>
      <c r="B146" s="164" t="s">
        <v>173</v>
      </c>
      <c r="C146" s="164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174</v>
      </c>
      <c r="B147" s="162">
        <f>B18</f>
        <v>30</v>
      </c>
      <c r="C147" s="90">
        <f>C144*B147</f>
        <v>344036.39999999997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:C12"/>
    <mergeCell ref="B5:C5"/>
    <mergeCell ref="B6:C6"/>
    <mergeCell ref="B7:C7"/>
    <mergeCell ref="A9:C9"/>
    <mergeCell ref="A10:C10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6:B126"/>
    <mergeCell ref="A127:B127"/>
    <mergeCell ref="A129:C129"/>
    <mergeCell ref="A134:B134"/>
    <mergeCell ref="A135:C135"/>
    <mergeCell ref="C131:C132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9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6" t="s">
        <v>176</v>
      </c>
      <c r="B1" s="247"/>
      <c r="C1" s="247"/>
      <c r="D1" s="247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2" t="s">
        <v>84</v>
      </c>
      <c r="B4" s="242"/>
      <c r="C4" s="243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7" t="s">
        <v>11</v>
      </c>
      <c r="B14" s="168"/>
      <c r="C14" s="169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4" t="s">
        <v>94</v>
      </c>
      <c r="B17" s="244"/>
      <c r="C17" s="244"/>
      <c r="D17" s="245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4" t="s">
        <v>99</v>
      </c>
      <c r="B24" s="244"/>
      <c r="C24" s="244"/>
      <c r="D24" s="245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48" t="s">
        <v>101</v>
      </c>
      <c r="B28" s="249"/>
      <c r="C28" s="249"/>
      <c r="D28" s="250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18"/>
  <sheetViews>
    <sheetView showGridLines="0" view="pageBreakPreview" zoomScale="90" zoomScaleNormal="85" zoomScalePageLayoutView="90" workbookViewId="0">
      <selection activeCell="G20" sqref="G20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" ht="15" customHeight="1" x14ac:dyDescent="0.25">
      <c r="A1" s="256" t="s">
        <v>62</v>
      </c>
      <c r="B1" s="256"/>
      <c r="C1" s="256"/>
      <c r="D1" s="256"/>
      <c r="E1" s="256"/>
      <c r="F1"/>
    </row>
    <row r="2" spans="1:6" ht="15" customHeight="1" x14ac:dyDescent="0.2">
      <c r="A2" s="2"/>
      <c r="B2" s="2"/>
      <c r="C2" s="2"/>
      <c r="D2" s="2"/>
      <c r="E2" s="2"/>
      <c r="F2"/>
    </row>
    <row r="3" spans="1:6" ht="15" customHeight="1" x14ac:dyDescent="0.25">
      <c r="A3" s="257" t="s">
        <v>63</v>
      </c>
      <c r="B3" s="257"/>
      <c r="C3" s="257"/>
      <c r="D3" s="257"/>
      <c r="E3" s="257"/>
      <c r="F3"/>
    </row>
    <row r="4" spans="1:6" ht="15" customHeight="1" x14ac:dyDescent="0.25">
      <c r="A4" s="258"/>
      <c r="B4" s="258"/>
      <c r="C4" s="258"/>
      <c r="D4" s="258"/>
      <c r="E4" s="258"/>
      <c r="F4"/>
    </row>
    <row r="5" spans="1:6" ht="15" customHeight="1" x14ac:dyDescent="0.2">
      <c r="A5" s="251"/>
      <c r="B5" s="251"/>
      <c r="C5" s="251"/>
      <c r="D5" s="251"/>
      <c r="E5" s="4"/>
      <c r="F5" s="5"/>
    </row>
    <row r="6" spans="1:6" ht="42.6" customHeight="1" x14ac:dyDescent="0.2">
      <c r="A6" s="259" t="s">
        <v>64</v>
      </c>
      <c r="B6" s="171" t="s">
        <v>65</v>
      </c>
      <c r="C6" s="171" t="s">
        <v>66</v>
      </c>
      <c r="D6" s="172" t="s">
        <v>67</v>
      </c>
      <c r="E6" s="173" t="s">
        <v>68</v>
      </c>
    </row>
    <row r="7" spans="1:6" ht="15" customHeight="1" x14ac:dyDescent="0.2">
      <c r="A7" s="259" t="s">
        <v>69</v>
      </c>
      <c r="B7" s="101">
        <v>2</v>
      </c>
      <c r="C7" s="102">
        <v>22</v>
      </c>
      <c r="D7" s="98">
        <v>3.7</v>
      </c>
      <c r="E7" s="103">
        <f>B7*C7*D7</f>
        <v>162.80000000000001</v>
      </c>
    </row>
    <row r="8" spans="1:6" ht="15" customHeight="1" x14ac:dyDescent="0.2">
      <c r="A8" s="253" t="s">
        <v>70</v>
      </c>
      <c r="B8" s="253"/>
      <c r="C8" s="253"/>
      <c r="D8" s="253"/>
      <c r="E8" s="103">
        <f>ROUND('Planilha Estimativa'!C35*0.06,2)</f>
        <v>74.400000000000006</v>
      </c>
    </row>
    <row r="9" spans="1:6" ht="15" customHeight="1" x14ac:dyDescent="0.2">
      <c r="A9" s="254" t="s">
        <v>71</v>
      </c>
      <c r="B9" s="254"/>
      <c r="C9" s="254"/>
      <c r="D9" s="254"/>
      <c r="E9" s="170">
        <f>(E7-E8)</f>
        <v>88.4</v>
      </c>
    </row>
    <row r="10" spans="1:6" ht="15" customHeight="1" x14ac:dyDescent="0.2">
      <c r="A10" s="6"/>
      <c r="B10" s="7"/>
      <c r="C10" s="7"/>
      <c r="D10" s="8"/>
      <c r="E10" s="3"/>
    </row>
    <row r="11" spans="1:6" ht="8.25" customHeight="1" x14ac:dyDescent="0.2">
      <c r="A11" s="251"/>
      <c r="B11" s="251"/>
      <c r="C11" s="251"/>
      <c r="D11" s="251"/>
      <c r="E11" s="251"/>
    </row>
    <row r="12" spans="1:6" ht="39.6" customHeight="1" x14ac:dyDescent="0.2">
      <c r="A12" s="255" t="s">
        <v>72</v>
      </c>
      <c r="B12" s="255"/>
      <c r="C12" s="172" t="s">
        <v>73</v>
      </c>
      <c r="D12" s="174" t="s">
        <v>74</v>
      </c>
      <c r="E12" s="174" t="s">
        <v>68</v>
      </c>
    </row>
    <row r="13" spans="1:6" ht="15" customHeight="1" x14ac:dyDescent="0.2">
      <c r="A13" s="255"/>
      <c r="B13" s="255"/>
      <c r="C13" s="98">
        <f>ROUND(19.5*22,2)</f>
        <v>429</v>
      </c>
      <c r="D13" s="99">
        <v>0.25</v>
      </c>
      <c r="E13" s="100">
        <f>C13-D13</f>
        <v>428.75</v>
      </c>
    </row>
    <row r="14" spans="1:6" ht="15" customHeight="1" x14ac:dyDescent="0.2">
      <c r="A14" s="251"/>
      <c r="B14" s="251"/>
      <c r="C14" s="251"/>
      <c r="D14" s="251"/>
      <c r="E14" s="4"/>
    </row>
    <row r="15" spans="1:6" ht="15" customHeight="1" x14ac:dyDescent="0.2">
      <c r="A15" s="186"/>
      <c r="B15" s="186"/>
      <c r="C15" s="186"/>
      <c r="D15" s="186"/>
      <c r="E15" s="4"/>
    </row>
    <row r="16" spans="1:6" ht="42.6" customHeight="1" x14ac:dyDescent="0.2">
      <c r="A16" s="252" t="s">
        <v>134</v>
      </c>
      <c r="B16" s="252"/>
      <c r="C16" s="175" t="s">
        <v>187</v>
      </c>
      <c r="D16" s="175" t="s">
        <v>136</v>
      </c>
      <c r="E16" s="176" t="s">
        <v>68</v>
      </c>
    </row>
    <row r="17" spans="1:5" ht="15" customHeight="1" x14ac:dyDescent="0.2">
      <c r="A17" s="252"/>
      <c r="B17" s="252"/>
      <c r="C17" s="106">
        <f>8.5*12</f>
        <v>102</v>
      </c>
      <c r="D17" s="187"/>
      <c r="E17" s="105">
        <f>ROUND((C17-D17)/12,2)</f>
        <v>8.5</v>
      </c>
    </row>
    <row r="18" spans="1:5" ht="15" customHeight="1" x14ac:dyDescent="0.2">
      <c r="A18" s="251"/>
      <c r="B18" s="251"/>
      <c r="C18" s="251"/>
      <c r="D18" s="251"/>
      <c r="E18" s="251"/>
    </row>
  </sheetData>
  <mergeCells count="12">
    <mergeCell ref="A1:E1"/>
    <mergeCell ref="A3:E3"/>
    <mergeCell ref="A4:E4"/>
    <mergeCell ref="A5:D5"/>
    <mergeCell ref="A6:A7"/>
    <mergeCell ref="A14:D14"/>
    <mergeCell ref="A16:B17"/>
    <mergeCell ref="A18:E18"/>
    <mergeCell ref="A8:D8"/>
    <mergeCell ref="A9:D9"/>
    <mergeCell ref="A11:E11"/>
    <mergeCell ref="A12:B13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A23" sqref="A23:D23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0" t="s">
        <v>177</v>
      </c>
      <c r="B1" s="260"/>
      <c r="C1" s="260"/>
      <c r="D1" s="260"/>
      <c r="E1" s="261"/>
    </row>
    <row r="2" spans="1:5" ht="15" x14ac:dyDescent="0.2">
      <c r="A2" s="184"/>
      <c r="B2" s="184"/>
      <c r="C2" s="184"/>
      <c r="D2" s="184"/>
      <c r="E2" s="185"/>
    </row>
    <row r="3" spans="1:5" ht="25.5" x14ac:dyDescent="0.2">
      <c r="A3" s="182" t="s">
        <v>54</v>
      </c>
      <c r="B3" s="182" t="s">
        <v>179</v>
      </c>
      <c r="C3" s="182" t="s">
        <v>75</v>
      </c>
      <c r="D3" s="183" t="s">
        <v>76</v>
      </c>
      <c r="E3" s="182" t="s">
        <v>178</v>
      </c>
    </row>
    <row r="4" spans="1:5" ht="14.25" customHeight="1" x14ac:dyDescent="0.2">
      <c r="A4" s="267" t="s">
        <v>77</v>
      </c>
      <c r="B4" s="267"/>
      <c r="C4" s="267"/>
      <c r="D4" s="267"/>
      <c r="E4" s="267"/>
    </row>
    <row r="5" spans="1:5" ht="25.5" x14ac:dyDescent="0.2">
      <c r="A5" s="177" t="s">
        <v>154</v>
      </c>
      <c r="B5" s="178">
        <v>53.68</v>
      </c>
      <c r="C5" s="179">
        <v>12</v>
      </c>
      <c r="D5" s="179">
        <v>2</v>
      </c>
      <c r="E5" s="9">
        <f>ROUND(B5*D5/C5,2)</f>
        <v>8.9499999999999993</v>
      </c>
    </row>
    <row r="6" spans="1:5" ht="25.5" x14ac:dyDescent="0.2">
      <c r="A6" s="177" t="s">
        <v>155</v>
      </c>
      <c r="B6" s="178">
        <v>39.74</v>
      </c>
      <c r="C6" s="179">
        <v>12</v>
      </c>
      <c r="D6" s="179">
        <v>2</v>
      </c>
      <c r="E6" s="9">
        <f>ROUND(B6*D6/C6,2)</f>
        <v>6.62</v>
      </c>
    </row>
    <row r="7" spans="1:5" ht="25.5" x14ac:dyDescent="0.2">
      <c r="A7" s="177" t="s">
        <v>156</v>
      </c>
      <c r="B7" s="178">
        <v>5.87</v>
      </c>
      <c r="C7" s="179">
        <v>12</v>
      </c>
      <c r="D7" s="179">
        <v>6</v>
      </c>
      <c r="E7" s="9">
        <f>ROUND(B7*D7/C7,2)</f>
        <v>2.94</v>
      </c>
    </row>
    <row r="8" spans="1:5" ht="14.25" customHeight="1" x14ac:dyDescent="0.2">
      <c r="A8" s="268" t="s">
        <v>78</v>
      </c>
      <c r="B8" s="268"/>
      <c r="C8" s="268"/>
      <c r="D8" s="268"/>
      <c r="E8" s="181">
        <f>ROUND(SUM(E5:E7),2)</f>
        <v>18.510000000000002</v>
      </c>
    </row>
    <row r="9" spans="1:5" ht="14.25" customHeight="1" x14ac:dyDescent="0.2">
      <c r="A9" s="269" t="s">
        <v>79</v>
      </c>
      <c r="B9" s="269"/>
      <c r="C9" s="269"/>
      <c r="D9" s="269"/>
      <c r="E9" s="269"/>
    </row>
    <row r="10" spans="1:5" ht="51" x14ac:dyDescent="0.2">
      <c r="A10" s="177" t="s">
        <v>162</v>
      </c>
      <c r="B10" s="178">
        <v>15.94</v>
      </c>
      <c r="C10" s="179">
        <v>12</v>
      </c>
      <c r="D10" s="179">
        <v>1</v>
      </c>
      <c r="E10" s="9">
        <f t="shared" ref="E10:E15" si="0">ROUND(B10*D10/C10,2)</f>
        <v>1.33</v>
      </c>
    </row>
    <row r="11" spans="1:5" ht="25.5" x14ac:dyDescent="0.2">
      <c r="A11" s="177" t="s">
        <v>161</v>
      </c>
      <c r="B11" s="178">
        <v>1.72</v>
      </c>
      <c r="C11" s="179">
        <v>12</v>
      </c>
      <c r="D11" s="179">
        <v>1</v>
      </c>
      <c r="E11" s="9">
        <f t="shared" si="0"/>
        <v>0.14000000000000001</v>
      </c>
    </row>
    <row r="12" spans="1:5" ht="63.75" x14ac:dyDescent="0.2">
      <c r="A12" s="177" t="s">
        <v>160</v>
      </c>
      <c r="B12" s="178">
        <v>43.19</v>
      </c>
      <c r="C12" s="179">
        <v>12</v>
      </c>
      <c r="D12" s="179">
        <v>2</v>
      </c>
      <c r="E12" s="9">
        <f>ROUND(B12*D12/C12,2)</f>
        <v>7.2</v>
      </c>
    </row>
    <row r="13" spans="1:5" ht="51" x14ac:dyDescent="0.2">
      <c r="A13" s="177" t="s">
        <v>157</v>
      </c>
      <c r="B13" s="178">
        <v>44.01</v>
      </c>
      <c r="C13" s="179">
        <v>12</v>
      </c>
      <c r="D13" s="179">
        <v>1</v>
      </c>
      <c r="E13" s="9">
        <f>ROUND(B13*D13/C13,2)</f>
        <v>3.67</v>
      </c>
    </row>
    <row r="14" spans="1:5" ht="63.75" x14ac:dyDescent="0.2">
      <c r="A14" s="177" t="s">
        <v>158</v>
      </c>
      <c r="B14" s="178">
        <v>18.05</v>
      </c>
      <c r="C14" s="179">
        <v>12</v>
      </c>
      <c r="D14" s="179">
        <v>1</v>
      </c>
      <c r="E14" s="9">
        <f t="shared" si="0"/>
        <v>1.5</v>
      </c>
    </row>
    <row r="15" spans="1:5" ht="63.75" x14ac:dyDescent="0.2">
      <c r="A15" s="177" t="s">
        <v>159</v>
      </c>
      <c r="B15" s="178">
        <v>3.97</v>
      </c>
      <c r="C15" s="179">
        <v>12</v>
      </c>
      <c r="D15" s="179">
        <v>1</v>
      </c>
      <c r="E15" s="9">
        <f t="shared" si="0"/>
        <v>0.33</v>
      </c>
    </row>
    <row r="16" spans="1:5" ht="14.25" customHeight="1" x14ac:dyDescent="0.2">
      <c r="A16" s="264" t="s">
        <v>80</v>
      </c>
      <c r="B16" s="264"/>
      <c r="C16" s="264"/>
      <c r="D16" s="264"/>
      <c r="E16" s="181">
        <f>ROUND(SUM(E10:E15),2)</f>
        <v>14.17</v>
      </c>
    </row>
    <row r="17" spans="1:5" ht="14.25" customHeight="1" x14ac:dyDescent="0.2">
      <c r="A17" s="270" t="s">
        <v>81</v>
      </c>
      <c r="B17" s="270"/>
      <c r="C17" s="270"/>
      <c r="D17" s="270"/>
      <c r="E17" s="270"/>
    </row>
    <row r="18" spans="1:5" ht="38.25" x14ac:dyDescent="0.2">
      <c r="A18" s="177" t="s">
        <v>163</v>
      </c>
      <c r="B18" s="178">
        <v>1212.98</v>
      </c>
      <c r="C18" s="179">
        <v>30</v>
      </c>
      <c r="D18" s="179">
        <v>1</v>
      </c>
      <c r="E18" s="9">
        <f>ROUND(B18*D18/C18,2)</f>
        <v>40.43</v>
      </c>
    </row>
    <row r="19" spans="1:5" ht="38.25" x14ac:dyDescent="0.2">
      <c r="A19" s="177" t="s">
        <v>164</v>
      </c>
      <c r="B19" s="178">
        <v>361.86</v>
      </c>
      <c r="C19" s="179">
        <v>30</v>
      </c>
      <c r="D19" s="179">
        <v>1</v>
      </c>
      <c r="E19" s="9">
        <f>ROUND(B19*D19/C19,2)</f>
        <v>12.06</v>
      </c>
    </row>
    <row r="20" spans="1:5" ht="60.75" customHeight="1" x14ac:dyDescent="0.2">
      <c r="A20" s="177" t="s">
        <v>166</v>
      </c>
      <c r="B20" s="178">
        <v>228.28</v>
      </c>
      <c r="C20" s="179">
        <v>30</v>
      </c>
      <c r="D20" s="179">
        <v>1</v>
      </c>
      <c r="E20" s="9">
        <f>ROUND(B20*D20/C20,2)</f>
        <v>7.61</v>
      </c>
    </row>
    <row r="21" spans="1:5" ht="64.5" customHeight="1" x14ac:dyDescent="0.2">
      <c r="A21" s="177" t="s">
        <v>165</v>
      </c>
      <c r="B21" s="178">
        <v>48.9</v>
      </c>
      <c r="C21" s="179">
        <v>30</v>
      </c>
      <c r="D21" s="179">
        <v>1</v>
      </c>
      <c r="E21" s="9">
        <f>ROUND(B21*D21/C21,2)</f>
        <v>1.63</v>
      </c>
    </row>
    <row r="22" spans="1:5" ht="38.25" x14ac:dyDescent="0.2">
      <c r="A22" s="177" t="s">
        <v>167</v>
      </c>
      <c r="B22" s="178">
        <v>25.15</v>
      </c>
      <c r="C22" s="179">
        <v>30</v>
      </c>
      <c r="D22" s="179">
        <v>1</v>
      </c>
      <c r="E22" s="9">
        <f>ROUND(B22*D22/C22,2)</f>
        <v>0.84</v>
      </c>
    </row>
    <row r="23" spans="1:5" ht="14.25" customHeight="1" x14ac:dyDescent="0.2">
      <c r="A23" s="265" t="s">
        <v>82</v>
      </c>
      <c r="B23" s="265"/>
      <c r="C23" s="265"/>
      <c r="D23" s="265"/>
      <c r="E23" s="10">
        <f>ROUND(SUM(E18:E22),2)</f>
        <v>62.57</v>
      </c>
    </row>
    <row r="24" spans="1:5" ht="14.25" x14ac:dyDescent="0.2">
      <c r="A24" s="265" t="s">
        <v>180</v>
      </c>
      <c r="B24" s="265"/>
      <c r="C24" s="265"/>
      <c r="D24" s="265"/>
      <c r="E24" s="180">
        <f>'Planilha Estimativa'!B19</f>
        <v>2</v>
      </c>
    </row>
    <row r="25" spans="1:5" ht="14.25" x14ac:dyDescent="0.2">
      <c r="A25" s="264" t="s">
        <v>82</v>
      </c>
      <c r="B25" s="264"/>
      <c r="C25" s="264"/>
      <c r="D25" s="264"/>
      <c r="E25" s="181">
        <f>ROUND(E23/E24,2)</f>
        <v>31.29</v>
      </c>
    </row>
    <row r="26" spans="1:5" ht="14.25" customHeight="1" x14ac:dyDescent="0.2">
      <c r="A26" s="262"/>
      <c r="B26" s="263"/>
      <c r="C26" s="263"/>
      <c r="D26" s="263"/>
      <c r="E26" s="263"/>
    </row>
    <row r="27" spans="1:5" ht="14.25" x14ac:dyDescent="0.2">
      <c r="A27" s="266" t="s">
        <v>83</v>
      </c>
      <c r="B27" s="266"/>
      <c r="C27" s="266"/>
      <c r="D27" s="266"/>
      <c r="E27" s="181">
        <f>SUM(E8+E16+E25)</f>
        <v>63.97</v>
      </c>
    </row>
  </sheetData>
  <mergeCells count="11">
    <mergeCell ref="A27:D27"/>
    <mergeCell ref="A4:E4"/>
    <mergeCell ref="A8:D8"/>
    <mergeCell ref="A9:E9"/>
    <mergeCell ref="A16:D16"/>
    <mergeCell ref="A17:E17"/>
    <mergeCell ref="A1:E1"/>
    <mergeCell ref="A26:E26"/>
    <mergeCell ref="A25:D25"/>
    <mergeCell ref="A23:D23"/>
    <mergeCell ref="A24:D24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6450D1AE-04F5-4CDC-A251-4BC21756FB29}"/>
</file>

<file path=customXml/itemProps2.xml><?xml version="1.0" encoding="utf-8"?>
<ds:datastoreItem xmlns:ds="http://schemas.openxmlformats.org/officeDocument/2006/customXml" ds:itemID="{913F7C3F-59AA-4B1A-96C5-7B442F027469}"/>
</file>

<file path=customXml/itemProps3.xml><?xml version="1.0" encoding="utf-8"?>
<ds:datastoreItem xmlns:ds="http://schemas.openxmlformats.org/officeDocument/2006/customXml" ds:itemID="{A250B47C-B49B-4831-8A21-0B1E7E0F39FC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2022-04-19T23:55:34Z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