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sgov.sharepoint.com/sites/ENG-MAN-SRNCO/Shared Documents/MAN_PRED PTV 2023/Orçamento R0/"/>
    </mc:Choice>
  </mc:AlternateContent>
  <xr:revisionPtr revIDLastSave="432" documentId="13_ncr:1_{EB8B15AC-A503-4026-B35A-EBF55A12EBD9}" xr6:coauthVersionLast="47" xr6:coauthVersionMax="47" xr10:uidLastSave="{B49A8249-6926-4682-B005-286061A17101}"/>
  <bookViews>
    <workbookView xWindow="19095" yWindow="0" windowWidth="19410" windowHeight="15585" tabRatio="987" firstSheet="1" activeTab="1" xr2:uid="{00000000-000D-0000-FFFF-FFFF00000000}"/>
  </bookViews>
  <sheets>
    <sheet name="Orientações" sheetId="1" r:id="rId1"/>
    <sheet name="II - Planilha Consolidada" sheetId="2" r:id="rId2"/>
    <sheet name="III - Parcela Fixa" sheetId="3" r:id="rId3"/>
    <sheet name="III-A - Mão de Obra (CCT)" sheetId="4" r:id="rId4"/>
    <sheet name="CCT E VT" sheetId="23" r:id="rId5"/>
    <sheet name="III-A.1 - Memorial de Cálculo" sheetId="5" r:id="rId6"/>
    <sheet name="III-A.2 - Uniforme, EPI e Equip" sheetId="6" r:id="rId7"/>
    <sheet name="III-C - Desloc, Pern e Sistema" sheetId="8" r:id="rId8"/>
    <sheet name="III-C1-Ajuste Deslocamento" sheetId="26" r:id="rId9"/>
    <sheet name="III-E - Materiais de Consumo" sheetId="10" r:id="rId10"/>
    <sheet name="V - BDI" sheetId="13" r:id="rId11"/>
    <sheet name="V-A - ISS" sheetId="14" r:id="rId12"/>
  </sheets>
  <definedNames>
    <definedName name="_xlnm.Print_Area" localSheetId="4">'CCT E VT'!$A$1:$D$27</definedName>
    <definedName name="_xlnm.Print_Area" localSheetId="1">'II - Planilha Consolidada'!$A$1:$I$49</definedName>
    <definedName name="_xlnm.Print_Area" localSheetId="2">'III - Parcela Fixa'!$A$1:$G$28</definedName>
    <definedName name="_xlnm.Print_Area" localSheetId="3">'III-A - Mão de Obra (CCT)'!$A$1:$O$123</definedName>
    <definedName name="_xlnm.Print_Area" localSheetId="5">'III-A.1 - Memorial de Cálculo'!$A$1:$B$64</definedName>
    <definedName name="_xlnm.Print_Area" localSheetId="7">'III-C - Desloc, Pern e Sistema'!$A$1:$J$10</definedName>
    <definedName name="_xlnm.Print_Area" localSheetId="9">'III-E - Materiais de Consumo'!$A$1:$I$329</definedName>
    <definedName name="_xlnm.Print_Area" localSheetId="11">'V-A - ISS'!$A$1:$G$84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3" l="1"/>
  <c r="G78" i="26"/>
  <c r="H10" i="8"/>
  <c r="M6" i="26" l="1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D7" i="3" l="1"/>
  <c r="E15" i="2" l="1"/>
  <c r="A52" i="6" l="1"/>
  <c r="A48" i="6"/>
  <c r="A44" i="6"/>
  <c r="A40" i="6"/>
  <c r="A36" i="6"/>
  <c r="A32" i="6"/>
  <c r="A5" i="6"/>
  <c r="A25" i="6"/>
  <c r="A21" i="6"/>
  <c r="A17" i="6"/>
  <c r="A13" i="6"/>
  <c r="A9" i="6"/>
  <c r="C20" i="2"/>
  <c r="C19" i="2"/>
  <c r="C18" i="2"/>
  <c r="B22" i="3"/>
  <c r="B21" i="3"/>
  <c r="B20" i="3"/>
  <c r="O12" i="4"/>
  <c r="N12" i="4"/>
  <c r="M12" i="4"/>
  <c r="L12" i="4"/>
  <c r="K12" i="4"/>
  <c r="J12" i="4"/>
  <c r="I12" i="4"/>
  <c r="H12" i="4"/>
  <c r="G12" i="4"/>
  <c r="F12" i="4"/>
  <c r="E12" i="4"/>
  <c r="D12" i="4"/>
  <c r="B13" i="3"/>
  <c r="B12" i="3"/>
  <c r="B11" i="3"/>
  <c r="B9" i="3"/>
  <c r="B8" i="3"/>
  <c r="B7" i="3"/>
  <c r="C26" i="2" l="1"/>
  <c r="E10" i="2" l="1"/>
  <c r="E11" i="2"/>
  <c r="K16" i="4" l="1"/>
  <c r="H16" i="4"/>
  <c r="E16" i="4"/>
  <c r="M18" i="4"/>
  <c r="K18" i="4"/>
  <c r="J18" i="4"/>
  <c r="H18" i="4"/>
  <c r="G18" i="4"/>
  <c r="E18" i="4"/>
  <c r="D18" i="4"/>
  <c r="M16" i="4"/>
  <c r="J16" i="4"/>
  <c r="G16" i="4"/>
  <c r="D16" i="4"/>
  <c r="K77" i="26" l="1"/>
  <c r="K78" i="26" s="1"/>
  <c r="M5" i="26" s="1"/>
  <c r="M76" i="26" l="1"/>
  <c r="E20" i="2" l="1"/>
  <c r="D15" i="2"/>
  <c r="C15" i="2"/>
  <c r="B15" i="2"/>
  <c r="E14" i="2"/>
  <c r="D14" i="2"/>
  <c r="C14" i="2"/>
  <c r="B14" i="2"/>
  <c r="E13" i="2"/>
  <c r="D13" i="2"/>
  <c r="C13" i="2"/>
  <c r="B13" i="2"/>
  <c r="D11" i="2"/>
  <c r="C11" i="2"/>
  <c r="B11" i="2"/>
  <c r="D10" i="2"/>
  <c r="C10" i="2"/>
  <c r="B10" i="2"/>
  <c r="E9" i="2"/>
  <c r="D9" i="2"/>
  <c r="C9" i="2"/>
  <c r="B9" i="2"/>
  <c r="G77" i="26" l="1"/>
  <c r="D13" i="3" l="1"/>
  <c r="D12" i="3"/>
  <c r="D11" i="3"/>
  <c r="M51" i="4"/>
  <c r="L51" i="4"/>
  <c r="K51" i="4"/>
  <c r="J51" i="4"/>
  <c r="I51" i="4"/>
  <c r="H51" i="4"/>
  <c r="G51" i="4"/>
  <c r="F51" i="4"/>
  <c r="E51" i="4"/>
  <c r="M21" i="4"/>
  <c r="M54" i="4" s="1"/>
  <c r="D14" i="4"/>
  <c r="G14" i="4"/>
  <c r="G17" i="4" s="1"/>
  <c r="J14" i="4"/>
  <c r="J17" i="4" s="1"/>
  <c r="E14" i="4"/>
  <c r="E17" i="4" s="1"/>
  <c r="F14" i="4"/>
  <c r="F17" i="4" s="1"/>
  <c r="H14" i="4"/>
  <c r="H17" i="4" s="1"/>
  <c r="I14" i="4"/>
  <c r="I17" i="4" s="1"/>
  <c r="K14" i="4"/>
  <c r="K17" i="4" s="1"/>
  <c r="L14" i="4"/>
  <c r="L17" i="4" s="1"/>
  <c r="M14" i="4"/>
  <c r="M17" i="4" s="1"/>
  <c r="D9" i="3"/>
  <c r="D8" i="3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O14" i="4"/>
  <c r="N14" i="4"/>
  <c r="C13" i="13"/>
  <c r="B106" i="4" s="1"/>
  <c r="D4" i="13"/>
  <c r="C4" i="13"/>
  <c r="X55" i="8"/>
  <c r="Y44" i="8"/>
  <c r="Y42" i="8"/>
  <c r="Y40" i="8"/>
  <c r="Y38" i="8"/>
  <c r="Y36" i="8"/>
  <c r="M92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40" i="4"/>
  <c r="B37" i="4"/>
  <c r="B36" i="4"/>
  <c r="D51" i="4"/>
  <c r="F69" i="2"/>
  <c r="D17" i="4" l="1"/>
  <c r="D50" i="4" s="1"/>
  <c r="D26" i="4"/>
  <c r="D27" i="4" s="1"/>
  <c r="F64" i="2"/>
  <c r="Y46" i="8"/>
  <c r="Y47" i="8" s="1"/>
  <c r="F54" i="4"/>
  <c r="G21" i="4"/>
  <c r="G54" i="4" s="1"/>
  <c r="H21" i="4"/>
  <c r="H54" i="4" s="1"/>
  <c r="I54" i="4"/>
  <c r="J21" i="4"/>
  <c r="J54" i="4" s="1"/>
  <c r="K21" i="4"/>
  <c r="K54" i="4" s="1"/>
  <c r="D21" i="4"/>
  <c r="D54" i="4" s="1"/>
  <c r="L54" i="4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E90" i="4"/>
  <c r="H90" i="4"/>
  <c r="G90" i="4"/>
  <c r="K90" i="4"/>
  <c r="J90" i="4"/>
  <c r="O90" i="4"/>
  <c r="N90" i="4"/>
  <c r="M90" i="4"/>
  <c r="M93" i="4" s="1"/>
  <c r="M120" i="4" s="1"/>
  <c r="E92" i="4"/>
  <c r="D92" i="4"/>
  <c r="H92" i="4"/>
  <c r="G92" i="4"/>
  <c r="K92" i="4"/>
  <c r="J92" i="4"/>
  <c r="O92" i="4"/>
  <c r="N92" i="4"/>
  <c r="E26" i="4"/>
  <c r="E50" i="4"/>
  <c r="F26" i="4"/>
  <c r="F50" i="4"/>
  <c r="G26" i="4"/>
  <c r="G32" i="4" s="1"/>
  <c r="G116" i="4" s="1"/>
  <c r="G50" i="4"/>
  <c r="H26" i="4"/>
  <c r="H32" i="4" s="1"/>
  <c r="H116" i="4" s="1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B38" i="4"/>
  <c r="B48" i="4"/>
  <c r="B68" i="4" s="1"/>
  <c r="B65" i="4"/>
  <c r="H7" i="8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97" i="10"/>
  <c r="I198" i="10"/>
  <c r="I199" i="10"/>
  <c r="I200" i="10"/>
  <c r="I201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5" i="10"/>
  <c r="I256" i="10"/>
  <c r="I257" i="10"/>
  <c r="I258" i="10"/>
  <c r="I259" i="10"/>
  <c r="I260" i="10"/>
  <c r="I261" i="10"/>
  <c r="I262" i="10"/>
  <c r="I263" i="10"/>
  <c r="I264" i="10"/>
  <c r="I267" i="10"/>
  <c r="I269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20" i="10"/>
  <c r="D13" i="13"/>
  <c r="C73" i="14"/>
  <c r="D4" i="14" s="1"/>
  <c r="F4" i="14" s="1"/>
  <c r="D55" i="4" l="1"/>
  <c r="D59" i="4" s="1"/>
  <c r="I55" i="4"/>
  <c r="I59" i="4" s="1"/>
  <c r="I319" i="10"/>
  <c r="D32" i="4"/>
  <c r="D37" i="4" s="1"/>
  <c r="E77" i="26"/>
  <c r="J55" i="4"/>
  <c r="J59" i="4" s="1"/>
  <c r="O36" i="4"/>
  <c r="F55" i="4"/>
  <c r="F59" i="4" s="1"/>
  <c r="E55" i="4"/>
  <c r="E59" i="4" s="1"/>
  <c r="N93" i="4"/>
  <c r="N120" i="4" s="1"/>
  <c r="O93" i="4"/>
  <c r="O120" i="4" s="1"/>
  <c r="I253" i="10"/>
  <c r="I254" i="10"/>
  <c r="I304" i="10"/>
  <c r="I266" i="10"/>
  <c r="I280" i="10"/>
  <c r="I202" i="10"/>
  <c r="I268" i="10"/>
  <c r="I113" i="10"/>
  <c r="I203" i="10"/>
  <c r="I265" i="10"/>
  <c r="I270" i="10"/>
  <c r="O37" i="4"/>
  <c r="O38" i="4" s="1"/>
  <c r="N37" i="4"/>
  <c r="N36" i="4"/>
  <c r="L55" i="4"/>
  <c r="L59" i="4" s="1"/>
  <c r="H55" i="4"/>
  <c r="H59" i="4" s="1"/>
  <c r="K55" i="4"/>
  <c r="K59" i="4" s="1"/>
  <c r="G55" i="4"/>
  <c r="G59" i="4" s="1"/>
  <c r="D36" i="4"/>
  <c r="M36" i="4"/>
  <c r="M37" i="4"/>
  <c r="L36" i="4"/>
  <c r="L37" i="4"/>
  <c r="K36" i="4"/>
  <c r="K37" i="4"/>
  <c r="J36" i="4"/>
  <c r="J37" i="4"/>
  <c r="I36" i="4"/>
  <c r="I37" i="4"/>
  <c r="H36" i="4"/>
  <c r="H37" i="4"/>
  <c r="G36" i="4"/>
  <c r="G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D5" i="14"/>
  <c r="F5" i="14" s="1"/>
  <c r="D6" i="14"/>
  <c r="F6" i="14" s="1"/>
  <c r="D7" i="14"/>
  <c r="F7" i="14" s="1"/>
  <c r="D8" i="14"/>
  <c r="F8" i="14" s="1"/>
  <c r="D9" i="14"/>
  <c r="F9" i="14" s="1"/>
  <c r="D10" i="14"/>
  <c r="F10" i="14" s="1"/>
  <c r="D11" i="14"/>
  <c r="F11" i="14" s="1"/>
  <c r="D12" i="14"/>
  <c r="F12" i="14" s="1"/>
  <c r="D13" i="14"/>
  <c r="F13" i="14" s="1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33" i="14"/>
  <c r="F33" i="14" s="1"/>
  <c r="D34" i="14"/>
  <c r="F34" i="14" s="1"/>
  <c r="D35" i="14"/>
  <c r="F35" i="14" s="1"/>
  <c r="D36" i="14"/>
  <c r="F36" i="14" s="1"/>
  <c r="D37" i="14"/>
  <c r="F37" i="14" s="1"/>
  <c r="D38" i="14"/>
  <c r="F38" i="14" s="1"/>
  <c r="D39" i="14"/>
  <c r="F39" i="14" s="1"/>
  <c r="D40" i="14"/>
  <c r="F40" i="14" s="1"/>
  <c r="D41" i="14"/>
  <c r="F41" i="14" s="1"/>
  <c r="D42" i="14"/>
  <c r="F42" i="14" s="1"/>
  <c r="D43" i="14"/>
  <c r="F43" i="14" s="1"/>
  <c r="D44" i="14"/>
  <c r="F44" i="14" s="1"/>
  <c r="D45" i="14"/>
  <c r="F45" i="14" s="1"/>
  <c r="D46" i="14"/>
  <c r="F46" i="14" s="1"/>
  <c r="D47" i="14"/>
  <c r="F47" i="14" s="1"/>
  <c r="D49" i="14"/>
  <c r="F49" i="14" s="1"/>
  <c r="D50" i="14"/>
  <c r="F50" i="14" s="1"/>
  <c r="D51" i="14"/>
  <c r="F51" i="14" s="1"/>
  <c r="D52" i="14"/>
  <c r="F52" i="14" s="1"/>
  <c r="D53" i="14"/>
  <c r="F53" i="14" s="1"/>
  <c r="D54" i="14"/>
  <c r="F54" i="14" s="1"/>
  <c r="D55" i="14"/>
  <c r="F55" i="14" s="1"/>
  <c r="D56" i="14"/>
  <c r="F56" i="14" s="1"/>
  <c r="D57" i="14"/>
  <c r="F57" i="14" s="1"/>
  <c r="D58" i="14"/>
  <c r="F58" i="14" s="1"/>
  <c r="D59" i="14"/>
  <c r="F59" i="14" s="1"/>
  <c r="D60" i="14"/>
  <c r="F60" i="14" s="1"/>
  <c r="D61" i="14"/>
  <c r="F61" i="14" s="1"/>
  <c r="D62" i="14"/>
  <c r="F62" i="14" s="1"/>
  <c r="D63" i="14"/>
  <c r="F63" i="14" s="1"/>
  <c r="D64" i="14"/>
  <c r="F64" i="14" s="1"/>
  <c r="D65" i="14"/>
  <c r="F65" i="14" s="1"/>
  <c r="D66" i="14"/>
  <c r="F66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48" i="14"/>
  <c r="F48" i="14" s="1"/>
  <c r="D19" i="13"/>
  <c r="D9" i="13"/>
  <c r="B70" i="4"/>
  <c r="D116" i="4"/>
  <c r="N38" i="4" l="1"/>
  <c r="D38" i="4"/>
  <c r="D66" i="4" s="1"/>
  <c r="F73" i="14"/>
  <c r="E19" i="2"/>
  <c r="H9" i="8"/>
  <c r="I191" i="10"/>
  <c r="I142" i="10"/>
  <c r="I99" i="10"/>
  <c r="I45" i="10"/>
  <c r="I194" i="10"/>
  <c r="I192" i="10"/>
  <c r="I186" i="10"/>
  <c r="I175" i="10"/>
  <c r="I158" i="10"/>
  <c r="I157" i="10"/>
  <c r="I154" i="10"/>
  <c r="I143" i="10"/>
  <c r="I138" i="10"/>
  <c r="I127" i="10"/>
  <c r="I123" i="10"/>
  <c r="I115" i="10"/>
  <c r="I106" i="10"/>
  <c r="I100" i="10"/>
  <c r="I77" i="10"/>
  <c r="I85" i="10"/>
  <c r="I72" i="10"/>
  <c r="I58" i="10"/>
  <c r="I66" i="10"/>
  <c r="I46" i="10"/>
  <c r="I38" i="10"/>
  <c r="I30" i="10"/>
  <c r="I22" i="10"/>
  <c r="I298" i="10"/>
  <c r="I290" i="10"/>
  <c r="I281" i="10"/>
  <c r="I185" i="10"/>
  <c r="I126" i="10"/>
  <c r="I84" i="10"/>
  <c r="I29" i="10"/>
  <c r="I187" i="10"/>
  <c r="I179" i="10"/>
  <c r="I176" i="10"/>
  <c r="I159" i="10"/>
  <c r="I161" i="10"/>
  <c r="I148" i="10"/>
  <c r="I144" i="10"/>
  <c r="I132" i="10"/>
  <c r="I128" i="10"/>
  <c r="I120" i="10"/>
  <c r="I109" i="10"/>
  <c r="I103" i="10"/>
  <c r="I93" i="10"/>
  <c r="I78" i="10"/>
  <c r="I86" i="10"/>
  <c r="I73" i="10"/>
  <c r="I59" i="10"/>
  <c r="I67" i="10"/>
  <c r="I47" i="10"/>
  <c r="I39" i="10"/>
  <c r="I31" i="10"/>
  <c r="I23" i="10"/>
  <c r="I295" i="10"/>
  <c r="I287" i="10"/>
  <c r="I282" i="10"/>
  <c r="I153" i="10"/>
  <c r="I105" i="10"/>
  <c r="I53" i="10"/>
  <c r="I289" i="10"/>
  <c r="I188" i="10"/>
  <c r="I180" i="10"/>
  <c r="I171" i="10"/>
  <c r="I160" i="10"/>
  <c r="I162" i="10"/>
  <c r="I149" i="10"/>
  <c r="I139" i="10"/>
  <c r="I133" i="10"/>
  <c r="I121" i="10"/>
  <c r="I110" i="10"/>
  <c r="I104" i="10"/>
  <c r="I94" i="10"/>
  <c r="I79" i="10"/>
  <c r="I87" i="10"/>
  <c r="I70" i="10"/>
  <c r="I60" i="10"/>
  <c r="I68" i="10"/>
  <c r="I48" i="10"/>
  <c r="I40" i="10"/>
  <c r="I32" i="10"/>
  <c r="I24" i="10"/>
  <c r="I301" i="10"/>
  <c r="I296" i="10"/>
  <c r="I288" i="10"/>
  <c r="I170" i="10"/>
  <c r="I114" i="10"/>
  <c r="I65" i="10"/>
  <c r="I297" i="10"/>
  <c r="I189" i="10"/>
  <c r="I181" i="10"/>
  <c r="I172" i="10"/>
  <c r="I165" i="10"/>
  <c r="I163" i="10"/>
  <c r="I150" i="10"/>
  <c r="I140" i="10"/>
  <c r="I134" i="10"/>
  <c r="I118" i="10"/>
  <c r="I111" i="10"/>
  <c r="I95" i="10"/>
  <c r="I80" i="10"/>
  <c r="I88" i="10"/>
  <c r="I71" i="10"/>
  <c r="I61" i="10"/>
  <c r="I69" i="10"/>
  <c r="I49" i="10"/>
  <c r="I41" i="10"/>
  <c r="I33" i="10"/>
  <c r="I25" i="10"/>
  <c r="I302" i="10"/>
  <c r="I293" i="10"/>
  <c r="I285" i="10"/>
  <c r="I278" i="10"/>
  <c r="I137" i="10"/>
  <c r="I76" i="10"/>
  <c r="I37" i="10"/>
  <c r="I273" i="10"/>
  <c r="I190" i="10"/>
  <c r="I182" i="10"/>
  <c r="I173" i="10"/>
  <c r="I166" i="10"/>
  <c r="I164" i="10"/>
  <c r="I145" i="10"/>
  <c r="I141" i="10"/>
  <c r="I129" i="10"/>
  <c r="I119" i="10"/>
  <c r="I112" i="10"/>
  <c r="I102" i="10"/>
  <c r="I96" i="10"/>
  <c r="I81" i="10"/>
  <c r="I89" i="10"/>
  <c r="I62" i="10"/>
  <c r="I54" i="10"/>
  <c r="I50" i="10"/>
  <c r="I42" i="10"/>
  <c r="I34" i="10"/>
  <c r="I26" i="10"/>
  <c r="I18" i="10"/>
  <c r="I303" i="10"/>
  <c r="I294" i="10"/>
  <c r="I286" i="10"/>
  <c r="I279" i="10"/>
  <c r="I195" i="10"/>
  <c r="I174" i="10"/>
  <c r="I122" i="10"/>
  <c r="I92" i="10"/>
  <c r="I21" i="10"/>
  <c r="I183" i="10"/>
  <c r="I177" i="10"/>
  <c r="I168" i="10"/>
  <c r="I167" i="10"/>
  <c r="I151" i="10"/>
  <c r="I146" i="10"/>
  <c r="I135" i="10"/>
  <c r="I130" i="10"/>
  <c r="I124" i="10"/>
  <c r="I116" i="10"/>
  <c r="I107" i="10"/>
  <c r="I97" i="10"/>
  <c r="I74" i="10"/>
  <c r="I82" i="10"/>
  <c r="I90" i="10"/>
  <c r="I63" i="10"/>
  <c r="I55" i="10"/>
  <c r="I51" i="10"/>
  <c r="I43" i="10"/>
  <c r="I35" i="10"/>
  <c r="I27" i="10"/>
  <c r="I19" i="10"/>
  <c r="I299" i="10"/>
  <c r="I291" i="10"/>
  <c r="I283" i="10"/>
  <c r="I271" i="10"/>
  <c r="I196" i="10"/>
  <c r="I156" i="10"/>
  <c r="I57" i="10"/>
  <c r="I184" i="10"/>
  <c r="I178" i="10"/>
  <c r="I169" i="10"/>
  <c r="I155" i="10"/>
  <c r="I152" i="10"/>
  <c r="I147" i="10"/>
  <c r="I136" i="10"/>
  <c r="I131" i="10"/>
  <c r="I125" i="10"/>
  <c r="I117" i="10"/>
  <c r="I108" i="10"/>
  <c r="I98" i="10"/>
  <c r="I75" i="10"/>
  <c r="I83" i="10"/>
  <c r="I91" i="10"/>
  <c r="I64" i="10"/>
  <c r="I56" i="10"/>
  <c r="I52" i="10"/>
  <c r="I44" i="10"/>
  <c r="I36" i="10"/>
  <c r="I28" i="10"/>
  <c r="I20" i="10"/>
  <c r="I300" i="10"/>
  <c r="I292" i="10"/>
  <c r="I284" i="10"/>
  <c r="I272" i="10"/>
  <c r="I193" i="10"/>
  <c r="D47" i="4"/>
  <c r="D46" i="4"/>
  <c r="D45" i="4"/>
  <c r="D44" i="4"/>
  <c r="D43" i="4"/>
  <c r="D42" i="4"/>
  <c r="D41" i="4"/>
  <c r="D40" i="4"/>
  <c r="O57" i="4"/>
  <c r="O40" i="4"/>
  <c r="O64" i="4"/>
  <c r="O67" i="4"/>
  <c r="O69" i="4"/>
  <c r="O66" i="4"/>
  <c r="O47" i="4"/>
  <c r="O46" i="4"/>
  <c r="O45" i="4"/>
  <c r="O44" i="4"/>
  <c r="O43" i="4"/>
  <c r="O42" i="4"/>
  <c r="O41" i="4"/>
  <c r="O65" i="4"/>
  <c r="O68" i="4"/>
  <c r="N57" i="4"/>
  <c r="N40" i="4"/>
  <c r="N64" i="4"/>
  <c r="N67" i="4"/>
  <c r="N69" i="4"/>
  <c r="N66" i="4"/>
  <c r="N47" i="4"/>
  <c r="N46" i="4"/>
  <c r="N45" i="4"/>
  <c r="N44" i="4"/>
  <c r="N43" i="4"/>
  <c r="N42" i="4"/>
  <c r="N41" i="4"/>
  <c r="N65" i="4"/>
  <c r="N68" i="4"/>
  <c r="E36" i="4"/>
  <c r="E37" i="4"/>
  <c r="F36" i="4"/>
  <c r="F37" i="4"/>
  <c r="G38" i="4"/>
  <c r="H38" i="4"/>
  <c r="I38" i="4"/>
  <c r="J38" i="4"/>
  <c r="K38" i="4"/>
  <c r="L38" i="4"/>
  <c r="M38" i="4"/>
  <c r="D57" i="4"/>
  <c r="D64" i="4"/>
  <c r="D67" i="4"/>
  <c r="D69" i="4"/>
  <c r="D65" i="4"/>
  <c r="D68" i="4"/>
  <c r="E18" i="2" l="1"/>
  <c r="I101" i="10"/>
  <c r="D48" i="4"/>
  <c r="D78" i="4" s="1"/>
  <c r="I276" i="10"/>
  <c r="I277" i="10"/>
  <c r="I274" i="10"/>
  <c r="I275" i="10"/>
  <c r="H8" i="8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/>
  <c r="O118" i="4" s="1"/>
  <c r="O48" i="4"/>
  <c r="D70" i="4"/>
  <c r="D118" i="4" s="1"/>
  <c r="D58" i="4"/>
  <c r="D60" i="4" s="1"/>
  <c r="I48" i="4" l="1"/>
  <c r="I58" i="4" s="1"/>
  <c r="I60" i="4" s="1"/>
  <c r="I117" i="4" s="1"/>
  <c r="J48" i="4"/>
  <c r="J58" i="4" s="1"/>
  <c r="J60" i="4" s="1"/>
  <c r="J117" i="4" s="1"/>
  <c r="K48" i="4"/>
  <c r="K78" i="4" s="1"/>
  <c r="G48" i="4"/>
  <c r="G58" i="4" s="1"/>
  <c r="G60" i="4" s="1"/>
  <c r="G117" i="4" s="1"/>
  <c r="H48" i="4"/>
  <c r="H78" i="4" s="1"/>
  <c r="L48" i="4"/>
  <c r="L78" i="4" s="1"/>
  <c r="M48" i="4"/>
  <c r="M58" i="4" s="1"/>
  <c r="M60" i="4" s="1"/>
  <c r="M117" i="4" s="1"/>
  <c r="I323" i="10"/>
  <c r="I325" i="10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G78" i="4"/>
  <c r="H70" i="4"/>
  <c r="H118" i="4" s="1"/>
  <c r="I70" i="4"/>
  <c r="I118" i="4" s="1"/>
  <c r="J70" i="4"/>
  <c r="J118" i="4" s="1"/>
  <c r="K70" i="4"/>
  <c r="K118" i="4" s="1"/>
  <c r="L70" i="4"/>
  <c r="L118" i="4" s="1"/>
  <c r="M70" i="4"/>
  <c r="M118" i="4" s="1"/>
  <c r="D117" i="4"/>
  <c r="D74" i="4"/>
  <c r="D75" i="4"/>
  <c r="D76" i="4"/>
  <c r="D77" i="4"/>
  <c r="K58" i="4" l="1"/>
  <c r="K60" i="4" s="1"/>
  <c r="K117" i="4" s="1"/>
  <c r="J78" i="4"/>
  <c r="L58" i="4"/>
  <c r="L60" i="4" s="1"/>
  <c r="L117" i="4" s="1"/>
  <c r="H58" i="4"/>
  <c r="H60" i="4" s="1"/>
  <c r="H117" i="4" s="1"/>
  <c r="M78" i="4"/>
  <c r="I78" i="4"/>
  <c r="F48" i="4"/>
  <c r="F58" i="4" s="1"/>
  <c r="F60" i="4" s="1"/>
  <c r="F117" i="4" s="1"/>
  <c r="E48" i="4"/>
  <c r="E58" i="4" s="1"/>
  <c r="E60" i="4" s="1"/>
  <c r="E117" i="4" s="1"/>
  <c r="C80" i="14"/>
  <c r="M74" i="4"/>
  <c r="M75" i="4"/>
  <c r="M76" i="4"/>
  <c r="M77" i="4"/>
  <c r="L74" i="4"/>
  <c r="L75" i="4"/>
  <c r="L76" i="4"/>
  <c r="J74" i="4"/>
  <c r="J75" i="4"/>
  <c r="J76" i="4"/>
  <c r="J77" i="4"/>
  <c r="I74" i="4"/>
  <c r="I75" i="4"/>
  <c r="I76" i="4"/>
  <c r="I77" i="4"/>
  <c r="G74" i="4"/>
  <c r="G75" i="4"/>
  <c r="G76" i="4"/>
  <c r="G77" i="4"/>
  <c r="F70" i="4"/>
  <c r="F118" i="4" s="1"/>
  <c r="E70" i="4"/>
  <c r="E118" i="4" s="1"/>
  <c r="N74" i="4"/>
  <c r="N75" i="4"/>
  <c r="N76" i="4"/>
  <c r="N77" i="4"/>
  <c r="O74" i="4"/>
  <c r="O75" i="4"/>
  <c r="O76" i="4"/>
  <c r="O77" i="4"/>
  <c r="D79" i="4"/>
  <c r="L77" i="4" l="1"/>
  <c r="H76" i="26"/>
  <c r="R13" i="26" s="1"/>
  <c r="K76" i="4"/>
  <c r="H76" i="4"/>
  <c r="K77" i="4"/>
  <c r="K75" i="4"/>
  <c r="K74" i="4"/>
  <c r="H75" i="4"/>
  <c r="H74" i="4"/>
  <c r="H77" i="4"/>
  <c r="F78" i="4"/>
  <c r="E78" i="4"/>
  <c r="O79" i="4"/>
  <c r="N79" i="4"/>
  <c r="E74" i="4"/>
  <c r="E75" i="4"/>
  <c r="E76" i="4"/>
  <c r="E77" i="4"/>
  <c r="F74" i="4"/>
  <c r="F75" i="4"/>
  <c r="F76" i="4"/>
  <c r="F77" i="4"/>
  <c r="G79" i="4"/>
  <c r="I79" i="4"/>
  <c r="J79" i="4"/>
  <c r="L79" i="4"/>
  <c r="M79" i="4"/>
  <c r="D119" i="4"/>
  <c r="D121" i="4" s="1"/>
  <c r="D84" i="4"/>
  <c r="D86" i="4" s="1"/>
  <c r="R10" i="26" l="1"/>
  <c r="R22" i="26"/>
  <c r="R21" i="26"/>
  <c r="R23" i="26"/>
  <c r="R18" i="26"/>
  <c r="R19" i="26"/>
  <c r="R25" i="26"/>
  <c r="R15" i="26"/>
  <c r="R11" i="26"/>
  <c r="R14" i="26"/>
  <c r="R12" i="26"/>
  <c r="H79" i="4"/>
  <c r="H119" i="4" s="1"/>
  <c r="H121" i="4" s="1"/>
  <c r="K79" i="4"/>
  <c r="K84" i="4" s="1"/>
  <c r="K86" i="4" s="1"/>
  <c r="H6" i="8"/>
  <c r="J77" i="26"/>
  <c r="H7" i="3"/>
  <c r="I7" i="3" s="1"/>
  <c r="M84" i="4"/>
  <c r="M86" i="4" s="1"/>
  <c r="M119" i="4"/>
  <c r="M121" i="4" s="1"/>
  <c r="L84" i="4"/>
  <c r="L86" i="4" s="1"/>
  <c r="L119" i="4"/>
  <c r="L121" i="4" s="1"/>
  <c r="H16" i="3" s="1"/>
  <c r="I16" i="3" s="1"/>
  <c r="J84" i="4"/>
  <c r="J86" i="4" s="1"/>
  <c r="J119" i="4"/>
  <c r="J121" i="4" s="1"/>
  <c r="I84" i="4"/>
  <c r="I86" i="4" s="1"/>
  <c r="I119" i="4"/>
  <c r="I121" i="4" s="1"/>
  <c r="H17" i="3" s="1"/>
  <c r="I17" i="3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H84" i="4" l="1"/>
  <c r="H86" i="4" s="1"/>
  <c r="R76" i="26"/>
  <c r="K119" i="4"/>
  <c r="K121" i="4" s="1"/>
  <c r="C82" i="14"/>
  <c r="L21" i="26"/>
  <c r="L11" i="26"/>
  <c r="L6" i="26"/>
  <c r="L7" i="26"/>
  <c r="L17" i="26"/>
  <c r="L8" i="26"/>
  <c r="L12" i="26"/>
  <c r="L10" i="26"/>
  <c r="L5" i="26"/>
  <c r="L9" i="26"/>
  <c r="L14" i="26"/>
  <c r="L15" i="26"/>
  <c r="L13" i="26"/>
  <c r="L25" i="26"/>
  <c r="L26" i="26"/>
  <c r="L24" i="26"/>
  <c r="L23" i="26"/>
  <c r="L19" i="26"/>
  <c r="L18" i="26"/>
  <c r="L22" i="26"/>
  <c r="L20" i="26"/>
  <c r="L16" i="26"/>
  <c r="H21" i="3"/>
  <c r="I21" i="3" s="1"/>
  <c r="H20" i="3"/>
  <c r="I20" i="3" s="1"/>
  <c r="H12" i="3"/>
  <c r="I12" i="3" s="1"/>
  <c r="H22" i="3"/>
  <c r="I22" i="3" s="1"/>
  <c r="H9" i="3"/>
  <c r="I9" i="3" s="1"/>
  <c r="H8" i="3"/>
  <c r="I8" i="3" s="1"/>
  <c r="C78" i="14"/>
  <c r="E84" i="4"/>
  <c r="E86" i="4" s="1"/>
  <c r="E119" i="4"/>
  <c r="E121" i="4" s="1"/>
  <c r="F84" i="4"/>
  <c r="F86" i="4" s="1"/>
  <c r="F119" i="4"/>
  <c r="F121" i="4" s="1"/>
  <c r="H15" i="3" s="1"/>
  <c r="I15" i="3" s="1"/>
  <c r="H13" i="3" l="1"/>
  <c r="I13" i="3" s="1"/>
  <c r="L76" i="26"/>
  <c r="H11" i="3"/>
  <c r="I11" i="3" s="1"/>
  <c r="I23" i="3" l="1"/>
  <c r="I33" i="2" l="1"/>
  <c r="I34" i="2" s="1"/>
  <c r="C77" i="14"/>
  <c r="C81" i="14"/>
  <c r="C83" i="14" l="1"/>
  <c r="C79" i="14"/>
  <c r="C84" i="14" l="1"/>
  <c r="D79" i="14" s="1"/>
  <c r="F74" i="14" s="1"/>
  <c r="F75" i="14" s="1"/>
  <c r="D83" i="14" l="1"/>
  <c r="D84" i="14" s="1"/>
  <c r="C9" i="13"/>
  <c r="C18" i="13"/>
  <c r="I10" i="8" s="1"/>
  <c r="J10" i="8" s="1"/>
  <c r="F27" i="3" s="1"/>
  <c r="B109" i="4"/>
  <c r="D80" i="14"/>
  <c r="D82" i="14"/>
  <c r="D78" i="14"/>
  <c r="D81" i="14"/>
  <c r="D77" i="14"/>
  <c r="I9" i="8" l="1"/>
  <c r="J9" i="8" s="1"/>
  <c r="I6" i="8"/>
  <c r="J6" i="8" s="1"/>
  <c r="H35" i="2"/>
  <c r="I8" i="8"/>
  <c r="J8" i="8" s="1"/>
  <c r="B110" i="4"/>
  <c r="I327" i="10"/>
  <c r="I329" i="10" s="1"/>
  <c r="F25" i="2" s="1"/>
  <c r="I7" i="8"/>
  <c r="J7" i="8" s="1"/>
  <c r="G27" i="3" l="1"/>
  <c r="F26" i="2" s="1"/>
  <c r="G26" i="2" s="1"/>
  <c r="H26" i="2" s="1"/>
  <c r="G25" i="2"/>
  <c r="F26" i="3"/>
  <c r="G26" i="3" s="1"/>
  <c r="F23" i="2"/>
  <c r="F25" i="3"/>
  <c r="G25" i="3" s="1"/>
  <c r="F24" i="2"/>
  <c r="I35" i="2"/>
  <c r="I36" i="2" s="1"/>
  <c r="H41" i="2" s="1"/>
  <c r="F22" i="2"/>
  <c r="F24" i="3"/>
  <c r="G24" i="3" s="1"/>
  <c r="F21" i="2"/>
  <c r="F23" i="3"/>
  <c r="G23" i="3" s="1"/>
  <c r="I110" i="4"/>
  <c r="I122" i="4" s="1"/>
  <c r="I123" i="4" s="1"/>
  <c r="G110" i="4"/>
  <c r="G122" i="4" s="1"/>
  <c r="G123" i="4" s="1"/>
  <c r="H110" i="4"/>
  <c r="H122" i="4" s="1"/>
  <c r="H123" i="4" s="1"/>
  <c r="D110" i="4"/>
  <c r="D122" i="4" s="1"/>
  <c r="D123" i="4" s="1"/>
  <c r="O110" i="4"/>
  <c r="O122" i="4" s="1"/>
  <c r="O123" i="4" s="1"/>
  <c r="N110" i="4"/>
  <c r="N122" i="4" s="1"/>
  <c r="N123" i="4" s="1"/>
  <c r="F110" i="4"/>
  <c r="F122" i="4" s="1"/>
  <c r="F123" i="4" s="1"/>
  <c r="J110" i="4"/>
  <c r="J122" i="4" s="1"/>
  <c r="J123" i="4" s="1"/>
  <c r="E110" i="4"/>
  <c r="E122" i="4" s="1"/>
  <c r="E123" i="4" s="1"/>
  <c r="M110" i="4"/>
  <c r="M122" i="4" s="1"/>
  <c r="M123" i="4" s="1"/>
  <c r="K110" i="4"/>
  <c r="K122" i="4" s="1"/>
  <c r="K123" i="4" s="1"/>
  <c r="L110" i="4"/>
  <c r="L122" i="4" s="1"/>
  <c r="L123" i="4" s="1"/>
  <c r="P6" i="26" l="1"/>
  <c r="P20" i="26"/>
  <c r="P8" i="26"/>
  <c r="P5" i="26"/>
  <c r="P24" i="26"/>
  <c r="P23" i="26"/>
  <c r="P9" i="26"/>
  <c r="P18" i="26"/>
  <c r="P26" i="26"/>
  <c r="P13" i="26"/>
  <c r="P21" i="26"/>
  <c r="P11" i="26"/>
  <c r="P7" i="26"/>
  <c r="P12" i="26"/>
  <c r="P25" i="26"/>
  <c r="P14" i="26"/>
  <c r="P22" i="26"/>
  <c r="P17" i="26"/>
  <c r="P19" i="26"/>
  <c r="P15" i="26"/>
  <c r="P16" i="26"/>
  <c r="P10" i="26"/>
  <c r="H25" i="2"/>
  <c r="X12" i="26"/>
  <c r="X13" i="26"/>
  <c r="X21" i="26"/>
  <c r="X6" i="26"/>
  <c r="X14" i="26"/>
  <c r="X22" i="26"/>
  <c r="X7" i="26"/>
  <c r="X15" i="26"/>
  <c r="X23" i="26"/>
  <c r="X8" i="26"/>
  <c r="X16" i="26"/>
  <c r="X24" i="26"/>
  <c r="X9" i="26"/>
  <c r="X17" i="26"/>
  <c r="X25" i="26"/>
  <c r="X10" i="26"/>
  <c r="X18" i="26"/>
  <c r="X26" i="26"/>
  <c r="X74" i="26"/>
  <c r="Y74" i="26" s="1"/>
  <c r="X20" i="26"/>
  <c r="X11" i="26"/>
  <c r="X19" i="26"/>
  <c r="X5" i="26"/>
  <c r="K23" i="3"/>
  <c r="F19" i="2"/>
  <c r="F21" i="3"/>
  <c r="G21" i="3" s="1"/>
  <c r="G22" i="2"/>
  <c r="H22" i="2" s="1"/>
  <c r="F9" i="2"/>
  <c r="F7" i="3"/>
  <c r="G7" i="3" s="1"/>
  <c r="F18" i="2"/>
  <c r="F20" i="3"/>
  <c r="G20" i="3" s="1"/>
  <c r="G24" i="2"/>
  <c r="H24" i="2" s="1"/>
  <c r="G23" i="2"/>
  <c r="H23" i="2" s="1"/>
  <c r="F10" i="2"/>
  <c r="F8" i="3"/>
  <c r="G8" i="3" s="1"/>
  <c r="F15" i="2"/>
  <c r="F13" i="3"/>
  <c r="G13" i="3" s="1"/>
  <c r="F20" i="2"/>
  <c r="F22" i="3"/>
  <c r="G22" i="3" s="1"/>
  <c r="F14" i="2"/>
  <c r="F12" i="3"/>
  <c r="G12" i="3" s="1"/>
  <c r="F13" i="2"/>
  <c r="F11" i="3"/>
  <c r="G11" i="3" s="1"/>
  <c r="F11" i="2"/>
  <c r="F9" i="3"/>
  <c r="G9" i="3" s="1"/>
  <c r="G21" i="2"/>
  <c r="H21" i="2" s="1"/>
  <c r="F65" i="2"/>
  <c r="F70" i="2" s="1"/>
  <c r="F72" i="2" s="1"/>
  <c r="X76" i="26" l="1"/>
  <c r="P76" i="26"/>
  <c r="G28" i="3"/>
  <c r="G30" i="3" s="1"/>
  <c r="K22" i="3"/>
  <c r="K24" i="3" s="1"/>
  <c r="G14" i="2"/>
  <c r="H14" i="2" s="1"/>
  <c r="G10" i="2"/>
  <c r="H10" i="2" s="1"/>
  <c r="G20" i="2"/>
  <c r="H20" i="2" s="1"/>
  <c r="G11" i="2"/>
  <c r="H11" i="2" s="1"/>
  <c r="G9" i="2"/>
  <c r="G13" i="2"/>
  <c r="G15" i="2"/>
  <c r="H15" i="2" s="1"/>
  <c r="G18" i="2"/>
  <c r="G19" i="2"/>
  <c r="H19" i="2" s="1"/>
  <c r="H18" i="2" l="1"/>
  <c r="H13" i="2"/>
  <c r="S25" i="26"/>
  <c r="S13" i="26"/>
  <c r="S23" i="26"/>
  <c r="S12" i="26"/>
  <c r="S22" i="26"/>
  <c r="S11" i="26"/>
  <c r="S21" i="26"/>
  <c r="S10" i="26"/>
  <c r="S19" i="26"/>
  <c r="S14" i="26"/>
  <c r="S18" i="26"/>
  <c r="S15" i="26"/>
  <c r="G6" i="2"/>
  <c r="H9" i="2"/>
  <c r="H6" i="2" l="1"/>
  <c r="I27" i="2" s="1"/>
  <c r="H40" i="2" s="1"/>
  <c r="H42" i="2" s="1"/>
  <c r="S26" i="26"/>
  <c r="S9" i="26"/>
  <c r="S16" i="26"/>
  <c r="S17" i="26"/>
  <c r="S20" i="26"/>
  <c r="S24" i="26"/>
  <c r="S7" i="26"/>
  <c r="S5" i="26"/>
  <c r="S6" i="26"/>
  <c r="S8" i="26"/>
  <c r="S76" i="26" l="1"/>
  <c r="I42" i="2"/>
  <c r="J42" i="2"/>
  <c r="N19" i="26" l="1"/>
  <c r="N11" i="26"/>
  <c r="N17" i="26"/>
  <c r="N24" i="26"/>
  <c r="N16" i="26"/>
  <c r="N8" i="26"/>
  <c r="N25" i="26"/>
  <c r="N21" i="26"/>
  <c r="N13" i="26"/>
  <c r="N9" i="26"/>
  <c r="N26" i="26"/>
  <c r="N18" i="26"/>
  <c r="N10" i="26"/>
  <c r="N23" i="26"/>
  <c r="N15" i="26"/>
  <c r="N7" i="26"/>
  <c r="N20" i="26"/>
  <c r="N12" i="26"/>
  <c r="N22" i="26"/>
  <c r="N14" i="26"/>
  <c r="N6" i="26"/>
  <c r="N5" i="26"/>
  <c r="N76" i="26" l="1"/>
  <c r="H77" i="26"/>
  <c r="O21" i="26" l="1"/>
  <c r="Q21" i="26" s="1"/>
  <c r="V21" i="26"/>
  <c r="W21" i="26" s="1"/>
  <c r="O12" i="26"/>
  <c r="I76" i="26"/>
  <c r="O20" i="26"/>
  <c r="O14" i="26"/>
  <c r="O7" i="26"/>
  <c r="O25" i="26"/>
  <c r="O10" i="26"/>
  <c r="O19" i="26"/>
  <c r="O22" i="26"/>
  <c r="O15" i="26"/>
  <c r="O8" i="26"/>
  <c r="O18" i="26"/>
  <c r="O23" i="26"/>
  <c r="O9" i="26"/>
  <c r="O26" i="26"/>
  <c r="O16" i="26"/>
  <c r="O13" i="26"/>
  <c r="O6" i="26"/>
  <c r="O24" i="26"/>
  <c r="O17" i="26"/>
  <c r="O11" i="26"/>
  <c r="O5" i="26"/>
  <c r="V5" i="26" s="1"/>
  <c r="W5" i="26" s="1"/>
  <c r="Y21" i="26" l="1"/>
  <c r="Q20" i="26"/>
  <c r="V20" i="26"/>
  <c r="W20" i="26" s="1"/>
  <c r="Q14" i="26"/>
  <c r="V14" i="26"/>
  <c r="W14" i="26" s="1"/>
  <c r="Q17" i="26"/>
  <c r="V17" i="26"/>
  <c r="W17" i="26" s="1"/>
  <c r="Q8" i="26"/>
  <c r="V8" i="26"/>
  <c r="W8" i="26" s="1"/>
  <c r="Q13" i="26"/>
  <c r="V13" i="26"/>
  <c r="W13" i="26" s="1"/>
  <c r="Q26" i="26"/>
  <c r="V26" i="26"/>
  <c r="W26" i="26" s="1"/>
  <c r="Q25" i="26"/>
  <c r="V25" i="26"/>
  <c r="W25" i="26" s="1"/>
  <c r="Q6" i="26"/>
  <c r="V6" i="26"/>
  <c r="W6" i="26" s="1"/>
  <c r="Q12" i="26"/>
  <c r="V12" i="26"/>
  <c r="W12" i="26" s="1"/>
  <c r="Q23" i="26"/>
  <c r="V23" i="26"/>
  <c r="W23" i="26" s="1"/>
  <c r="Q15" i="26"/>
  <c r="V15" i="26"/>
  <c r="W15" i="26" s="1"/>
  <c r="Q16" i="26"/>
  <c r="V16" i="26"/>
  <c r="W16" i="26" s="1"/>
  <c r="Q18" i="26"/>
  <c r="V18" i="26"/>
  <c r="W18" i="26" s="1"/>
  <c r="Q7" i="26"/>
  <c r="V7" i="26"/>
  <c r="W7" i="26" s="1"/>
  <c r="Q24" i="26"/>
  <c r="V24" i="26"/>
  <c r="W24" i="26" s="1"/>
  <c r="Q19" i="26"/>
  <c r="V19" i="26"/>
  <c r="W19" i="26" s="1"/>
  <c r="Q11" i="26"/>
  <c r="V11" i="26"/>
  <c r="W11" i="26" s="1"/>
  <c r="Q9" i="26"/>
  <c r="V9" i="26"/>
  <c r="W9" i="26" s="1"/>
  <c r="Q22" i="26"/>
  <c r="V22" i="26"/>
  <c r="W22" i="26" s="1"/>
  <c r="Q10" i="26"/>
  <c r="V10" i="26"/>
  <c r="W10" i="26" s="1"/>
  <c r="Q5" i="26"/>
  <c r="O76" i="26"/>
  <c r="T7" i="26"/>
  <c r="U7" i="26" s="1"/>
  <c r="T6" i="26"/>
  <c r="U6" i="26" s="1"/>
  <c r="T8" i="26"/>
  <c r="U8" i="26" s="1"/>
  <c r="T16" i="26"/>
  <c r="U16" i="26" s="1"/>
  <c r="T17" i="26"/>
  <c r="U17" i="26" s="1"/>
  <c r="T26" i="26"/>
  <c r="U26" i="26" s="1"/>
  <c r="T9" i="26"/>
  <c r="U9" i="26" s="1"/>
  <c r="T5" i="26"/>
  <c r="U5" i="26" s="1"/>
  <c r="T20" i="26"/>
  <c r="U20" i="26" s="1"/>
  <c r="T24" i="26"/>
  <c r="U24" i="26" s="1"/>
  <c r="Y9" i="26" l="1"/>
  <c r="W76" i="26"/>
  <c r="Y26" i="26"/>
  <c r="Q76" i="26"/>
  <c r="Y10" i="26"/>
  <c r="Y19" i="26"/>
  <c r="Y18" i="26"/>
  <c r="Y15" i="26"/>
  <c r="Y13" i="26"/>
  <c r="Y20" i="26"/>
  <c r="V76" i="26"/>
  <c r="Y17" i="26"/>
  <c r="Y22" i="26"/>
  <c r="Y24" i="26"/>
  <c r="Y7" i="26"/>
  <c r="Y23" i="26"/>
  <c r="Y6" i="26"/>
  <c r="Y5" i="26"/>
  <c r="Y11" i="26"/>
  <c r="Y16" i="26"/>
  <c r="Y12" i="26"/>
  <c r="Y25" i="26"/>
  <c r="Y8" i="26"/>
  <c r="Y14" i="26"/>
  <c r="T76" i="26"/>
  <c r="U76" i="26"/>
  <c r="Y76" i="26" l="1"/>
  <c r="Y77" i="26" s="1"/>
</calcChain>
</file>

<file path=xl/sharedStrings.xml><?xml version="1.0" encoding="utf-8"?>
<sst xmlns="http://schemas.openxmlformats.org/spreadsheetml/2006/main" count="2241" uniqueCount="842">
  <si>
    <t>ORIENTAÇÕES DE PREENCHIMENTO</t>
  </si>
  <si>
    <t>Os campos em azul são calculados automaticamente. Não há necessidade de intervenção do orçamentista.</t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</si>
  <si>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H47*</t>
    </r>
  </si>
  <si>
    <r>
      <t xml:space="preserve">Preencher a </t>
    </r>
    <r>
      <rPr>
        <b/>
        <sz val="11"/>
        <color rgb="FF000000"/>
        <rFont val="Arial"/>
        <family val="2"/>
      </rPr>
      <t>Célula H31</t>
    </r>
    <r>
      <rPr>
        <sz val="11"/>
        <color rgb="FF000000"/>
        <rFont val="Arial"/>
        <family val="2"/>
      </rPr>
      <t xml:space="preserve"> com o desconto aplicado pela empresa</t>
    </r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</si>
  <si>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</si>
  <si>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</si>
  <si>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</si>
  <si>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</si>
  <si>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</si>
  <si>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</si>
  <si>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</si>
  <si>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</si>
  <si>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</si>
  <si>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</si>
  <si>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</si>
  <si>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</si>
  <si>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</si>
  <si>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PLANILHA CONSOLIDADA</t>
  </si>
  <si>
    <t>QUADRO RESUMO - SERVIÇOS DE MANUTENÇÃO (EMPREITADA A PREÇO GLOBAL)</t>
  </si>
  <si>
    <t>ITEM 1.1</t>
  </si>
  <si>
    <t>Tipo de Serviço (A)</t>
  </si>
  <si>
    <t>Unidade</t>
  </si>
  <si>
    <t>Quantidade (A)</t>
  </si>
  <si>
    <t>Valor proposto por mês (B)</t>
  </si>
  <si>
    <t>Valor Total  Mensal do Serviço (C) = (A x B)</t>
  </si>
  <si>
    <t>Valor Anual (12 meses de contrato = (Cx12)</t>
  </si>
  <si>
    <t>Obs</t>
  </si>
  <si>
    <t>1.1.1</t>
  </si>
  <si>
    <t>Mão de obra</t>
  </si>
  <si>
    <t>Equipe Técnica de Manutenção</t>
  </si>
  <si>
    <t>1.1.2</t>
  </si>
  <si>
    <t>Equipe Técnica Administrativa</t>
  </si>
  <si>
    <t>1.1.2.1</t>
  </si>
  <si>
    <t>posto/mês</t>
  </si>
  <si>
    <t>1.1.2.2</t>
  </si>
  <si>
    <t>1.1.2.3</t>
  </si>
  <si>
    <t>Estimativa de Pernoite e Alimentação (Jantar) (Anexo III-C)</t>
  </si>
  <si>
    <t>1.1.3</t>
  </si>
  <si>
    <t>Estimativa de Pedágio e outras Tarifas (Anexo III-C)</t>
  </si>
  <si>
    <t>1.1.4</t>
  </si>
  <si>
    <t>Estimativa - Deslocamento Veículo Manut. Predial.</t>
  </si>
  <si>
    <t>1.1.5</t>
  </si>
  <si>
    <t>Estimativa de Gasto Por Veículo</t>
  </si>
  <si>
    <t>1.1.6</t>
  </si>
  <si>
    <t>Materiais de consumo (Anexo III-E)</t>
  </si>
  <si>
    <t>1.1.7</t>
  </si>
  <si>
    <t>1.1</t>
  </si>
  <si>
    <t>TOTAL ESTIMADO DA PROPOSTA PARA SERVIÇOS DE MANUTENÇÃO (PARCELA FIXA)</t>
  </si>
  <si>
    <t>QUADRO RESUMO - MATERIAIS DE MANUTENÇÃO PREDIAL SOB DEMANDA (EMPREITADA A PREÇO UNITÁRIO)</t>
  </si>
  <si>
    <t>ITEM 1.2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</si>
  <si>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</si>
  <si>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</si>
  <si>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</si>
  <si>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</si>
  <si>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</si>
  <si>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</si>
  <si>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</si>
  <si>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</si>
  <si>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</si>
  <si>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</si>
  <si>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</si>
  <si>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</si>
  <si>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</si>
  <si>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</si>
  <si>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1.2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</si>
  <si>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</si>
  <si>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</si>
  <si>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</si>
  <si>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</si>
  <si>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</si>
  <si>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</si>
  <si>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</si>
  <si>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VALOR TOTAL DA PROPOSTA ( 12 meses)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</si>
  <si>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</si>
  <si>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</si>
  <si>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</si>
  <si>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</si>
  <si>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</si>
  <si>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</si>
  <si>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</si>
  <si>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DESONERADO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</si>
  <si>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</si>
  <si>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</si>
  <si>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</si>
  <si>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</si>
  <si>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</si>
  <si>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</si>
  <si>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</si>
  <si>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</si>
  <si>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(item 1.1 – Manutenção Predial)</t>
    </r>
  </si>
  <si>
    <t>CÓDIGO</t>
  </si>
  <si>
    <t>DESCRIÇÃO</t>
  </si>
  <si>
    <t>UNIDADE</t>
  </si>
  <si>
    <t>LOCAL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</si>
  <si>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</si>
  <si>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</si>
  <si>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</si>
  <si>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</si>
  <si>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1.1.1.1</t>
  </si>
  <si>
    <t>1.1.1.2</t>
  </si>
  <si>
    <t>1.1.1.3</t>
  </si>
  <si>
    <t>1.1.1.4</t>
  </si>
  <si>
    <t>1.1.1.5</t>
  </si>
  <si>
    <t>1.1.1.6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</si>
  <si>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</si>
  <si>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</si>
  <si>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t>1.3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</si>
  <si>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</si>
  <si>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t>1.4</t>
  </si>
  <si>
    <r>
      <t xml:space="preserve">Estimativa - Deslocamento Veículo Manut. Predial. </t>
    </r>
    <r>
      <rPr>
        <b/>
        <sz val="11"/>
        <color rgb="FFFF0000"/>
        <rFont val="Arial"/>
        <family val="2"/>
      </rPr>
      <t>(Anexo III-C)</t>
    </r>
  </si>
  <si>
    <t>1.5</t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</si>
  <si>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</si>
  <si>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1.6</t>
  </si>
  <si>
    <t>Sistema de Gerenciamento</t>
  </si>
  <si>
    <t>VALOR MENSAL DA PARCELA FIXA – SUBITEM 1.1 – MANUTENÇÃO PREDIAL (BDI JÁ INCLUSO)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</si>
  <si>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</si>
  <si>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</t>
  </si>
  <si>
    <t>Número do Registro</t>
  </si>
  <si>
    <t>Termo Aditivo</t>
  </si>
  <si>
    <t>Vigência</t>
  </si>
  <si>
    <t>Data Base</t>
  </si>
  <si>
    <t>Nº da Solicitação</t>
  </si>
  <si>
    <t>CNPJ Sindicato</t>
  </si>
  <si>
    <t xml:space="preserve">Profissionais </t>
  </si>
  <si>
    <t>Extensão Territorial</t>
  </si>
  <si>
    <t>PROFISSIONAL</t>
  </si>
  <si>
    <t>Local do Posto</t>
  </si>
  <si>
    <t>SALÁRIO NORMATIVO DA CATEGORIA</t>
  </si>
  <si>
    <t>CBO</t>
  </si>
  <si>
    <t>5143-25</t>
  </si>
  <si>
    <t xml:space="preserve"> 5143-25</t>
  </si>
  <si>
    <t>5143-10</t>
  </si>
  <si>
    <t>7102-05</t>
  </si>
  <si>
    <t>CONV. COLETIVA</t>
  </si>
  <si>
    <t>NÚMERO</t>
  </si>
  <si>
    <t>VALE TRANSPORTE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</si>
  <si>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</si>
  <si>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</si>
  <si>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</si>
  <si>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</si>
  <si>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</si>
  <si>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</si>
  <si>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</si>
  <si>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</si>
  <si>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</si>
  <si>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</si>
  <si>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</si>
  <si>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</si>
  <si>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</si>
  <si>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</si>
  <si>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</si>
  <si>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</si>
  <si>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</si>
  <si>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</si>
  <si>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</si>
  <si>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</si>
  <si>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</si>
  <si>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</si>
  <si>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r>
      <rPr>
        <sz val="8"/>
        <color rgb="FF000000"/>
        <rFont val="Arial"/>
        <family val="2"/>
        <charset val="1"/>
      </rPr>
      <t xml:space="preserve">A – INSS
</t>
    </r>
    <r>
      <rPr>
        <sz val="11"/>
        <color rgb="FFC9211E"/>
        <rFont val="Arial"/>
        <family val="2"/>
        <charset val="1"/>
      </rPr>
      <t>20% - Regime Não Desonerado
0% - Regime Desonerado</t>
    </r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</si>
  <si>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</si>
  <si>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</si>
  <si>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</si>
  <si>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</si>
  <si>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</si>
  <si>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</si>
  <si>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</si>
  <si>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</si>
  <si>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</si>
  <si>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</si>
  <si>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</si>
  <si>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</si>
  <si>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</si>
  <si>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</si>
  <si>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</si>
  <si>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</si>
  <si>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</si>
  <si>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</si>
  <si>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</si>
  <si>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</si>
  <si>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</si>
  <si>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</si>
  <si>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</si>
  <si>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</si>
  <si>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</si>
  <si>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</si>
  <si>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</si>
  <si>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</si>
  <si>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</si>
  <si>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</si>
  <si>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</si>
  <si>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</si>
  <si>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</si>
  <si>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</si>
  <si>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</si>
  <si>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</si>
  <si>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</si>
  <si>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</si>
  <si>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</si>
  <si>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</si>
  <si>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</si>
  <si>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</si>
  <si>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</si>
  <si>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</si>
  <si>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</si>
  <si>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</si>
  <si>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</si>
  <si>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</si>
  <si>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</si>
  <si>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</si>
  <si>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</si>
  <si>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</si>
  <si>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r>
      <rPr>
        <sz val="8"/>
        <color rgb="FF000000"/>
        <rFont val="Arial"/>
        <family val="2"/>
        <charset val="1"/>
      </rPr>
      <t xml:space="preserve">C.1.3 – CPRB
</t>
    </r>
    <r>
      <rPr>
        <sz val="11"/>
        <color rgb="FFC9211E"/>
        <rFont val="Arial"/>
        <family val="2"/>
        <charset val="1"/>
      </rPr>
      <t>0% - Regime Onerado
4,5% - Regime Desonerado</t>
    </r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</si>
  <si>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</si>
  <si>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</si>
  <si>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</si>
  <si>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</si>
  <si>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</si>
  <si>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</si>
  <si>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</si>
  <si>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</si>
  <si>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</si>
  <si>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</si>
  <si>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</si>
  <si>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</si>
  <si>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r>
      <rPr>
        <sz val="11"/>
        <color rgb="FFFF0000"/>
        <rFont val="Arial"/>
        <family val="2"/>
      </rPr>
      <t>Oficial de Manutenção Predial I</t>
    </r>
    <r>
      <rPr>
        <sz val="11"/>
        <color rgb="FF000000"/>
        <rFont val="Arial"/>
        <family val="2"/>
        <charset val="1"/>
      </rPr>
      <t xml:space="preserve"> (Eletricista/Instalador-Reparador de Reders Telefônicas e de comunicação de dados) –  CBO 5143-25 - Jornada 44h semanais</t>
    </r>
  </si>
  <si>
    <r>
      <rPr>
        <sz val="11"/>
        <color rgb="FFFF0000"/>
        <rFont val="Arial"/>
        <family val="2"/>
      </rPr>
      <t>Oficial de Manutenção Predial II</t>
    </r>
    <r>
      <rPr>
        <sz val="11"/>
        <color rgb="FF000000"/>
        <rFont val="Arial"/>
        <family val="2"/>
        <charset val="1"/>
      </rPr>
      <t xml:space="preserve"> (Pedreiro/Bombeiro Hidráulico) – CBO 5143-25 -  Jornada 44h semanais</t>
    </r>
  </si>
  <si>
    <r>
      <rPr>
        <sz val="11"/>
        <color rgb="FFFF0000"/>
        <rFont val="Arial"/>
        <family val="2"/>
      </rPr>
      <t xml:space="preserve">Auxiliar de manutenção predial </t>
    </r>
    <r>
      <rPr>
        <sz val="11"/>
        <rFont val="Arial"/>
        <family val="2"/>
      </rPr>
      <t>(Auxiliar Eletricista/Hidráulica/Pedreiro)</t>
    </r>
    <r>
      <rPr>
        <sz val="11"/>
        <color rgb="FF000000"/>
        <rFont val="Arial"/>
        <family val="2"/>
        <charset val="1"/>
      </rPr>
      <t xml:space="preserve"> – CBO 5143-10 - Jornada de 44h semanais</t>
    </r>
  </si>
  <si>
    <t>Engenheiro Civil - Jornada 30h semanais</t>
  </si>
  <si>
    <t>Engenheiro Eletricista - Jornada 30h semanais</t>
  </si>
  <si>
    <t>Encarregado de Manutenção – CBO 7102-05 - Jornada 44h semanais</t>
  </si>
  <si>
    <t>Tipo de Transporte</t>
  </si>
  <si>
    <t>LEI</t>
  </si>
  <si>
    <t>Tarifa de Onibus</t>
  </si>
  <si>
    <t>ALIMENTAÇÃO</t>
  </si>
  <si>
    <t xml:space="preserve">Tipo </t>
  </si>
  <si>
    <t>EMBASAMENTO</t>
  </si>
  <si>
    <t>Vale Refeição / Café da manhã</t>
  </si>
  <si>
    <t>Observação: perguntar ao procurador sobre o pagamento</t>
  </si>
  <si>
    <t>Outros (Cesta básica)</t>
  </si>
  <si>
    <t>SEGUROS</t>
  </si>
  <si>
    <t>SINAPI ( INSUMO Codigo)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</si>
  <si>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</si>
  <si>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</si>
  <si>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</si>
  <si>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</si>
  <si>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</si>
  <si>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</si>
  <si>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</si>
  <si>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(DECRETO Nº 10.854, DE 10 DE NOVEMBRO DE 2021)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</si>
  <si>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</si>
  <si>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</si>
  <si>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</si>
  <si>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</si>
  <si>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</si>
  <si>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</si>
  <si>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</si>
  <si>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</si>
  <si>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</si>
  <si>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</si>
  <si>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</si>
  <si>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</si>
  <si>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</si>
  <si>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</si>
  <si>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</si>
  <si>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</si>
  <si>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</si>
  <si>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</si>
  <si>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</si>
  <si>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</si>
  <si>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</si>
  <si>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</si>
  <si>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</si>
  <si>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</si>
  <si>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</si>
  <si>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</si>
  <si>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</si>
  <si>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</si>
  <si>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</si>
  <si>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</si>
  <si>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</si>
  <si>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</si>
  <si>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</si>
  <si>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</si>
  <si>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</si>
  <si>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</si>
  <si>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</si>
  <si>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</si>
  <si>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</si>
  <si>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</si>
  <si>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</si>
  <si>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</si>
  <si>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t>UNIFORMES E EPI</t>
  </si>
  <si>
    <t>BASE</t>
  </si>
  <si>
    <t>CUSTO UNITÁRIO
(R$)</t>
  </si>
  <si>
    <t>SINAPI</t>
  </si>
  <si>
    <t>EPI - FAMILIA ELETRICISTA - MENSALISTA (ENCARGOS COMPLEMENTARES - COLETADO CAIXA)</t>
  </si>
  <si>
    <t>MÊS</t>
  </si>
  <si>
    <t>EPI - FAMILIA PEDREIRO - MENSALISTA (ENCARGOS COMPLEMENTARES - COLETADO CAIXA)</t>
  </si>
  <si>
    <t>EPI - FAMILIA ENGENHEIRO CIVIL - MENSALISTA (ENCARGOS COMPLEMENTARES - COLETADO CAIXA)</t>
  </si>
  <si>
    <t>MES</t>
  </si>
  <si>
    <t>EPI - FAMILIA ENCARREGADO GERAL - HORISTA (ENCARGOS COMPLEMENTARES - COLETADO CAIXA)</t>
  </si>
  <si>
    <t>FERRAMENTAS</t>
  </si>
  <si>
    <t>FERRAMENTAS - FAMILIA ELETRICISTA - MENSALISTA (ENCARGOS COMPLEMENTARES - COLETADO CAIXA)</t>
  </si>
  <si>
    <t>REF.</t>
  </si>
  <si>
    <t>UNID</t>
  </si>
  <si>
    <t>FERRAMENTAS - FAMILIA PEDREIRO - MENSALISTA (ENCARGOS COMPLEMENTARES - COLETADO CAIXA)</t>
  </si>
  <si>
    <t>FERRAMENTAS - FAMILIA ENGENHEIRO CIVIL - MENSALISTA (ENCARGOS COMPLEMENTARES - COLETADO CAIXA)</t>
  </si>
  <si>
    <t>FERRAMENTAS - FAMILIA ENCARREGADO GERAL - HORISTA (ENCARGOS COMPLEMENTARES - COLETADO CAIXA)</t>
  </si>
  <si>
    <t>TOTAL</t>
  </si>
  <si>
    <t>ITEM</t>
  </si>
  <si>
    <t>ÁREA (M²)</t>
  </si>
  <si>
    <t>SINAPI - 07/2022 – Pará: Não Desonerado: embutido nos preços unitário dos insumos de mão de obra, de acordo com as bases.</t>
  </si>
  <si>
    <t>ROTA DE MANUTENÇÃO PREVENTIVA</t>
  </si>
  <si>
    <t>CUSTO UNITÁRIO</t>
  </si>
  <si>
    <t>ROTA</t>
  </si>
  <si>
    <t>UNIDADE ADMINISTRATIVA</t>
  </si>
  <si>
    <t>INDICAÇÃO DA ROTA (O: ORIGEM; N: NOVA ROTA; C: CONTINUAÇÃO DA ROTA; F: FIM DA ROTA)</t>
  </si>
  <si>
    <t>Km - Distância de Deslocamento Mensal (PREVENTIVA)</t>
  </si>
  <si>
    <t>TEMPO DE DESLOCAMENTO (HORAS) - (IDA E VOLTA)</t>
  </si>
  <si>
    <t>DURAÇÃO (TOTAL DIAS)</t>
  </si>
  <si>
    <t>Necessidade de Pernoitar</t>
  </si>
  <si>
    <t>Diárias/ Pernoites</t>
  </si>
  <si>
    <t>Pedágio/Passagem Transporte Fluvial/ Passagem Transporte Aéreo/Balsa</t>
  </si>
  <si>
    <t>O</t>
  </si>
  <si>
    <t>NÃO</t>
  </si>
  <si>
    <t>Terrestre</t>
  </si>
  <si>
    <t>H</t>
  </si>
  <si>
    <t>F</t>
  </si>
  <si>
    <t>N</t>
  </si>
  <si>
    <t>SIM</t>
  </si>
  <si>
    <t>DISCRIMINAÇÃO</t>
  </si>
  <si>
    <t>Estimativa de gasto com os deslocamentos dos Veículos da Manutenção Predial.</t>
  </si>
  <si>
    <t>BANCO DE DADOS</t>
  </si>
  <si>
    <t>CM</t>
  </si>
  <si>
    <t>UN</t>
  </si>
  <si>
    <t>QUANTIDADE
(MENSAL)</t>
  </si>
  <si>
    <t>CUSTO TOTAL
(MENSAL)</t>
  </si>
  <si>
    <t>BDI</t>
  </si>
  <si>
    <t>VALOR TOTAL MENSAL</t>
  </si>
  <si>
    <t>01</t>
  </si>
  <si>
    <t>Estimativa de Pernoite e Alimentação (Jantar)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</si>
  <si>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</si>
  <si>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</si>
  <si>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</si>
  <si>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</si>
  <si>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</si>
  <si>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</si>
  <si>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59.850,06</t>
  </si>
  <si>
    <t>03.CHOR.CAUX.391/01</t>
  </si>
  <si>
    <t>INSUMO</t>
  </si>
  <si>
    <t>0,0000480</t>
  </si>
  <si>
    <t>03.CHOR.CAUX.392/01</t>
  </si>
  <si>
    <t>0,0000076</t>
  </si>
  <si>
    <t>03.CHOR.CAUX.393/01</t>
  </si>
  <si>
    <t>0,0000030</t>
  </si>
  <si>
    <t>03.CHOR.CAUX.394/01</t>
  </si>
  <si>
    <t>0,0000600</t>
  </si>
  <si>
    <t>03.CHOR.CAUX.395/01</t>
  </si>
  <si>
    <t>6,6900000</t>
  </si>
  <si>
    <t>km</t>
  </si>
  <si>
    <t>MANUTENÇÃO PREVENTIVA - FATORES DE AJUSTE VALORES DE DESLOCAMENTOS POR INEXECUÇÃO DAS VISTORIAS PROGRAMADAS</t>
  </si>
  <si>
    <t>DADOS DO DESLOCAMENTO</t>
  </si>
  <si>
    <t>FATOR DE PARTICIPAÇÃO NO CUSTO - K</t>
  </si>
  <si>
    <t xml:space="preserve"> Kdp (Diárias/Pernoites)</t>
  </si>
  <si>
    <t>Kpp (Pedágio/Passagens)</t>
  </si>
  <si>
    <t>Total Km:</t>
  </si>
  <si>
    <t>Total (H):</t>
  </si>
  <si>
    <t>Nº de pernoites:</t>
  </si>
  <si>
    <t>Total de deslocamento terrestre (H):</t>
  </si>
  <si>
    <t>Custo de Passagens e tarifas:</t>
  </si>
  <si>
    <t>CÁLCULO DA GLOSA - PARCELAS DE DESLOCAMENTO</t>
  </si>
  <si>
    <t> </t>
  </si>
  <si>
    <t>1 . Premissas</t>
  </si>
  <si>
    <t>1.1  A glosa será feira por unidade não vistoriada, segundo o número de técnicos faltantes ou visitas não realizadas</t>
  </si>
  <si>
    <t>1.2 O Padrão adotado é de uma equipe mínima com 3 técnicos para cada inspeção preventiva</t>
  </si>
  <si>
    <t>2. Parâmetros:</t>
  </si>
  <si>
    <t>Nta:</t>
  </si>
  <si>
    <t>Número de técnicos ausentes</t>
  </si>
  <si>
    <t>Kdp:</t>
  </si>
  <si>
    <t>Fator de ajuste para diárias e pernoites</t>
  </si>
  <si>
    <t>Kpp:</t>
  </si>
  <si>
    <t>Fator de ajuste para passagens e pedágios</t>
  </si>
  <si>
    <t>Kgv:</t>
  </si>
  <si>
    <t>Fator de ajuste para gastos com veículos (despesas de manutenção e operação de veículos)</t>
  </si>
  <si>
    <t>Os Fatores de ajuste variam de acordo com as condições de cada unidade.</t>
  </si>
  <si>
    <t>3. Formulação (Cálculo para cada imóvel com inconsistência na vistoria preventiva):</t>
  </si>
  <si>
    <t>Pernoite e Alimentação (Jantar):</t>
  </si>
  <si>
    <r>
      <t xml:space="preserve">(Nta/3) x Kdp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item 1.1.2 da planilha II-Planilha Consolidada do contrato</t>
    </r>
  </si>
  <si>
    <t>Pedágio/Passagem:</t>
  </si>
  <si>
    <r>
      <t xml:space="preserve">(Nta/3) x Kpp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1.1.3 da planilha II-Planilha Consolidada do contrato</t>
    </r>
  </si>
  <si>
    <t>Manutenção e operação veículo:</t>
  </si>
  <si>
    <r>
      <t xml:space="preserve">Kgv x </t>
    </r>
    <r>
      <rPr>
        <b/>
        <sz val="8"/>
        <color rgb="FF000000"/>
        <rFont val="Arial"/>
        <family val="2"/>
      </rPr>
      <t xml:space="preserve">R$ TOTAL </t>
    </r>
    <r>
      <rPr>
        <sz val="8"/>
        <color rgb="FF000000"/>
        <rFont val="Arial"/>
        <family val="2"/>
      </rPr>
      <t>(MENSAL) item 1.1.4 da planilha II-Planilha Consolidada do contrato(Os deslocamentos em  Belém, Marabá e Santarém não serão objeto de ajuste)</t>
    </r>
  </si>
  <si>
    <t>OBSERVAÇÃO:</t>
  </si>
  <si>
    <t>A aplicação dos ajustes, não substitui a aplicação das sanções cabíveis pela inexecução dos serviços na forma adequada.</t>
  </si>
  <si>
    <r>
      <t xml:space="preserve">PLANILHA DE CUSTO E FORMAÇÃO DE PREÇO
III – Planilha estimativa de custos mensais da parcela fixa (item 1.1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</si>
  <si>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</si>
  <si>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</si>
  <si>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</si>
  <si>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</si>
  <si>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</si>
  <si>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</si>
  <si>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</si>
  <si>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</si>
  <si>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</si>
  <si>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</si>
  <si>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</si>
  <si>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</si>
  <si>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</si>
  <si>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</si>
  <si>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</si>
  <si>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</si>
  <si>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</si>
  <si>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</si>
  <si>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</si>
  <si>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</si>
  <si>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</si>
  <si>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</si>
  <si>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</si>
  <si>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</si>
  <si>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</si>
  <si>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</si>
  <si>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</si>
  <si>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</si>
  <si>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</si>
  <si>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</si>
  <si>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</si>
  <si>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</si>
  <si>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</si>
  <si>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</si>
  <si>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</si>
  <si>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</si>
  <si>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</si>
  <si>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</si>
  <si>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</si>
  <si>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</si>
  <si>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</si>
  <si>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</si>
  <si>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</si>
  <si>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</si>
  <si>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</si>
  <si>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</si>
  <si>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</si>
  <si>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</si>
  <si>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</si>
  <si>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</si>
  <si>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</si>
  <si>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</si>
  <si>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</si>
  <si>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</si>
  <si>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</si>
  <si>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</si>
  <si>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</si>
  <si>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</si>
  <si>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</si>
  <si>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</si>
  <si>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</si>
  <si>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</si>
  <si>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</si>
  <si>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</si>
  <si>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</si>
  <si>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</si>
  <si>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</si>
  <si>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</si>
  <si>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</si>
  <si>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</si>
  <si>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</si>
  <si>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</si>
  <si>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</si>
  <si>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</si>
  <si>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</si>
  <si>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</si>
  <si>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</si>
  <si>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</si>
  <si>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</si>
  <si>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</si>
  <si>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</si>
  <si>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</si>
  <si>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</si>
  <si>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CONSUMO INT</t>
  </si>
  <si>
    <t>% REPOSIÇÃO</t>
  </si>
  <si>
    <t>13.9</t>
  </si>
  <si>
    <t>13.10</t>
  </si>
  <si>
    <t>REATOR ELETRONICO BIVOLT PARA 1 LAMPADA FLUORESCENTE DE 18/20 W</t>
  </si>
  <si>
    <t>REATOR ELETRONICO BIVOLT PARA 2 LAMPADAS FLUORESCENTES DE 36/40 W</t>
  </si>
  <si>
    <t>13.11</t>
  </si>
  <si>
    <t>REATOR ELETRONICO BIVOLT PARA 2 LAMPADAS FLUORESCENTES DE 18/20 W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</si>
  <si>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</si>
  <si>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</si>
  <si>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</si>
  <si>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</si>
  <si>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</si>
  <si>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</si>
  <si>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</si>
  <si>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</si>
  <si>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</si>
  <si>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</si>
  <si>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</si>
  <si>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</si>
  <si>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</si>
  <si>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</si>
  <si>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</si>
  <si>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</si>
  <si>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</si>
  <si>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</si>
  <si>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</si>
  <si>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</si>
  <si>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</si>
  <si>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</si>
  <si>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</si>
  <si>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</si>
  <si>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</si>
  <si>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</si>
  <si>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</si>
  <si>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</si>
  <si>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</si>
  <si>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</si>
  <si>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</si>
  <si>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</si>
  <si>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</si>
  <si>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</si>
  <si>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</si>
  <si>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</si>
  <si>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</si>
  <si>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</si>
  <si>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</si>
  <si>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</si>
  <si>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</si>
  <si>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</si>
  <si>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</si>
  <si>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</si>
  <si>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</si>
  <si>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</si>
  <si>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</si>
  <si>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</si>
  <si>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</si>
  <si>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</si>
  <si>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</si>
  <si>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</si>
  <si>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</si>
  <si>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</si>
  <si>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t>Deslocamento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</si>
  <si>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</si>
  <si>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</si>
  <si>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</si>
  <si>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</si>
  <si>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</si>
  <si>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</si>
  <si>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</si>
  <si>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</si>
  <si>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</si>
  <si>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</si>
  <si>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</si>
  <si>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</si>
  <si>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</si>
  <si>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</si>
  <si>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</si>
  <si>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</si>
  <si>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</si>
  <si>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</si>
  <si>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r>
      <rPr>
        <sz val="8"/>
        <color rgb="FF000000"/>
        <rFont val="Arial"/>
        <family val="2"/>
        <charset val="1"/>
      </rPr>
      <t xml:space="preserve">CPRB
</t>
    </r>
    <r>
      <rPr>
        <sz val="11"/>
        <color rgb="FFC9211E"/>
        <rFont val="Arial"/>
        <family val="2"/>
        <charset val="1"/>
      </rPr>
      <t>0% - Regime Não Desonerado
4,5% - Regime Desonerado</t>
    </r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</si>
  <si>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</si>
  <si>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</si>
  <si>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</si>
  <si>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</si>
  <si>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</si>
  <si>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</si>
  <si>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</si>
  <si>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</si>
  <si>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r>
      <rPr>
        <sz val="12"/>
        <color rgb="FF000000"/>
        <rFont val="Arial"/>
        <family val="2"/>
        <charset val="1"/>
      </rP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4,5% para o CPRB e 0% para 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</si>
  <si>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</si>
  <si>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</si>
  <si>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</si>
  <si>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</si>
  <si>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</si>
  <si>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</si>
  <si>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</si>
  <si>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</si>
  <si>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</si>
  <si>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</si>
  <si>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</si>
  <si>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</si>
  <si>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</si>
  <si>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</si>
  <si>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</si>
  <si>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</si>
  <si>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</si>
  <si>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</si>
  <si>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</si>
  <si>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ABRACADEIRA EM ACO PARA AMARRACAO DE ELETRODUTOS, TIPO D, COM 1/2" E PARAFUSO DE FIXACAO</t>
  </si>
  <si>
    <t xml:space="preserve">M     </t>
  </si>
  <si>
    <t>ADAPTADOR PVC SOLDAVEL, COM FLANGE E ANEL DE VEDACAO, 32 MM X 1", PARA CAIXA D'AGUA</t>
  </si>
  <si>
    <t>ADAPTADOR PVC SOLDAVEL, LONGO, COM FLANGE LIVRE,  32 MM X 1", PARA CAIXA D' AGUA</t>
  </si>
  <si>
    <t>ADESIVO PLASTICO PARA PVC, FRASCO COM *850* GR</t>
  </si>
  <si>
    <t>ADESIVO PLASTICO PARA PVC, FRASCO COM 175 GR</t>
  </si>
  <si>
    <t>ANEL BORRACHA PARA TUBO ESGOTO PREDIAL, DN 100 MM (NBR 5688)</t>
  </si>
  <si>
    <t>ANEL BORRACHA PARA TUBO ESGOTO PREDIAL, DN 50 MM (NBR 5688)</t>
  </si>
  <si>
    <t>ANEL BORRACHA PARA TUBO ESGOTO PREDIAL, DN 75 MM (NBR 5688)</t>
  </si>
  <si>
    <t>ANEL BORRACHA, DN 100 MM, PARA TUBO SERIE REFORCADA ESGOTO PREDIAL</t>
  </si>
  <si>
    <t>ANEL BORRACHA, DN 75 MM, PARA TUBO SERIE REFORCADA ESGOTO PREDIAL</t>
  </si>
  <si>
    <t>AUTOMATICO DE BOIA SUPERIOR / INFERIOR, *15* A / 250 V</t>
  </si>
  <si>
    <t>BUCHA DE NYLON SEM ABA S6, COM PARAFUSO DE 4,20 X 40 MM EM ACO ZINCADO COM ROSCA SOBERBA, CABECA CHATA E FENDA PHILLIPS</t>
  </si>
  <si>
    <t>CABO DE COBRE NU 50 MM2 MEIO-DURO</t>
  </si>
  <si>
    <t>CABO DE COBRE, FLEXIVEL, CLASSE 4 OU 5, ISOLACAO EM PVC/A, ANTICHAMA BWF-B, COBERTURA PVC-ST1, ANTICHAMA BWF-B, 1 CONDUTOR, 0,6/1 KV, SECAO NOMINAL 10 MM2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</si>
  <si>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</si>
  <si>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COBERTURA PVC-ST1, ANTICHAMA BWF-B, 1 CONDUTOR, 0,6/1 KV, SECAO NOMINAL 50 MM2</t>
  </si>
  <si>
    <t>CABO DE COBRE, FLEXIVEL, CLASSE 4 OU 5, ISOLACAO EM PVC/A, ANTICHAMA BWF-B, COBERTURA PVC-ST1, ANTICHAMA BWF-B, 1 CONDUTOR, 0,6/1 KV, SECAO NOMINAL 95 MM2</t>
  </si>
  <si>
    <t>CABO DE COBRE, FLEXIVEL, CLASSE 4 OU 5, ISOLACAO EM PVC/A, ANTICHAMA BWF-B, 1 CONDUTOR, 450/750 V, SECAO NOMINAL 2,5 MM2</t>
  </si>
  <si>
    <t>CABO DE COBRE, FLEXIVEL, CLASSE 4 OU 5, ISOLACAO EM PVC/A, ANTICHAMA BWF-B, 1 CONDUTOR, 450/750 V, SECAO NOMINAL 25 MM2</t>
  </si>
  <si>
    <t>CABO DE COBRE, FLEXIVEL, CLASSE 4 OU 5, ISOLACAO EM PVC/A, ANTICHAMA BWF-B, 1 CONDUTOR, 450/750 V, SECAO NOMINAL 4 MM2</t>
  </si>
  <si>
    <t>CABO DE COBRE, FLEXIVEL, CLASSE 4 OU 5, ISOLACAO EM PVC/A, ANTICHAMA BWF-B, 1 CONDUTOR, 450/750 V, SECAO NOMINAL 50 MM2</t>
  </si>
  <si>
    <t>CABO DE COBRE, FLEXIVEL, CLASSE 4 OU 5, ISOLACAO EM PVC/A, ANTICHAMA BWF-B, 1 CONDUTOR, 450/750 V, SECAO NOMINAL 6 MM2</t>
  </si>
  <si>
    <t>CABO DE REDE, PAR TRANCADO UTP, 4 PARES, CATEGORIA 6 (CAT 6), ISOLAMENTO PVC (LSZH)</t>
  </si>
  <si>
    <t>CABO TELEFONICO CCI 50, 2 PARES, USO INTERNO, SEM BLINDAGEM</t>
  </si>
  <si>
    <t>CABO TELEFONICO CCI 50, 4 PARES, USO INTERNO, SEM BLINDAGEM</t>
  </si>
  <si>
    <t>CABO TELEFONICO CCI 50, 6 PARES, USO INTERNO, SEM BLINDAGEM</t>
  </si>
  <si>
    <t>CABO TELEFONICO CI 50, 10 PARES, USO INTERNO</t>
  </si>
  <si>
    <t>CABO TELEFONICO CI 50, 50 PARES, USO INTERNO</t>
  </si>
  <si>
    <t>CAP PVC, SOLDAVEL, DN 50 MM, SERIE NORMAL, PARA ESGOTO PREDIAL</t>
  </si>
  <si>
    <t>CAP PVC, SOLDAVEL, DN 75 MM, SERIE NORMAL, PARA ESGOTO PREDIAL</t>
  </si>
  <si>
    <t>CONDULETE DE ALUMINIO TIPO C, PARA ELETRODUTO ROSCAVEL DE 3/4", COM TAMPA CEGA</t>
  </si>
  <si>
    <t>CONDULETE DE ALUMINIO TIPO T, PARA ELETRODUTO ROSCAVEL DE 1", COM TAMPA CEGA</t>
  </si>
  <si>
    <t>CONDULETE EM PVC, TIPO "LB", SEM TAMPA, DE 1/2" OU 3/4"</t>
  </si>
  <si>
    <t>CONDULETE EM PVC, TIPO "LL", SEM TAMPA, DE 1/2" OU 3/4"</t>
  </si>
  <si>
    <t>CONECTOR / TOMADA FEMEA RJ 45, CATEGORIA 6 (CAT 6) PARA CABOS</t>
  </si>
  <si>
    <t>CONECTOR MACHO RJ 45, CATEGORIA 6 (CAT 6) PARA CABOS</t>
  </si>
  <si>
    <t>DISJUNTOR TERMOMAGNETICO TRIPOLAR 200 A / 600 V, TIPO FXD / ICC - 35 KA</t>
  </si>
  <si>
    <t>DISJUNTOR TIPO DIN / IEC, MONOPOLAR DE 40  ATE 50A</t>
  </si>
  <si>
    <t>DISJUNTOR TIPO DIN/IEC, MONOPOLAR DE 6  ATE  32A</t>
  </si>
  <si>
    <t>DISJUNTOR TIPO NEMA, BIPOLAR 10  ATE  50 A, TENSAO MAXIMA 415 V</t>
  </si>
  <si>
    <t>DISJUNTOR TIPO NEMA, TRIPOLAR 60 ATE 100 A, TENSAO MAXIMA DE 415 V</t>
  </si>
  <si>
    <t>ELETRODUTO DE PVC RIGIDO ROSCAVEL DE 1 1/4 ", SEM LUVA</t>
  </si>
  <si>
    <t>ELETRODUTO DE PVC RIGIDO ROSCAVEL DE 2 1/2 ", SEM LUVA</t>
  </si>
  <si>
    <t>ELETRODUTO DE PVC RIGIDO SOLDAVEL, CLASSE B, DE 25 MM</t>
  </si>
  <si>
    <t>ELETRODUTO EM ACO GALVANIZADO ELETROLITICO, LEVE, DIAMETRO 3/4", PAREDE DE 0,90 MM</t>
  </si>
  <si>
    <t>ESPELHO / PLACA CEGA 4" X 2", PARA INSTALACAO DE TOMADAS E INTERRUPTORES</t>
  </si>
  <si>
    <t>ESPELHO / PLACA CEGA 4" X 4", PARA INSTALACAO DE TOMADAS E INTERRUPTORES</t>
  </si>
  <si>
    <t>ESPELHO / PLACA DE 3 POSTOS 4" X 2", PARA INSTALACAO DE TOMADAS E INTERRUPTORES</t>
  </si>
  <si>
    <t>FITA ADESIVA ASFALTICA ALUMINIZADA MULTIUSO, L = 10 CM, ROLO DE 10 M</t>
  </si>
  <si>
    <t>FITA ISOLANTE ADESIVA ANTICHAMA, USO ATE 750 V, EM ROLO DE 19 MM X 5 M</t>
  </si>
  <si>
    <t>FITA VEDA ROSCA EM ROLOS DE 18 MM X 10 M (L X C)</t>
  </si>
  <si>
    <t>FITA VEDA ROSCA EM ROLOS DE 18 MM X 25 M (L X C)</t>
  </si>
  <si>
    <t>INTERRUPTOR SIMPLES + TOMADA 2P+T 10A, 250V, CONJUNTO MONTADO PARA EMBUTIR 4" X 2" (PLACA + SUPORTE + MODULOS)</t>
  </si>
  <si>
    <t>INTERRUPTOR SIMPLES 10A, 250V (APENAS MODULO)</t>
  </si>
  <si>
    <t>INTERRUPTOR SIMPLES 10A, 250V, CONJUNTO MONTADO PARA EMBUTIR 4" X 2" (PLACA + SUPORTE + MODULO)</t>
  </si>
  <si>
    <t>INTERRUPTOR SIMPLES 10A, 250V, CONJUNTO MONTADO PARA SOBREPOR 4" X 2" (CAIXA + MODULO)</t>
  </si>
  <si>
    <t>JOELHO PVC, SOLDAVEL COM ROSCA, 90 GRAUS, 25 MM X 3/4", COR MARROM, PARA AGUA FRIA PREDIAL</t>
  </si>
  <si>
    <t>JOELHO PVC, SOLDAVEL, BB, 45 GRAUS, DN 40 MM, PARA ESGOTO PREDIAL</t>
  </si>
  <si>
    <t>JOELHO PVC, SOLDAVEL, BB, 90 GRAUS, SEM ANEL, DN 40 MM, PARA ESGOTO PREDIAL SECUNDARIO</t>
  </si>
  <si>
    <t>JOELHO PVC, SOLDAVEL, COM BUCHA DE LATAO, 90 GRAUS, 20 MM X 1/2", PARA AGUA FRIA PREDIAL</t>
  </si>
  <si>
    <t>JOELHO PVC, SOLDAVEL, COM BUCHA DE LATAO, 90 GRAUS, 25 MM X 3/4", PARA AGUA FRIA PREDIAL</t>
  </si>
  <si>
    <t>JOELHO PVC, SOLDAVEL, PB, 45 GRAUS, DN 100 MM, PARA ESGOTO PREDIAL</t>
  </si>
  <si>
    <t>JOELHO PVC, SOLDAVEL, PB, 45 GRAUS, DN 50 MM, PARA ESGOTO PREDIAL</t>
  </si>
  <si>
    <t>JOELHO PVC, SOLDAVEL, PB, 90 GRAUS, DN 100 MM, PARA ESGOTO PREDIAL</t>
  </si>
  <si>
    <t>JOELHO PVC, SOLDAVEL, PB, 90 GRAUS, DN 50 MM, PARA ESGOTO PREDIAL</t>
  </si>
  <si>
    <t>JOELHO PVC, SOLDAVEL, PB, 90 GRAUS, DN 75 MM, PARA ESGOTO PREDIAL</t>
  </si>
  <si>
    <t>JOELHO PVC, SOLDAVEL, 90 GRAUS, 20 MM, COR MARROM, PARA AGUA FRIA PREDIAL</t>
  </si>
  <si>
    <t>JOELHO PVC, SOLDAVEL, 90 GRAUS, 25 MM, COR MARROM, PARA AGUA FRIA PREDIAL</t>
  </si>
  <si>
    <t>JOELHO PVC, SOLDAVEL, 90 GRAUS, 32 MM, COR MARROM, PARA AGUA FRIA PREDIAL</t>
  </si>
  <si>
    <t>JOELHO PVC, SOLDAVEL, 90 GRAUS, 40 MM, COR MARROM, PARA AGUA FRIA PREDIAL</t>
  </si>
  <si>
    <t>JOELHO, PVC SOLDAVEL, 45 GRAUS, 25 MM, COR MARROM, PARA AGUA FRIA PREDIAL</t>
  </si>
  <si>
    <t>JOELHO, PVC SOLDAVEL, 90 GRAUS, 75 MM, COR MARROM, PARA AGUA FRIA PREDIAL</t>
  </si>
  <si>
    <t>JUNCAO SIMPLES DE REDUCAO, PVC, DN 100 X 50 MM, SERIE NORMAL PARA ESGOTO PREDIAL</t>
  </si>
  <si>
    <t>JUNCAO SIMPLES, PVC, 45 GRAUS, DN 100 X 100 MM, SERIE NORMAL PARA ESGOTO PREDIAL</t>
  </si>
  <si>
    <t>JUNCAO SIMPLES, PVC, 45 GRAUS, DN 50 X 50 MM, SERIE NORMAL PARA ESGOTO PREDIAL</t>
  </si>
  <si>
    <t>LAMPADA FLUORESCENTE COMPACTA 3U BRANCA 20 W, BASE E27 (127/220 V)</t>
  </si>
  <si>
    <t>LAMPADA FLUORESCENTE TUBULAR T10, DE 20 OU 40 W, BIVOLT</t>
  </si>
  <si>
    <t>LAMPADA FLUORESCENTE TUBULAR T8 DE 16/18 W, BIVOLT</t>
  </si>
  <si>
    <t>LAMPADA FLUORESCENTE TUBULAR T8 DE 32/36 W, BIVOLT</t>
  </si>
  <si>
    <t>LAMPADA LED TUBULAR BIVOLT 18/20 W, BASE G13</t>
  </si>
  <si>
    <t>LAMPADA LED TUBULAR BIVOLT 9/10 W, BASE G13</t>
  </si>
  <si>
    <t>LAMPADA LED 10 W BIVOLT BRANCA, FORMATO TRADICIONAL (BASE E27)</t>
  </si>
  <si>
    <t>LAMPADA LED 6 W BIVOLT BRANCA, FORMATO TRADICIONAL (BASE E27)</t>
  </si>
  <si>
    <t>LAMPADA VAPOR MERCURIO 250 W (BASE E40)</t>
  </si>
  <si>
    <t>LIXA D'AGUA EM FOLHA, GRAO 100</t>
  </si>
  <si>
    <t>LUMINARIA DE EMERGENCIA 30 LEDS, POTENCIA 2 W, BATERIA DE LITIO, AUTONOMIA DE 6 HORAS</t>
  </si>
  <si>
    <t>LUMINARIA DE SOBREPOR EM CHAPA DE ACO PARA 1 LAMPADA FLUORESCENTE DE *18* W, ALETADA, COMPLETA (LAMPADA E REATOR INCLUSOS)</t>
  </si>
  <si>
    <t>LUMINARIA DE SOBREPOR EM CHAPA DE ACO PARA 1 LAMPADA FLUORESCENTE DE *36* W, ALETADA, COMPLETA (LAMPADA E REATOR INCLUSOS)</t>
  </si>
  <si>
    <t>LUMINARIA DE SOBREPOR EM CHAPA DE ACO PARA 2 LAMPADAS FLUORESCENTES DE *18* W, ALETADA, COMPLETA (LAMPADAS E REATOR INCLUSOS)</t>
  </si>
  <si>
    <t>LUMINARIA DE SOBREPOR EM CHAPA DE ACO PARA 2 LAMPADAS FLUORESCENTES DE *36* W, ALETADA, COMPLETA (LAMPADAS E REATOR INCLUSOS)</t>
  </si>
  <si>
    <t>LUMINARIA LED PLAFON REDONDO DE SOBREPOR BIVOLT 12/13 W,  D = *17* CM</t>
  </si>
  <si>
    <t>LUMINARIA LED REFLETOR RETANGULAR BIVOLT, LUZ BRANCA, 30 W</t>
  </si>
  <si>
    <t>LUMINARIA LED REFLETOR RETANGULAR BIVOLT, LUZ BRANCA, 50 W</t>
  </si>
  <si>
    <t>LUMINARIA TIPO TARTARUGA PARA AREA EXTERNA EM ALUMINIO, COM GRADE, PARA 1 LAMPADA, BASE E27, POTENCIA MAXIMA 40/60 W (NAO INCLUI LAMPADA)</t>
  </si>
  <si>
    <t>LUVA DE REDUCAO SOLDAVEL, PVC, 32 MM X 25 MM, PARA AGUA FRIA PREDIAL</t>
  </si>
  <si>
    <t>LUVA DE REDUCAO SOLDAVEL, PVC, 40 MM X 32 MM, PARA AGUA FRIA PREDIAL</t>
  </si>
  <si>
    <t>LUVA DE REDUCAO SOLDAVEL, PVC, 60 MM X 50 MM, PARA AGUA FRIA PREDIAL</t>
  </si>
  <si>
    <t>LUVA DE REDUCAO, SOLDAVEL, PVC, 50 X 25 MM, PARA AGUA FRIA PREDIAL</t>
  </si>
  <si>
    <t>LUVA PARA ELETRODUTO, EM ACO GALVANIZADO ELETROLITICO, DIAMETRO DE 20 MM (3/4")</t>
  </si>
  <si>
    <t>LUVA SOLDAVEL COM ROSCA, PVC, 25 MM X 3/4", PARA AGUA FRIA PREDIAL</t>
  </si>
  <si>
    <t>PARAFUSO DE ACO ZINCADO COM ROSCA SOBERBA, CABECA CHATA E FENDA SIMPLES, DIAMETRO 4,8 MM, COMPRIMENTO 45 MM</t>
  </si>
  <si>
    <t>PASTA LUBRIFICANTE PARA TUBOS E CONEXOES COM JUNTA ELASTICA, EMBALAGEM DE *400* GR (USO EM PVC, ACO, POLIETILENO E OUTROS)</t>
  </si>
  <si>
    <t>PATCH CORD (CABO DE REDE), CATEGORIA 6 (CAT 6) UTP, 23 AWG, 4 PARES, EXTENSAO DE 2,50 M</t>
  </si>
  <si>
    <t>REATOR ELETRONICO BIVOLT PARA 1 LAMPADA FLUORESCENTE DE 36/40 W</t>
  </si>
  <si>
    <t>REATOR INTERNO/INTEGRADO PARA LAMPADA VAPOR METALICO 400 W, ALTO FATOR DE POTENCIA</t>
  </si>
  <si>
    <t>REATOR P/ 1 LAMPADA VAPOR DE MERCURIO 250W USO EXT</t>
  </si>
  <si>
    <t>REDUCAO EXCENTRICA PVC, SERIE R, DN 75 X 50 MM, PARA ESGOTO PREDIAL</t>
  </si>
  <si>
    <t>REFLETOR REDONDO EM ALUMINIO ANODIZADO PARA LAMPADA VAPOR DE MERCURIO/SODIO, CORPO EM ALUMINIO COM PINTURA EPOXI, PARA LAMPADA E-27 DE 300 W, COM SUPORTE REDONDO E ALCA REGULAVEL PARA FIXACAO.</t>
  </si>
  <si>
    <t>SIFAO EM METAL CROMADO PARA PIA OU LAVATORIO, 1 X 1.1/2 "</t>
  </si>
  <si>
    <t>SOLUCAO PREPARADORA / LIMPADORA PARA PVC, FRASCO COM 1000 CM3</t>
  </si>
  <si>
    <t>SOQUETE DE BAQUELITE BASE E27, PARA LAMPADAS</t>
  </si>
  <si>
    <t>SUPORTE DE FIXACAO PARA ESPELHO / PLACA 4" X 2", PARA 3 MODULOS, PARA INSTALACAO DE TOMADAS E INTERRUPTORES (SOMENTE SUPORTE)</t>
  </si>
  <si>
    <t>SUPORTE ISOLADOR REFORCADO DIAMETRO NOMINAL 5/16", COM ROSCA SOBERBA E BUCHA</t>
  </si>
  <si>
    <t>TE DE REDUCAO, PVC, SOLDAVEL, 90 GRAUS, 40 MM X 32 MM, PARA AGUA FRIA PREDIAL</t>
  </si>
  <si>
    <t>TE PVC, SOLDAVEL, COM BUCHA DE LATAO NA BOLSA CENTRAL, 90 GRAUS, 20 MM X 1/2", PARA AGUA FRIA PREDIAL</t>
  </si>
  <si>
    <t>TE SANITARIO, PVC, DN 100 X 100 MM, SERIE NORMAL, PARA ESGOTO PREDIAL</t>
  </si>
  <si>
    <t>TE SANITARIO, PVC, DN 50 X 50 MM, SERIE NORMAL, PARA ESGOTO PREDIAL</t>
  </si>
  <si>
    <t>TE SANITARIO, PVC, DN 75 X 75 MM, SERIE NORMAL PARA ESGOTO PREDIAL</t>
  </si>
  <si>
    <t>TE SOLDAVEL, PVC, 90 GRAUS, 20 MM, PARA AGUA FRIA PREDIAL (NBR 5648)</t>
  </si>
  <si>
    <t>TE SOLDAVEL, PVC, 90 GRAUS, 25 MM, PARA AGUA FRIA PREDIAL (NBR 5648)</t>
  </si>
  <si>
    <t>TE SOLDAVEL, PVC, 90 GRAUS, 32 MM, PARA AGUA FRIA PREDIAL (NBR 5648)</t>
  </si>
  <si>
    <t>TE SOLDAVEL, PVC, 90 GRAUS, 40 MM, PARA AGUA FRIA PREDIAL (NBR 5648)</t>
  </si>
  <si>
    <t>TE SOLDAVEL, PVC, 90 GRAUS, 60 MM, PARA AGUA FRIA PREDIAL (NBR 5648)</t>
  </si>
  <si>
    <t>TE SOLDAVEL, PVC, 90 GRAUS, 75 MM, PARA AGUA FRIA PREDIAL (NBR 5648)</t>
  </si>
  <si>
    <t>TE, PVC, SERIE R, 100 X 75 MM, PARA ESGOTO PREDIAL</t>
  </si>
  <si>
    <t>TERMINAL A COMPRESSAO EM COBRE ESTANHADO PARA CABO 10 MM2, 1 FURO E 1 COMPRESSAO, PARA PARAFUSO DE FIXACAO M6</t>
  </si>
  <si>
    <t>TERMINAL A COMPRESSAO EM COBRE ESTANHADO PARA CABO 16 MM2, 1 FURO E 1 COMPRESSAO, PARA PARAFUSO DE FIXACAO M6</t>
  </si>
  <si>
    <t>TERMINAL A COMPRESSAO EM COBRE ESTANHADO PARA CABO 2,5 MM2, 1 FURO E 1 COMPRESSAO, PARA PARAFUSO DE FIXACAO M5</t>
  </si>
  <si>
    <t>TERMINAL A COMPRESSAO EM COBRE ESTANHADO PARA CABO 25 MM2, 1 FURO E 1 COMPRESSAO, PARA PARAFUSO DE FIXACAO M8</t>
  </si>
  <si>
    <t>TERMINAL A COMPRESSAO EM COBRE ESTANHADO PARA CABO 4 MM2, 1 FURO E 1 COMPRESSAO, PARA PARAFUSO DE FIXACAO M5</t>
  </si>
  <si>
    <t>TERMINAL A COMPRESSAO EM COBRE ESTANHADO PARA CABO 6 MM2, 1 FURO E 1 COMPRESSAO, PARA PARAFUSO DE FIXACAO M6</t>
  </si>
  <si>
    <t>TERMINAL A COMPRESSAO EM COBRE ESTANHADO PARA CABO 95 MM2, 1 FURO E 1 COMPRESSAO, PARA PARAFUSO DE FIXACAO M12</t>
  </si>
  <si>
    <t>TERMINAL METALICO A PRESSAO PARA 1 CABO DE 25 MM2, COM 1 FURO DE FIXACAO</t>
  </si>
  <si>
    <t>TOMADA RJ11, 2 FIOS, CONJUNTO MONTADO PARA EMBUTIR 4" X 2" (PLACA + SUPORTE + MODULO)</t>
  </si>
  <si>
    <t>TOMADA RJ45, 8 FIOS, CAT 5E, CONJUNTO MONTADO PARA EMBUTIR 4" X 2" (PLACA + SUPORTE + MODULO)</t>
  </si>
  <si>
    <t>TOMADA 2P+T 10A, 250V  (APENAS MODULO)</t>
  </si>
  <si>
    <t>TOMADA 2P+T 10A, 250V, CONJUNTO MONTADO PARA EMBUTIR 4" X 2" (PLACA + SUPORTE + MODULO)</t>
  </si>
  <si>
    <t>TOMADA 2P+T 10A, 250V, CONJUNTO MONTADO PARA SOBREPOR 4" X 2" (CAIXA + MODULO)</t>
  </si>
  <si>
    <t>TOMADA 2P+T 20A, 250V  (APENAS MODULO)</t>
  </si>
  <si>
    <t>TUBO PVC  SERIE NORMAL, DN 100 MM, PARA ESGOTO  PREDIAL (NBR 5688)</t>
  </si>
  <si>
    <t>TUBO PVC  SERIE NORMAL, DN 40 MM, PARA ESGOTO  PREDIAL (NBR 5688)</t>
  </si>
  <si>
    <t>TUBO PVC SERIE NORMAL, DN 50 MM, PARA ESGOTO PREDIAL (NBR 5688)</t>
  </si>
  <si>
    <t>TUBO PVC SERIE NORMAL, DN 75 MM, PARA ESGOTO PREDIAL (NBR 5688)</t>
  </si>
  <si>
    <t>TUBO PVC, SERIE R, DN 100 MM, PARA ESGOTO OU AGUAS PLUVIAIS PREDIAL (NBR 5688)</t>
  </si>
  <si>
    <t>TUBO PVC, SOLDAVEL, DE 20 MM, AGUA FRIA (NBR-5648)</t>
  </si>
  <si>
    <t>TUBO PVC, SOLDAVEL, DE 25 MM, AGUA FRIA (NBR-5648)</t>
  </si>
  <si>
    <t>TUBO PVC, SOLDAVEL, DE 32 MM, AGUA FRIA (NBR-5648)</t>
  </si>
  <si>
    <t>TUBO PVC, SOLDAVEL, DE 40 MM, AGUA FRIA (NBR-5648)</t>
  </si>
  <si>
    <t>TUBO PVC, SOLDAVEL, DE 60 MM, AGUA FRIA (NBR-5648)</t>
  </si>
  <si>
    <t>TUBO PVC, SOLDAVEL, DE 85 MM, AGUA FRIA (NBR-5648)</t>
  </si>
  <si>
    <t/>
  </si>
  <si>
    <t>RECARGA DE EXTINTOR DE INCÊNDIO ÁGUA PRESSURIZADA 10 LITROS NBR 11715</t>
  </si>
  <si>
    <t xml:space="preserve">UN </t>
  </si>
  <si>
    <t>RECARGA DE EXTINTOR DE INCÊNDIO ÁGUA PRESSURIZADA 12 LITROS NBR 11715</t>
  </si>
  <si>
    <t>RECARGA DE EXTINTOR DE INCÊNDIO PÓ QUÍMICO SECO 4 Kg (BC) NBR 11716</t>
  </si>
  <si>
    <t>RECARGA DE EXTINTOR DE INCÊNDIO PÓ QUÍMICO SECO 6 Kg (BC) NBR 11716</t>
  </si>
  <si>
    <t>RECARGA DE EXTINTOR DE INCÊNDIO PÓ QUÍMICO SECO 8 Kg (BC) NBR 11716</t>
  </si>
  <si>
    <t>RECARGA DE EXTINTOR DE INCÊNDIO PÓ QUÍMICO SECO 10 Kg (BC) NBR 11716</t>
  </si>
  <si>
    <t>RECARGA DE EXTINTOR DE INCÊNDIO PÓ QUÍMICO SECO 12 Kg (BC) NBR 11716</t>
  </si>
  <si>
    <t>RECARGA DE EXTINTOR DE INCÊNDIO PÓ QUÍMICO SECO 4 Kg (ABC) NBR 11716</t>
  </si>
  <si>
    <t>RECARGA DE EXTINTOR DE INCÊNDIO PÓ QUÍMICO SECO 6 Kg (ABC) NBR 11716</t>
  </si>
  <si>
    <t>RECARGA DE EXTINTOR DE INCÊNDIO PÓ QUÍMICO SECO 8 Kg (ABC) NBR 11716</t>
  </si>
  <si>
    <t>RECARGA DE EXTINTOR DE INCÊNDIO PÓ QUÍMICO SECO 10 Kg (ABC) NBR 11716</t>
  </si>
  <si>
    <t>RECARGA DE EXTINTOR DE INCÊNDIO PÓ QUÍMICO SECO 12 Kg (ABC) NBR 11716</t>
  </si>
  <si>
    <t>RECARGA DE EXTINTOR DE INCÊNDIO DIÓXIDO DE CARBONO (CO2) 4 Kg NBR 11716</t>
  </si>
  <si>
    <t>RECARGA DE EXTINTOR DE INCÊNDIO DIÓXIDO DE CARBONO (CO2) 6 Kg NBR 11716</t>
  </si>
  <si>
    <t>GEX PORTO VELHO</t>
  </si>
  <si>
    <t>Rua Campos Sales, 3132 – Olaria – Porto Velho/RO</t>
  </si>
  <si>
    <t>29ª JUNTA DE RECURSOS</t>
  </si>
  <si>
    <t>Rua José de Alencar, 2094 – Centro – Porto Velho/RO</t>
  </si>
  <si>
    <t>ARQUIVO GERAL</t>
  </si>
  <si>
    <t>Av. Nações Unidas, 1445 – Roque – Porto Velho/RO</t>
  </si>
  <si>
    <t>APS PORTO VELHO</t>
  </si>
  <si>
    <t>Av. Gov. Jorge Teixeira, 3325 – Liberdade – Porto Velho/RO</t>
  </si>
  <si>
    <t>APS ARIQUEMES</t>
  </si>
  <si>
    <t>Av. Canaã, 2840 – Ariquemes/RO</t>
  </si>
  <si>
    <t>APS CACOAL</t>
  </si>
  <si>
    <t>Av. General Osório, 500 - Cacoal/RO</t>
  </si>
  <si>
    <t>APS COLORADO DO OESTE</t>
  </si>
  <si>
    <t>Rua Humaitá, 3839 – Colorado do Oeste/RO</t>
  </si>
  <si>
    <t>APS JI - PARANA</t>
  </si>
  <si>
    <t>Av. Pedro Teixeira, 1407 – B – Centro – Ji-Paraná/RO</t>
  </si>
  <si>
    <t>APS OURO PRETO DO OESTE</t>
  </si>
  <si>
    <t>Av. Duque de Caxias, 1378 – Ouro Preto/RO</t>
  </si>
  <si>
    <t>APS ROLIM DE MOURA</t>
  </si>
  <si>
    <t>Av. Guaporé, 4897 – Rolim de Moura/RO</t>
  </si>
  <si>
    <t>APS VILHENA</t>
  </si>
  <si>
    <t>Av. Rony C. Pereira, 3927 – Vilhena/RO</t>
  </si>
  <si>
    <t>APS GUAJARA MIRIM</t>
  </si>
  <si>
    <t>Av. Dr. Mendonça Lima, 1624 – Guajará-Mirim/RO</t>
  </si>
  <si>
    <t>APS JARU</t>
  </si>
  <si>
    <t>Av. Rio Branco, 1885, Bairro Setor 1 – Jaru/RO</t>
  </si>
  <si>
    <t>APS PIMENTA BUENO</t>
  </si>
  <si>
    <t>Av. Castelo Branco, 360, Pimenta Bueno/RO</t>
  </si>
  <si>
    <t>APS NOVA BRASILANDIA</t>
  </si>
  <si>
    <t>Av. Juscelino Kubitschek, 3674</t>
  </si>
  <si>
    <t>APS MACHADINHO DO OESTE</t>
  </si>
  <si>
    <t>Avenida Costa e Silva, n° 2350, Bairro Centro – Machadinho/RO</t>
  </si>
  <si>
    <t>APS ESPIGÃO DO OESTE</t>
  </si>
  <si>
    <t>Rua Acre, 2811 – Espigão do Oeste/RO</t>
  </si>
  <si>
    <t>APS PRESIDENTE MEDICE</t>
  </si>
  <si>
    <t>Av. Porto Velho, 1123 – Presidente Médici/RO</t>
  </si>
  <si>
    <t>APS ALTA FLORESTA DO OESTE</t>
  </si>
  <si>
    <t>Av. Brasil, 3374 – Alta Floresta do Oeste/RO</t>
  </si>
  <si>
    <t>APS BURITIS</t>
  </si>
  <si>
    <t>Rua Alto Alegre dos Parecis, s/n – Buritis/RO</t>
  </si>
  <si>
    <t>APS SÃO MIGUEL DO GUAPORÉ</t>
  </si>
  <si>
    <t>Av. 16 de junho c/ Av. Noroeste, s/n – São Miguel do Guaporé/RO</t>
  </si>
  <si>
    <t>APS NOVA MAMORÉ</t>
  </si>
  <si>
    <t>Rua Desidécio Lopes, s/n – Nova Mamoré/RO</t>
  </si>
  <si>
    <t>POLO PORTO VELHO</t>
  </si>
  <si>
    <t>PLANILHA DE CUSTO E FORMAÇÃO DE PREÇO
ESTADO DO TOCANTINS - GERÊNCIA EXECUTIVA DE PORTO VELHO/RO</t>
  </si>
  <si>
    <t>Porto Velho/RO</t>
  </si>
  <si>
    <t>Porto Velho</t>
  </si>
  <si>
    <t>MES DE COLETA: 09/2023</t>
  </si>
  <si>
    <t>Ji-Paraná</t>
  </si>
  <si>
    <t>Lei Complementar 878 de 17 de dezembro de 2021</t>
  </si>
  <si>
    <t>Lei Complementar 878 de 17 de dezembro de 2022</t>
  </si>
  <si>
    <t>Lei Complementar 878 de 17 de dezembro de 2023</t>
  </si>
  <si>
    <t>Lei Complementar 878 de 17 de dezembro de 2024</t>
  </si>
  <si>
    <t>Lei 1.307 de 22 de dezembro de 2017</t>
  </si>
  <si>
    <t>Lei Complementar 2.030 de 01 de dezembro de 2017</t>
  </si>
  <si>
    <t>lei 2.117 de 21 de dezembro de 2017</t>
  </si>
  <si>
    <t xml:space="preserve"> Lei 1.661 de 29 de dezembro de 2017</t>
  </si>
  <si>
    <t>Lei 901 de 29 de dezembro de 2014</t>
  </si>
  <si>
    <t>Lei 2.199 26 de setembro de 2017</t>
  </si>
  <si>
    <t>Lei 33 de 22 de dezembro de 2017</t>
  </si>
  <si>
    <t>Lei 2.910 de 2 de dezembro de 2015</t>
  </si>
  <si>
    <t>Lei Complementar 001 de 24 de dezembro 2003</t>
  </si>
  <si>
    <t>Lei 1.584 de 19 de dezembro de 2003</t>
  </si>
  <si>
    <t>Lei Complementar 11 de 18 de dezembro de 2017</t>
  </si>
  <si>
    <t>Lei 2.024 de 27 de novembro de 2017</t>
  </si>
  <si>
    <t>Lei 1.088 de 27 de novembro de 2003</t>
  </si>
  <si>
    <t>Lei 2.991 de 16 de dezembro de 2022</t>
  </si>
  <si>
    <t>Lei 2.095 de 09 de agosto de 2021</t>
  </si>
  <si>
    <t>Lei 1.038 de 07 de abril de 2011</t>
  </si>
  <si>
    <t>Lei Complementar 088/2003</t>
  </si>
  <si>
    <t>Lei Complementar 094 de 23 de dezembro de 2020</t>
  </si>
  <si>
    <t>POLO JI-PARANÁ</t>
  </si>
  <si>
    <t>Custos Fixos</t>
  </si>
  <si>
    <t>Kgv       (gasto com manutenção e operação deveículos)</t>
  </si>
  <si>
    <t>Manutenção/Operação de veículos e Gasto por Veículo</t>
  </si>
  <si>
    <t>Participação Mão de obra</t>
  </si>
  <si>
    <t>Materiais</t>
  </si>
  <si>
    <t>Mão de obra administrativa</t>
  </si>
  <si>
    <t>JI PARANÁ</t>
  </si>
  <si>
    <t>PORTO VELHO</t>
  </si>
  <si>
    <t>% Veículo no local</t>
  </si>
  <si>
    <t>Valor por Aps (parte fixa)</t>
  </si>
  <si>
    <t>Mês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</si>
  <si>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Planilha estimativa de custos de deslocamentos,  pernoites e sistemas</t>
    </r>
  </si>
  <si>
    <t>RESUMO DAS ESTIMATIVAS DE DESLOCAMENTOS, DIÁRIAS E SISTEMA</t>
  </si>
  <si>
    <t xml:space="preserve">SUGESTÃO DE ISS (PONDERADO)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</si>
</sst>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7" formatCode="[$R$-416]\ #,##0.00;[Red]\-[$R$-416]\ #,##0.00"/>
    <numFmt numFmtId="168" formatCode="[$R$-416]\ #,##0.00;[Red][$R$-416]\ #,##0.00"/>
    <numFmt numFmtId="169" formatCode="_-&quot;R$ &quot;* #,##0.0000_-;&quot;-R$ &quot;* #,##0.0000_-;_-&quot;R$ &quot;* \-??_-;_-@_-"/>
    <numFmt numFmtId="170" formatCode="_-&quot;R$&quot;* #,##0.00_-;&quot;-R$&quot;* #,##0.00_-;_-&quot;R$&quot;* \-??_-;_-@_-"/>
    <numFmt numFmtId="171" formatCode="&quot;R$&quot;#,##0.00;[Red]&quot;-R$&quot;#,##0.00"/>
    <numFmt numFmtId="172" formatCode="d/mmm"/>
    <numFmt numFmtId="173" formatCode="0.0000"/>
    <numFmt numFmtId="174" formatCode="0.00&quot; dia(s)&quot;"/>
    <numFmt numFmtId="177" formatCode="0&quot; km&quot;"/>
    <numFmt numFmtId="178" formatCode="0&quot; h&quot;"/>
    <numFmt numFmtId="179" formatCode="0&quot; diária(s)&quot;"/>
    <numFmt numFmtId="183" formatCode="0.0%"/>
    <numFmt numFmtId="190" formatCode="0.00&quot; h&quot;"/>
    <numFmt numFmtId="192" formatCode="&quot;R$&quot;\ #,##0.00"/>
    <numFmt numFmtId="193" formatCode="_-[$R$-416]\ * #,##0.00_-;\-[$R$-416]\ * #,##0.00_-;_-[$R$-416]\ * &quot;-&quot;??_-;_-@_-"/>
  </numFmts>
  <fonts count="47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7030A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A0A0A0"/>
      <name val="Arial"/>
      <family val="2"/>
      <charset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0"/>
      <name val="Arial"/>
      <family val="2"/>
      <charset val="1"/>
    </font>
    <font>
      <b/>
      <sz val="12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rgb="FFD0CECE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4" tint="0.79998168889431442"/>
        <bgColor rgb="FFDDEBF7"/>
      </patternFill>
    </fill>
    <fill>
      <patternFill patternType="solid">
        <fgColor rgb="FFB4B4B4"/>
        <bgColor indexed="64"/>
      </patternFill>
    </fill>
    <fill>
      <patternFill patternType="solid">
        <fgColor rgb="FFB4B4B4"/>
        <bgColor rgb="FFC0C0C0"/>
      </patternFill>
    </fill>
    <fill>
      <patternFill patternType="solid">
        <fgColor theme="8" tint="0.59999389629810485"/>
        <bgColor rgb="FFFFFFCC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165" fontId="23" fillId="0" borderId="0" applyBorder="0" applyProtection="0"/>
    <xf numFmtId="164" fontId="23" fillId="0" borderId="0" applyBorder="0" applyProtection="0"/>
    <xf numFmtId="9" fontId="23" fillId="0" borderId="0" applyBorder="0" applyProtection="0"/>
    <xf numFmtId="0" fontId="6" fillId="3" borderId="0" applyBorder="0" applyProtection="0"/>
    <xf numFmtId="0" fontId="2" fillId="0" borderId="0"/>
    <xf numFmtId="44" fontId="2" fillId="0" borderId="0" applyFont="0" applyFill="0" applyBorder="0" applyAlignment="0" applyProtection="0"/>
    <xf numFmtId="0" fontId="23" fillId="0" borderId="0"/>
    <xf numFmtId="9" fontId="23" fillId="0" borderId="0" applyBorder="0" applyProtection="0"/>
    <xf numFmtId="165" fontId="23" fillId="0" borderId="0" applyBorder="0" applyProtection="0"/>
    <xf numFmtId="0" fontId="6" fillId="3" borderId="0" applyBorder="0" applyProtection="0"/>
    <xf numFmtId="0" fontId="1" fillId="0" borderId="0"/>
  </cellStyleXfs>
  <cellXfs count="505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7" fontId="8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right"/>
    </xf>
    <xf numFmtId="165" fontId="8" fillId="0" borderId="3" xfId="0" applyNumberFormat="1" applyFont="1" applyBorder="1"/>
    <xf numFmtId="165" fontId="8" fillId="0" borderId="0" xfId="1" applyFont="1" applyBorder="1" applyAlignment="1" applyProtection="1">
      <alignment horizontal="center"/>
    </xf>
    <xf numFmtId="164" fontId="11" fillId="5" borderId="2" xfId="2" applyFont="1" applyFill="1" applyBorder="1" applyAlignment="1" applyProtection="1">
      <alignment horizontal="right"/>
    </xf>
    <xf numFmtId="169" fontId="11" fillId="5" borderId="3" xfId="0" applyNumberFormat="1" applyFont="1" applyFill="1" applyBorder="1"/>
    <xf numFmtId="164" fontId="8" fillId="0" borderId="0" xfId="0" applyNumberFormat="1" applyFont="1"/>
    <xf numFmtId="170" fontId="8" fillId="0" borderId="0" xfId="0" applyNumberFormat="1" applyFont="1"/>
    <xf numFmtId="170" fontId="8" fillId="0" borderId="4" xfId="0" applyNumberFormat="1" applyFont="1" applyBorder="1"/>
    <xf numFmtId="0" fontId="12" fillId="0" borderId="5" xfId="0" applyFont="1" applyBorder="1"/>
    <xf numFmtId="170" fontId="8" fillId="0" borderId="6" xfId="0" applyNumberFormat="1" applyFont="1" applyBorder="1"/>
    <xf numFmtId="0" fontId="8" fillId="0" borderId="7" xfId="0" applyFont="1" applyBorder="1"/>
    <xf numFmtId="171" fontId="8" fillId="0" borderId="6" xfId="2" applyNumberFormat="1" applyFont="1" applyBorder="1" applyAlignment="1" applyProtection="1">
      <alignment horizontal="right"/>
    </xf>
    <xf numFmtId="0" fontId="8" fillId="0" borderId="6" xfId="0" applyFont="1" applyBorder="1"/>
    <xf numFmtId="164" fontId="8" fillId="0" borderId="7" xfId="0" applyNumberFormat="1" applyFont="1" applyBorder="1"/>
    <xf numFmtId="0" fontId="8" fillId="0" borderId="8" xfId="0" applyFont="1" applyBorder="1"/>
    <xf numFmtId="10" fontId="8" fillId="0" borderId="9" xfId="3" applyNumberFormat="1" applyFont="1" applyBorder="1" applyProtection="1"/>
    <xf numFmtId="0" fontId="8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justify" vertical="center" wrapText="1"/>
    </xf>
    <xf numFmtId="0" fontId="13" fillId="7" borderId="1" xfId="0" applyFont="1" applyFill="1" applyBorder="1" applyAlignment="1">
      <alignment vertical="center"/>
    </xf>
    <xf numFmtId="167" fontId="13" fillId="7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justify" vertical="center" wrapText="1"/>
    </xf>
    <xf numFmtId="4" fontId="11" fillId="7" borderId="1" xfId="0" applyNumberFormat="1" applyFont="1" applyFill="1" applyBorder="1" applyAlignment="1" applyProtection="1">
      <alignment horizontal="center" vertical="center"/>
      <protection locked="0"/>
    </xf>
    <xf numFmtId="167" fontId="11" fillId="7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1" fillId="5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>
      <alignment horizontal="justify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7" fontId="12" fillId="5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167" fontId="13" fillId="11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1" fillId="12" borderId="1" xfId="0" applyFont="1" applyFill="1" applyBorder="1" applyAlignment="1">
      <alignment horizontal="center" vertical="center" wrapText="1"/>
    </xf>
    <xf numFmtId="10" fontId="11" fillId="12" borderId="1" xfId="0" applyNumberFormat="1" applyFont="1" applyFill="1" applyBorder="1" applyAlignment="1">
      <alignment horizontal="center" vertical="center" wrapText="1"/>
    </xf>
    <xf numFmtId="167" fontId="13" fillId="1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7" fontId="12" fillId="13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/>
    <xf numFmtId="10" fontId="16" fillId="0" borderId="1" xfId="0" applyNumberFormat="1" applyFont="1" applyBorder="1" applyAlignment="1" applyProtection="1">
      <alignment horizontal="center" vertical="center" wrapText="1"/>
      <protection locked="0"/>
    </xf>
    <xf numFmtId="10" fontId="17" fillId="0" borderId="1" xfId="0" applyNumberFormat="1" applyFont="1" applyBorder="1" applyAlignment="1" applyProtection="1">
      <alignment horizontal="center" vertical="center" wrapText="1"/>
      <protection locked="0"/>
    </xf>
    <xf numFmtId="10" fontId="11" fillId="11" borderId="1" xfId="0" applyNumberFormat="1" applyFont="1" applyFill="1" applyBorder="1" applyAlignment="1">
      <alignment horizontal="center" vertical="center" wrapText="1"/>
    </xf>
    <xf numFmtId="10" fontId="18" fillId="0" borderId="1" xfId="3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2" fontId="12" fillId="5" borderId="1" xfId="2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justify" vertical="center" wrapText="1"/>
    </xf>
    <xf numFmtId="10" fontId="8" fillId="11" borderId="1" xfId="0" applyNumberFormat="1" applyFont="1" applyFill="1" applyBorder="1" applyAlignment="1">
      <alignment horizontal="center" vertical="center" wrapText="1"/>
    </xf>
    <xf numFmtId="167" fontId="12" fillId="11" borderId="1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167" fontId="12" fillId="14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73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9" fillId="0" borderId="0" xfId="0" applyFont="1"/>
    <xf numFmtId="165" fontId="8" fillId="0" borderId="1" xfId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>
      <alignment horizontal="center" vertical="center" wrapText="1"/>
    </xf>
    <xf numFmtId="177" fontId="8" fillId="14" borderId="1" xfId="0" applyNumberFormat="1" applyFont="1" applyFill="1" applyBorder="1" applyAlignment="1">
      <alignment horizontal="center" vertical="center"/>
    </xf>
    <xf numFmtId="174" fontId="8" fillId="14" borderId="1" xfId="0" applyNumberFormat="1" applyFont="1" applyFill="1" applyBorder="1" applyAlignment="1">
      <alignment horizontal="center" vertical="center"/>
    </xf>
    <xf numFmtId="179" fontId="12" fillId="14" borderId="1" xfId="0" applyNumberFormat="1" applyFont="1" applyFill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>
      <alignment horizontal="justify" vertical="center" wrapText="1"/>
    </xf>
    <xf numFmtId="0" fontId="12" fillId="14" borderId="2" xfId="0" applyFont="1" applyFill="1" applyBorder="1" applyAlignment="1">
      <alignment horizontal="center" vertical="center" wrapText="1"/>
    </xf>
    <xf numFmtId="4" fontId="5" fillId="14" borderId="3" xfId="4" applyNumberFormat="1" applyFont="1" applyFill="1" applyBorder="1" applyAlignment="1">
      <alignment horizontal="center" vertical="center"/>
    </xf>
    <xf numFmtId="167" fontId="12" fillId="14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7" fontId="12" fillId="0" borderId="0" xfId="0" applyNumberFormat="1" applyFont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167" fontId="13" fillId="0" borderId="0" xfId="0" applyNumberFormat="1" applyFont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8" fillId="14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justify" vertical="center" wrapText="1"/>
    </xf>
    <xf numFmtId="10" fontId="11" fillId="17" borderId="1" xfId="0" applyNumberFormat="1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justify" vertical="center" wrapText="1"/>
    </xf>
    <xf numFmtId="10" fontId="8" fillId="10" borderId="1" xfId="0" applyNumberFormat="1" applyFont="1" applyFill="1" applyBorder="1" applyAlignment="1" applyProtection="1">
      <alignment horizontal="center" vertical="center"/>
      <protection locked="0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justify" vertical="center" wrapText="1"/>
    </xf>
    <xf numFmtId="10" fontId="11" fillId="10" borderId="1" xfId="0" applyNumberFormat="1" applyFont="1" applyFill="1" applyBorder="1" applyAlignment="1" applyProtection="1">
      <alignment horizontal="center" vertical="center"/>
      <protection locked="0"/>
    </xf>
    <xf numFmtId="0" fontId="11" fillId="19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justify" vertical="center" wrapText="1"/>
    </xf>
    <xf numFmtId="10" fontId="11" fillId="19" borderId="1" xfId="0" applyNumberFormat="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justify" vertical="center" wrapText="1"/>
    </xf>
    <xf numFmtId="10" fontId="8" fillId="10" borderId="1" xfId="0" applyNumberFormat="1" applyFont="1" applyFill="1" applyBorder="1" applyAlignment="1">
      <alignment horizontal="center" vertical="center"/>
    </xf>
    <xf numFmtId="10" fontId="8" fillId="1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83" fontId="8" fillId="0" borderId="0" xfId="0" applyNumberFormat="1" applyFont="1" applyAlignment="1">
      <alignment horizontal="center" vertical="center" wrapText="1"/>
    </xf>
    <xf numFmtId="183" fontId="11" fillId="15" borderId="1" xfId="0" applyNumberFormat="1" applyFont="1" applyFill="1" applyBorder="1" applyAlignment="1">
      <alignment horizontal="center" vertical="center" wrapText="1"/>
    </xf>
    <xf numFmtId="183" fontId="8" fillId="0" borderId="1" xfId="3" applyNumberFormat="1" applyFont="1" applyBorder="1" applyAlignment="1" applyProtection="1">
      <alignment horizontal="center" vertical="center" wrapText="1"/>
      <protection locked="0"/>
    </xf>
    <xf numFmtId="2" fontId="11" fillId="15" borderId="1" xfId="0" applyNumberFormat="1" applyFont="1" applyFill="1" applyBorder="1" applyAlignment="1">
      <alignment horizontal="center" vertical="center" wrapText="1"/>
    </xf>
    <xf numFmtId="183" fontId="11" fillId="15" borderId="12" xfId="0" applyNumberFormat="1" applyFont="1" applyFill="1" applyBorder="1" applyAlignment="1">
      <alignment horizontal="center" vertical="center" wrapText="1"/>
    </xf>
    <xf numFmtId="10" fontId="11" fillId="15" borderId="12" xfId="3" applyNumberFormat="1" applyFont="1" applyFill="1" applyBorder="1" applyAlignment="1" applyProtection="1">
      <alignment horizontal="center" vertical="center" wrapText="1"/>
    </xf>
    <xf numFmtId="183" fontId="8" fillId="0" borderId="1" xfId="0" applyNumberFormat="1" applyFont="1" applyBorder="1" applyAlignment="1">
      <alignment horizontal="center" vertical="center" wrapText="1"/>
    </xf>
    <xf numFmtId="183" fontId="11" fillId="20" borderId="1" xfId="0" applyNumberFormat="1" applyFont="1" applyFill="1" applyBorder="1" applyAlignment="1">
      <alignment horizontal="center" vertical="center" wrapText="1"/>
    </xf>
    <xf numFmtId="10" fontId="11" fillId="20" borderId="1" xfId="3" applyNumberFormat="1" applyFont="1" applyFill="1" applyBorder="1" applyAlignment="1" applyProtection="1">
      <alignment horizontal="center" vertical="center" wrapText="1"/>
    </xf>
    <xf numFmtId="165" fontId="8" fillId="0" borderId="2" xfId="1" applyFont="1" applyBorder="1" applyAlignment="1" applyProtection="1">
      <alignment horizontal="center" vertical="center" wrapText="1"/>
    </xf>
    <xf numFmtId="183" fontId="8" fillId="0" borderId="12" xfId="3" applyNumberFormat="1" applyFont="1" applyBorder="1" applyAlignment="1" applyProtection="1">
      <alignment horizontal="center" vertical="center" wrapText="1"/>
    </xf>
    <xf numFmtId="0" fontId="11" fillId="21" borderId="3" xfId="0" applyFont="1" applyFill="1" applyBorder="1" applyAlignment="1">
      <alignment horizontal="center" vertical="center" wrapText="1"/>
    </xf>
    <xf numFmtId="165" fontId="11" fillId="21" borderId="2" xfId="0" applyNumberFormat="1" applyFont="1" applyFill="1" applyBorder="1" applyAlignment="1">
      <alignment horizontal="center" vertical="center" wrapText="1"/>
    </xf>
    <xf numFmtId="10" fontId="11" fillId="21" borderId="1" xfId="3" applyNumberFormat="1" applyFont="1" applyFill="1" applyBorder="1" applyAlignment="1" applyProtection="1">
      <alignment horizontal="center" vertical="center" wrapText="1"/>
    </xf>
    <xf numFmtId="165" fontId="11" fillId="22" borderId="2" xfId="0" applyNumberFormat="1" applyFont="1" applyFill="1" applyBorder="1" applyAlignment="1">
      <alignment horizontal="center" vertical="center" wrapText="1"/>
    </xf>
    <xf numFmtId="183" fontId="11" fillId="22" borderId="1" xfId="3" applyNumberFormat="1" applyFont="1" applyFill="1" applyBorder="1" applyAlignment="1" applyProtection="1">
      <alignment horizontal="center" vertical="center" wrapText="1"/>
    </xf>
    <xf numFmtId="165" fontId="11" fillId="16" borderId="2" xfId="0" applyNumberFormat="1" applyFont="1" applyFill="1" applyBorder="1" applyAlignment="1">
      <alignment horizontal="center" vertical="center" wrapText="1"/>
    </xf>
    <xf numFmtId="9" fontId="11" fillId="16" borderId="1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wrapText="1"/>
    </xf>
    <xf numFmtId="10" fontId="8" fillId="14" borderId="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190" fontId="8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192" fontId="0" fillId="0" borderId="17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7" fillId="27" borderId="18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  <xf numFmtId="0" fontId="0" fillId="25" borderId="0" xfId="0" applyFill="1"/>
    <xf numFmtId="0" fontId="11" fillId="25" borderId="0" xfId="0" applyFont="1" applyFill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93" fontId="0" fillId="0" borderId="17" xfId="0" applyNumberFormat="1" applyBorder="1" applyAlignment="1">
      <alignment horizontal="right" vertical="center"/>
    </xf>
    <xf numFmtId="2" fontId="12" fillId="0" borderId="17" xfId="0" applyNumberFormat="1" applyFont="1" applyBorder="1" applyAlignment="1" applyProtection="1">
      <alignment horizontal="center" vertical="center" wrapText="1"/>
      <protection locked="0"/>
    </xf>
    <xf numFmtId="172" fontId="8" fillId="8" borderId="0" xfId="0" applyNumberFormat="1" applyFont="1" applyFill="1" applyAlignment="1">
      <alignment horizontal="center" vertical="center"/>
    </xf>
    <xf numFmtId="0" fontId="29" fillId="0" borderId="9" xfId="5" applyFont="1" applyBorder="1" applyAlignment="1">
      <alignment vertical="center"/>
    </xf>
    <xf numFmtId="0" fontId="30" fillId="30" borderId="1" xfId="5" applyFont="1" applyFill="1" applyBorder="1" applyAlignment="1">
      <alignment horizontal="center" vertical="center" wrapText="1"/>
    </xf>
    <xf numFmtId="0" fontId="30" fillId="30" borderId="1" xfId="5" applyFont="1" applyFill="1" applyBorder="1" applyAlignment="1">
      <alignment vertical="center" wrapText="1"/>
    </xf>
    <xf numFmtId="0" fontId="30" fillId="30" borderId="1" xfId="0" applyFont="1" applyFill="1" applyBorder="1" applyAlignment="1">
      <alignment horizontal="center" vertical="center" wrapText="1"/>
    </xf>
    <xf numFmtId="0" fontId="30" fillId="32" borderId="1" xfId="0" applyFont="1" applyFill="1" applyBorder="1" applyAlignment="1">
      <alignment vertical="center"/>
    </xf>
    <xf numFmtId="192" fontId="32" fillId="32" borderId="1" xfId="5" applyNumberFormat="1" applyFont="1" applyFill="1" applyBorder="1" applyAlignment="1">
      <alignment horizontal="center" vertical="center" wrapText="1"/>
    </xf>
    <xf numFmtId="0" fontId="32" fillId="32" borderId="1" xfId="5" applyFont="1" applyFill="1" applyBorder="1" applyAlignment="1">
      <alignment horizontal="center" vertical="center" wrapText="1"/>
    </xf>
    <xf numFmtId="192" fontId="32" fillId="32" borderId="1" xfId="5" applyNumberFormat="1" applyFont="1" applyFill="1" applyBorder="1" applyAlignment="1">
      <alignment horizontal="right" vertical="center" wrapText="1"/>
    </xf>
    <xf numFmtId="192" fontId="30" fillId="32" borderId="1" xfId="5" applyNumberFormat="1" applyFont="1" applyFill="1" applyBorder="1" applyAlignment="1">
      <alignment horizontal="right" vertical="center" wrapText="1"/>
    </xf>
    <xf numFmtId="0" fontId="32" fillId="32" borderId="1" xfId="0" applyFont="1" applyFill="1" applyBorder="1" applyAlignment="1">
      <alignment horizontal="right" vertical="center"/>
    </xf>
    <xf numFmtId="0" fontId="32" fillId="32" borderId="1" xfId="0" applyFont="1" applyFill="1" applyBorder="1" applyAlignment="1">
      <alignment vertical="center" wrapText="1"/>
    </xf>
    <xf numFmtId="4" fontId="33" fillId="32" borderId="17" xfId="0" applyNumberFormat="1" applyFont="1" applyFill="1" applyBorder="1" applyAlignment="1" applyProtection="1">
      <alignment horizontal="center" vertical="center"/>
      <protection locked="0"/>
    </xf>
    <xf numFmtId="192" fontId="32" fillId="33" borderId="1" xfId="5" applyNumberFormat="1" applyFont="1" applyFill="1" applyBorder="1" applyAlignment="1">
      <alignment vertical="center" wrapText="1"/>
    </xf>
    <xf numFmtId="0" fontId="30" fillId="32" borderId="1" xfId="5" applyFont="1" applyFill="1" applyBorder="1" applyAlignment="1">
      <alignment vertical="center"/>
    </xf>
    <xf numFmtId="0" fontId="30" fillId="32" borderId="1" xfId="5" applyFont="1" applyFill="1" applyBorder="1" applyAlignment="1">
      <alignment horizontal="center" vertical="center"/>
    </xf>
    <xf numFmtId="165" fontId="30" fillId="32" borderId="1" xfId="1" applyFont="1" applyFill="1" applyBorder="1" applyAlignment="1">
      <alignment vertical="center"/>
    </xf>
    <xf numFmtId="192" fontId="30" fillId="32" borderId="1" xfId="1" applyNumberFormat="1" applyFont="1" applyFill="1" applyBorder="1" applyAlignment="1">
      <alignment vertical="center"/>
    </xf>
    <xf numFmtId="0" fontId="30" fillId="33" borderId="1" xfId="5" applyFont="1" applyFill="1" applyBorder="1" applyAlignment="1">
      <alignment vertical="center"/>
    </xf>
    <xf numFmtId="0" fontId="34" fillId="32" borderId="1" xfId="5" applyFont="1" applyFill="1" applyBorder="1" applyAlignment="1">
      <alignment horizontal="center" vertical="center" wrapText="1"/>
    </xf>
    <xf numFmtId="192" fontId="34" fillId="32" borderId="1" xfId="1" applyNumberFormat="1" applyFont="1" applyFill="1" applyBorder="1" applyAlignment="1">
      <alignment vertical="center" wrapText="1"/>
    </xf>
    <xf numFmtId="0" fontId="34" fillId="33" borderId="1" xfId="5" applyFont="1" applyFill="1" applyBorder="1" applyAlignment="1">
      <alignment vertical="center" wrapText="1"/>
    </xf>
    <xf numFmtId="0" fontId="34" fillId="30" borderId="2" xfId="5" applyFont="1" applyFill="1" applyBorder="1" applyAlignment="1">
      <alignment horizontal="center" vertical="center" wrapText="1"/>
    </xf>
    <xf numFmtId="192" fontId="34" fillId="30" borderId="1" xfId="5" applyNumberFormat="1" applyFont="1" applyFill="1" applyBorder="1" applyAlignment="1">
      <alignment horizontal="center" vertical="center" wrapText="1"/>
    </xf>
    <xf numFmtId="0" fontId="32" fillId="32" borderId="0" xfId="5" applyFont="1" applyFill="1" applyAlignment="1">
      <alignment horizontal="center" vertical="center" wrapText="1"/>
    </xf>
    <xf numFmtId="0" fontId="30" fillId="32" borderId="12" xfId="0" applyFont="1" applyFill="1" applyBorder="1" applyAlignment="1">
      <alignment vertical="center"/>
    </xf>
    <xf numFmtId="192" fontId="32" fillId="32" borderId="12" xfId="5" applyNumberFormat="1" applyFont="1" applyFill="1" applyBorder="1" applyAlignment="1">
      <alignment horizontal="center" vertical="center" wrapText="1"/>
    </xf>
    <xf numFmtId="192" fontId="32" fillId="32" borderId="12" xfId="5" applyNumberFormat="1" applyFont="1" applyFill="1" applyBorder="1" applyAlignment="1">
      <alignment horizontal="right" vertical="center" wrapText="1"/>
    </xf>
    <xf numFmtId="192" fontId="30" fillId="32" borderId="12" xfId="5" applyNumberFormat="1" applyFont="1" applyFill="1" applyBorder="1" applyAlignment="1">
      <alignment horizontal="right" vertical="center" wrapText="1"/>
    </xf>
    <xf numFmtId="0" fontId="32" fillId="32" borderId="11" xfId="0" applyFont="1" applyFill="1" applyBorder="1" applyAlignment="1">
      <alignment horizontal="right" vertical="center"/>
    </xf>
    <xf numFmtId="0" fontId="32" fillId="32" borderId="11" xfId="0" applyFont="1" applyFill="1" applyBorder="1" applyAlignment="1">
      <alignment vertical="center" wrapText="1"/>
    </xf>
    <xf numFmtId="192" fontId="32" fillId="32" borderId="11" xfId="5" applyNumberFormat="1" applyFont="1" applyFill="1" applyBorder="1" applyAlignment="1">
      <alignment horizontal="center" vertical="center" wrapText="1"/>
    </xf>
    <xf numFmtId="4" fontId="33" fillId="32" borderId="19" xfId="0" applyNumberFormat="1" applyFont="1" applyFill="1" applyBorder="1" applyAlignment="1" applyProtection="1">
      <alignment horizontal="center" vertical="center"/>
      <protection locked="0"/>
    </xf>
    <xf numFmtId="192" fontId="32" fillId="32" borderId="11" xfId="5" applyNumberFormat="1" applyFont="1" applyFill="1" applyBorder="1" applyAlignment="1">
      <alignment horizontal="right" vertical="center" wrapText="1"/>
    </xf>
    <xf numFmtId="192" fontId="32" fillId="33" borderId="11" xfId="5" applyNumberFormat="1" applyFont="1" applyFill="1" applyBorder="1" applyAlignment="1">
      <alignment vertical="center" wrapText="1"/>
    </xf>
    <xf numFmtId="0" fontId="30" fillId="32" borderId="1" xfId="0" applyFont="1" applyFill="1" applyBorder="1" applyAlignment="1">
      <alignment horizontal="right" vertical="center"/>
    </xf>
    <xf numFmtId="0" fontId="30" fillId="32" borderId="1" xfId="0" applyFont="1" applyFill="1" applyBorder="1" applyAlignment="1">
      <alignment vertical="center" wrapText="1"/>
    </xf>
    <xf numFmtId="0" fontId="29" fillId="0" borderId="0" xfId="5" applyFont="1" applyAlignment="1">
      <alignment vertical="center"/>
    </xf>
    <xf numFmtId="0" fontId="34" fillId="30" borderId="1" xfId="5" applyFont="1" applyFill="1" applyBorder="1" applyAlignment="1">
      <alignment horizontal="center" vertical="center" wrapText="1"/>
    </xf>
    <xf numFmtId="0" fontId="34" fillId="30" borderId="2" xfId="5" applyFont="1" applyFill="1" applyBorder="1" applyAlignment="1">
      <alignment vertical="center" wrapText="1"/>
    </xf>
    <xf numFmtId="0" fontId="34" fillId="30" borderId="10" xfId="5" applyFont="1" applyFill="1" applyBorder="1" applyAlignment="1">
      <alignment vertical="center" wrapText="1"/>
    </xf>
    <xf numFmtId="0" fontId="34" fillId="30" borderId="3" xfId="5" applyFont="1" applyFill="1" applyBorder="1" applyAlignment="1">
      <alignment vertical="center" wrapText="1"/>
    </xf>
    <xf numFmtId="0" fontId="35" fillId="34" borderId="1" xfId="5" applyFont="1" applyFill="1" applyBorder="1" applyAlignment="1">
      <alignment horizontal="center" vertical="center" wrapText="1"/>
    </xf>
    <xf numFmtId="0" fontId="35" fillId="32" borderId="1" xfId="5" applyFont="1" applyFill="1" applyBorder="1" applyAlignment="1">
      <alignment horizontal="center" vertical="center" wrapText="1"/>
    </xf>
    <xf numFmtId="192" fontId="29" fillId="32" borderId="1" xfId="6" applyNumberFormat="1" applyFont="1" applyFill="1" applyBorder="1" applyAlignment="1">
      <alignment horizontal="center" vertical="center" wrapText="1"/>
    </xf>
    <xf numFmtId="0" fontId="34" fillId="34" borderId="1" xfId="5" applyFont="1" applyFill="1" applyBorder="1" applyAlignment="1">
      <alignment horizontal="center" vertical="center" wrapText="1"/>
    </xf>
    <xf numFmtId="10" fontId="32" fillId="23" borderId="1" xfId="5" applyNumberFormat="1" applyFont="1" applyFill="1" applyBorder="1" applyAlignment="1">
      <alignment horizontal="center" vertical="center" wrapText="1"/>
    </xf>
    <xf numFmtId="192" fontId="35" fillId="32" borderId="1" xfId="5" applyNumberFormat="1" applyFont="1" applyFill="1" applyBorder="1" applyAlignment="1">
      <alignment horizontal="center" vertical="center" wrapText="1"/>
    </xf>
    <xf numFmtId="10" fontId="32" fillId="32" borderId="1" xfId="5" applyNumberFormat="1" applyFont="1" applyFill="1" applyBorder="1" applyAlignment="1">
      <alignment horizontal="center" vertical="center" wrapText="1"/>
    </xf>
    <xf numFmtId="0" fontId="35" fillId="32" borderId="1" xfId="5" applyFont="1" applyFill="1" applyBorder="1" applyAlignment="1">
      <alignment horizontal="right" vertical="center" wrapText="1"/>
    </xf>
    <xf numFmtId="10" fontId="32" fillId="32" borderId="3" xfId="5" applyNumberFormat="1" applyFont="1" applyFill="1" applyBorder="1" applyAlignment="1">
      <alignment horizontal="center" vertical="center" wrapText="1"/>
    </xf>
    <xf numFmtId="192" fontId="34" fillId="31" borderId="1" xfId="5" applyNumberFormat="1" applyFont="1" applyFill="1" applyBorder="1" applyAlignment="1">
      <alignment horizontal="center" vertical="center" wrapText="1"/>
    </xf>
    <xf numFmtId="0" fontId="30" fillId="30" borderId="4" xfId="0" applyFont="1" applyFill="1" applyBorder="1" applyAlignment="1">
      <alignment horizontal="center" vertical="center"/>
    </xf>
    <xf numFmtId="0" fontId="32" fillId="30" borderId="14" xfId="0" applyFont="1" applyFill="1" applyBorder="1" applyAlignment="1">
      <alignment vertical="center"/>
    </xf>
    <xf numFmtId="0" fontId="32" fillId="30" borderId="5" xfId="0" applyFont="1" applyFill="1" applyBorder="1" applyAlignment="1">
      <alignment vertical="center"/>
    </xf>
    <xf numFmtId="0" fontId="30" fillId="30" borderId="2" xfId="0" applyFont="1" applyFill="1" applyBorder="1" applyAlignment="1">
      <alignment horizontal="center" vertical="center"/>
    </xf>
    <xf numFmtId="0" fontId="32" fillId="30" borderId="10" xfId="0" applyFont="1" applyFill="1" applyBorder="1" applyAlignment="1">
      <alignment vertical="center"/>
    </xf>
    <xf numFmtId="0" fontId="32" fillId="30" borderId="3" xfId="0" applyFont="1" applyFill="1" applyBorder="1" applyAlignment="1">
      <alignment vertical="center"/>
    </xf>
    <xf numFmtId="0" fontId="30" fillId="30" borderId="8" xfId="0" applyFont="1" applyFill="1" applyBorder="1" applyAlignment="1">
      <alignment horizontal="center" vertical="center"/>
    </xf>
    <xf numFmtId="0" fontId="32" fillId="30" borderId="13" xfId="0" applyFont="1" applyFill="1" applyBorder="1" applyAlignment="1">
      <alignment vertical="center"/>
    </xf>
    <xf numFmtId="0" fontId="32" fillId="30" borderId="9" xfId="0" applyFont="1" applyFill="1" applyBorder="1" applyAlignment="1">
      <alignment vertical="center"/>
    </xf>
    <xf numFmtId="0" fontId="19" fillId="23" borderId="0" xfId="0" applyFont="1" applyFill="1"/>
    <xf numFmtId="0" fontId="12" fillId="2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7" fontId="0" fillId="0" borderId="0" xfId="0" applyNumberFormat="1"/>
    <xf numFmtId="192" fontId="0" fillId="0" borderId="0" xfId="0" applyNumberFormat="1"/>
    <xf numFmtId="193" fontId="9" fillId="0" borderId="1" xfId="0" applyNumberFormat="1" applyFont="1" applyBorder="1" applyAlignment="1">
      <alignment horizontal="center" vertical="center" wrapText="1"/>
    </xf>
    <xf numFmtId="0" fontId="38" fillId="40" borderId="1" xfId="0" applyFont="1" applyFill="1" applyBorder="1" applyAlignment="1">
      <alignment horizontal="left" wrapText="1"/>
    </xf>
    <xf numFmtId="0" fontId="3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wrapText="1"/>
    </xf>
    <xf numFmtId="0" fontId="41" fillId="24" borderId="0" xfId="0" applyFont="1" applyFill="1" applyAlignment="1">
      <alignment horizontal="center" vertical="center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37" fillId="15" borderId="17" xfId="0" applyFont="1" applyFill="1" applyBorder="1" applyAlignment="1">
      <alignment horizontal="center" vertical="center" wrapText="1"/>
    </xf>
    <xf numFmtId="0" fontId="11" fillId="15" borderId="17" xfId="0" applyFont="1" applyFill="1" applyBorder="1" applyAlignment="1">
      <alignment horizontal="center" vertical="center" wrapText="1"/>
    </xf>
    <xf numFmtId="0" fontId="27" fillId="15" borderId="17" xfId="0" applyFont="1" applyFill="1" applyBorder="1" applyAlignment="1">
      <alignment horizontal="center" vertical="center" wrapText="1"/>
    </xf>
    <xf numFmtId="44" fontId="8" fillId="0" borderId="17" xfId="0" applyNumberFormat="1" applyFont="1" applyBorder="1" applyAlignment="1">
      <alignment vertical="center"/>
    </xf>
    <xf numFmtId="10" fontId="8" fillId="0" borderId="17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right" vertical="center"/>
    </xf>
    <xf numFmtId="177" fontId="37" fillId="14" borderId="1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190" fontId="37" fillId="0" borderId="1" xfId="0" applyNumberFormat="1" applyFont="1" applyBorder="1" applyAlignment="1">
      <alignment horizontal="center" vertical="center"/>
    </xf>
    <xf numFmtId="179" fontId="27" fillId="14" borderId="1" xfId="0" applyNumberFormat="1" applyFont="1" applyFill="1" applyBorder="1" applyAlignment="1">
      <alignment horizontal="center" vertical="center"/>
    </xf>
    <xf numFmtId="0" fontId="37" fillId="0" borderId="42" xfId="0" applyFont="1" applyBorder="1"/>
    <xf numFmtId="0" fontId="37" fillId="0" borderId="45" xfId="0" applyFont="1" applyBorder="1"/>
    <xf numFmtId="0" fontId="8" fillId="0" borderId="45" xfId="0" applyFont="1" applyBorder="1" applyAlignment="1">
      <alignment wrapText="1"/>
    </xf>
    <xf numFmtId="0" fontId="8" fillId="0" borderId="45" xfId="0" applyFont="1" applyBorder="1"/>
    <xf numFmtId="0" fontId="8" fillId="0" borderId="46" xfId="0" applyFont="1" applyBorder="1"/>
    <xf numFmtId="0" fontId="37" fillId="0" borderId="47" xfId="0" applyFont="1" applyBorder="1"/>
    <xf numFmtId="0" fontId="37" fillId="0" borderId="0" xfId="0" applyFont="1"/>
    <xf numFmtId="0" fontId="8" fillId="0" borderId="48" xfId="0" applyFont="1" applyBorder="1"/>
    <xf numFmtId="0" fontId="8" fillId="0" borderId="47" xfId="0" applyFont="1" applyBorder="1"/>
    <xf numFmtId="0" fontId="8" fillId="0" borderId="32" xfId="0" applyFont="1" applyBorder="1"/>
    <xf numFmtId="0" fontId="8" fillId="0" borderId="28" xfId="0" applyFont="1" applyBorder="1"/>
    <xf numFmtId="0" fontId="8" fillId="0" borderId="41" xfId="0" applyFont="1" applyBorder="1"/>
    <xf numFmtId="192" fontId="11" fillId="0" borderId="41" xfId="0" applyNumberFormat="1" applyFont="1" applyBorder="1" applyAlignment="1">
      <alignment vertical="center"/>
    </xf>
    <xf numFmtId="192" fontId="8" fillId="0" borderId="1" xfId="0" applyNumberFormat="1" applyFont="1" applyBorder="1" applyAlignment="1">
      <alignment vertical="center"/>
    </xf>
    <xf numFmtId="192" fontId="0" fillId="0" borderId="17" xfId="0" applyNumberFormat="1" applyBorder="1" applyAlignment="1">
      <alignment horizontal="righ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8" fontId="8" fillId="0" borderId="0" xfId="0" applyNumberFormat="1" applyFont="1"/>
    <xf numFmtId="192" fontId="8" fillId="0" borderId="0" xfId="0" applyNumberFormat="1" applyFont="1"/>
    <xf numFmtId="167" fontId="8" fillId="0" borderId="0" xfId="0" applyNumberFormat="1" applyFont="1" applyAlignment="1">
      <alignment vertical="center"/>
    </xf>
    <xf numFmtId="167" fontId="27" fillId="0" borderId="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7" fillId="27" borderId="4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92" fontId="45" fillId="0" borderId="0" xfId="0" applyNumberFormat="1" applyFont="1"/>
    <xf numFmtId="8" fontId="46" fillId="0" borderId="0" xfId="0" applyNumberFormat="1" applyFont="1"/>
    <xf numFmtId="0" fontId="25" fillId="39" borderId="55" xfId="0" applyFont="1" applyFill="1" applyBorder="1" applyAlignment="1">
      <alignment horizontal="center" vertical="center" wrapText="1"/>
    </xf>
    <xf numFmtId="164" fontId="8" fillId="0" borderId="17" xfId="2" applyFont="1" applyBorder="1" applyAlignment="1">
      <alignment horizontal="center" vertical="center"/>
    </xf>
    <xf numFmtId="164" fontId="37" fillId="0" borderId="0" xfId="2" applyFont="1"/>
    <xf numFmtId="174" fontId="11" fillId="0" borderId="42" xfId="0" applyNumberFormat="1" applyFont="1" applyBorder="1" applyAlignment="1">
      <alignment vertical="center"/>
    </xf>
    <xf numFmtId="0" fontId="27" fillId="43" borderId="19" xfId="0" applyFont="1" applyFill="1" applyBorder="1" applyAlignment="1">
      <alignment horizontal="center" vertical="center" wrapText="1"/>
    </xf>
    <xf numFmtId="0" fontId="37" fillId="43" borderId="19" xfId="0" applyFont="1" applyFill="1" applyBorder="1" applyAlignment="1">
      <alignment horizontal="center" vertical="center" wrapText="1"/>
    </xf>
    <xf numFmtId="0" fontId="37" fillId="42" borderId="19" xfId="0" applyFont="1" applyFill="1" applyBorder="1" applyAlignment="1">
      <alignment horizontal="center" vertical="center" wrapText="1"/>
    </xf>
    <xf numFmtId="0" fontId="8" fillId="44" borderId="1" xfId="0" applyFont="1" applyFill="1" applyBorder="1" applyAlignment="1">
      <alignment horizontal="center" vertical="center" wrapText="1"/>
    </xf>
    <xf numFmtId="174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vertical="center"/>
    </xf>
    <xf numFmtId="10" fontId="8" fillId="0" borderId="17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11" fillId="0" borderId="42" xfId="0" applyFont="1" applyBorder="1" applyAlignment="1">
      <alignment vertical="center" wrapText="1"/>
    </xf>
    <xf numFmtId="0" fontId="8" fillId="39" borderId="1" xfId="0" applyFont="1" applyFill="1" applyBorder="1" applyAlignment="1">
      <alignment horizontal="right" vertical="center"/>
    </xf>
    <xf numFmtId="0" fontId="8" fillId="39" borderId="1" xfId="0" applyFont="1" applyFill="1" applyBorder="1" applyAlignment="1">
      <alignment horizontal="justify" vertical="center" wrapText="1"/>
    </xf>
    <xf numFmtId="0" fontId="8" fillId="39" borderId="1" xfId="0" applyFont="1" applyFill="1" applyBorder="1" applyAlignment="1">
      <alignment horizontal="center" vertical="center"/>
    </xf>
    <xf numFmtId="4" fontId="8" fillId="39" borderId="1" xfId="0" applyNumberFormat="1" applyFont="1" applyFill="1" applyBorder="1" applyAlignment="1" applyProtection="1">
      <alignment horizontal="center" vertical="center"/>
      <protection locked="0"/>
    </xf>
    <xf numFmtId="0" fontId="8" fillId="39" borderId="17" xfId="0" applyFont="1" applyFill="1" applyBorder="1" applyAlignment="1">
      <alignment horizontal="center" vertical="center"/>
    </xf>
    <xf numFmtId="167" fontId="12" fillId="39" borderId="17" xfId="0" applyNumberFormat="1" applyFont="1" applyFill="1" applyBorder="1" applyAlignment="1" applyProtection="1">
      <alignment horizontal="center" vertical="center" wrapText="1"/>
      <protection locked="0"/>
    </xf>
    <xf numFmtId="167" fontId="12" fillId="39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39" borderId="17" xfId="0" applyFont="1" applyFill="1" applyBorder="1" applyAlignment="1" applyProtection="1">
      <alignment horizontal="center" vertical="center" wrapText="1"/>
      <protection locked="0"/>
    </xf>
    <xf numFmtId="0" fontId="12" fillId="39" borderId="16" xfId="0" applyFont="1" applyFill="1" applyBorder="1" applyAlignment="1" applyProtection="1">
      <alignment horizontal="center" vertical="center" wrapText="1"/>
      <protection locked="0"/>
    </xf>
    <xf numFmtId="168" fontId="12" fillId="39" borderId="17" xfId="0" applyNumberFormat="1" applyFont="1" applyFill="1" applyBorder="1" applyAlignment="1" applyProtection="1">
      <alignment horizontal="center" vertical="center" wrapText="1"/>
      <protection locked="0"/>
    </xf>
    <xf numFmtId="168" fontId="12" fillId="39" borderId="16" xfId="0" applyNumberFormat="1" applyFont="1" applyFill="1" applyBorder="1" applyAlignment="1" applyProtection="1">
      <alignment horizontal="center" vertical="center" wrapText="1"/>
      <protection locked="0"/>
    </xf>
    <xf numFmtId="167" fontId="12" fillId="39" borderId="1" xfId="0" applyNumberFormat="1" applyFont="1" applyFill="1" applyBorder="1" applyAlignment="1">
      <alignment horizontal="center" vertical="center" wrapText="1"/>
    </xf>
    <xf numFmtId="0" fontId="9" fillId="39" borderId="1" xfId="0" applyFont="1" applyFill="1" applyBorder="1" applyAlignment="1">
      <alignment vertical="center" wrapText="1"/>
    </xf>
    <xf numFmtId="0" fontId="9" fillId="39" borderId="1" xfId="0" applyFont="1" applyFill="1" applyBorder="1" applyAlignment="1">
      <alignment horizontal="justify" vertical="center" wrapText="1"/>
    </xf>
    <xf numFmtId="0" fontId="9" fillId="39" borderId="1" xfId="0" applyFont="1" applyFill="1" applyBorder="1" applyAlignment="1">
      <alignment horizontal="center" vertical="center" wrapText="1"/>
    </xf>
    <xf numFmtId="0" fontId="35" fillId="32" borderId="1" xfId="5" applyFont="1" applyFill="1" applyBorder="1" applyAlignment="1">
      <alignment horizontal="center" vertical="center" wrapText="1"/>
    </xf>
    <xf numFmtId="0" fontId="35" fillId="32" borderId="2" xfId="5" applyFont="1" applyFill="1" applyBorder="1" applyAlignment="1">
      <alignment horizontal="center" vertical="center" wrapText="1"/>
    </xf>
    <xf numFmtId="0" fontId="35" fillId="32" borderId="10" xfId="5" applyFont="1" applyFill="1" applyBorder="1" applyAlignment="1">
      <alignment horizontal="center" vertical="center" wrapText="1"/>
    </xf>
    <xf numFmtId="0" fontId="35" fillId="32" borderId="3" xfId="5" applyFont="1" applyFill="1" applyBorder="1" applyAlignment="1">
      <alignment horizontal="center" vertical="center" wrapText="1"/>
    </xf>
    <xf numFmtId="0" fontId="34" fillId="30" borderId="1" xfId="5" applyFont="1" applyFill="1" applyBorder="1" applyAlignment="1">
      <alignment horizontal="center" vertical="center" wrapText="1"/>
    </xf>
    <xf numFmtId="0" fontId="30" fillId="34" borderId="1" xfId="0" applyFont="1" applyFill="1" applyBorder="1" applyAlignment="1">
      <alignment horizontal="center" vertical="center" textRotation="90"/>
    </xf>
    <xf numFmtId="0" fontId="31" fillId="30" borderId="1" xfId="5" applyFont="1" applyFill="1" applyBorder="1" applyAlignment="1">
      <alignment horizontal="center" vertical="center" textRotation="90"/>
    </xf>
    <xf numFmtId="0" fontId="34" fillId="31" borderId="2" xfId="5" applyFont="1" applyFill="1" applyBorder="1" applyAlignment="1">
      <alignment horizontal="center" vertical="center" wrapText="1"/>
    </xf>
    <xf numFmtId="0" fontId="34" fillId="31" borderId="10" xfId="5" applyFont="1" applyFill="1" applyBorder="1" applyAlignment="1">
      <alignment horizontal="center" vertical="center" wrapText="1"/>
    </xf>
    <xf numFmtId="0" fontId="34" fillId="31" borderId="3" xfId="5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8" fillId="30" borderId="2" xfId="0" applyFont="1" applyFill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/>
    </xf>
    <xf numFmtId="0" fontId="28" fillId="30" borderId="3" xfId="0" applyFont="1" applyFill="1" applyBorder="1" applyAlignment="1">
      <alignment horizontal="center" vertical="center"/>
    </xf>
    <xf numFmtId="0" fontId="28" fillId="31" borderId="1" xfId="5" applyFont="1" applyFill="1" applyBorder="1" applyAlignment="1">
      <alignment horizontal="center" vertical="center"/>
    </xf>
    <xf numFmtId="0" fontId="30" fillId="30" borderId="1" xfId="5" applyFont="1" applyFill="1" applyBorder="1" applyAlignment="1">
      <alignment horizontal="center" vertical="center"/>
    </xf>
    <xf numFmtId="0" fontId="34" fillId="30" borderId="2" xfId="5" applyFont="1" applyFill="1" applyBorder="1" applyAlignment="1">
      <alignment horizontal="center" vertical="center" wrapText="1"/>
    </xf>
    <xf numFmtId="0" fontId="34" fillId="30" borderId="10" xfId="5" applyFont="1" applyFill="1" applyBorder="1" applyAlignment="1">
      <alignment horizontal="center" vertical="center" wrapText="1"/>
    </xf>
    <xf numFmtId="0" fontId="34" fillId="30" borderId="3" xfId="5" applyFont="1" applyFill="1" applyBorder="1" applyAlignment="1">
      <alignment horizontal="center" vertical="center" wrapText="1"/>
    </xf>
    <xf numFmtId="0" fontId="28" fillId="23" borderId="2" xfId="5" applyFont="1" applyFill="1" applyBorder="1" applyAlignment="1">
      <alignment horizontal="center" vertical="center"/>
    </xf>
    <xf numFmtId="0" fontId="28" fillId="23" borderId="10" xfId="5" applyFont="1" applyFill="1" applyBorder="1" applyAlignment="1">
      <alignment horizontal="center" vertical="center"/>
    </xf>
    <xf numFmtId="0" fontId="28" fillId="23" borderId="3" xfId="5" applyFont="1" applyFill="1" applyBorder="1" applyAlignment="1">
      <alignment horizontal="center" vertical="center"/>
    </xf>
    <xf numFmtId="0" fontId="30" fillId="2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2" fontId="8" fillId="8" borderId="0" xfId="0" applyNumberFormat="1" applyFont="1" applyFill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29" borderId="2" xfId="0" applyFont="1" applyFill="1" applyBorder="1" applyAlignment="1">
      <alignment horizontal="center" vertical="center"/>
    </xf>
    <xf numFmtId="0" fontId="11" fillId="29" borderId="10" xfId="0" applyFont="1" applyFill="1" applyBorder="1" applyAlignment="1">
      <alignment horizontal="center" vertical="center"/>
    </xf>
    <xf numFmtId="0" fontId="11" fillId="29" borderId="3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6" borderId="16" xfId="0" applyFont="1" applyFill="1" applyBorder="1" applyAlignment="1">
      <alignment horizontal="center" vertical="center"/>
    </xf>
    <xf numFmtId="0" fontId="7" fillId="26" borderId="21" xfId="0" applyFont="1" applyFill="1" applyBorder="1" applyAlignment="1">
      <alignment horizontal="center" vertical="center"/>
    </xf>
    <xf numFmtId="0" fontId="7" fillId="26" borderId="20" xfId="0" applyFont="1" applyFill="1" applyBorder="1" applyAlignment="1">
      <alignment horizontal="center" vertical="center"/>
    </xf>
    <xf numFmtId="0" fontId="7" fillId="26" borderId="49" xfId="0" applyFont="1" applyFill="1" applyBorder="1" applyAlignment="1">
      <alignment horizontal="center" vertical="center"/>
    </xf>
    <xf numFmtId="0" fontId="7" fillId="26" borderId="50" xfId="0" applyFont="1" applyFill="1" applyBorder="1" applyAlignment="1">
      <alignment horizontal="center" vertical="center"/>
    </xf>
    <xf numFmtId="0" fontId="7" fillId="26" borderId="5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3" fillId="0" borderId="39" xfId="0" applyNumberFormat="1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3" fillId="28" borderId="26" xfId="0" applyFont="1" applyFill="1" applyBorder="1" applyAlignment="1">
      <alignment horizontal="center" vertical="center" wrapText="1"/>
    </xf>
    <xf numFmtId="0" fontId="3" fillId="28" borderId="17" xfId="0" applyFont="1" applyFill="1" applyBorder="1" applyAlignment="1">
      <alignment horizontal="center" vertical="center" wrapText="1"/>
    </xf>
    <xf numFmtId="0" fontId="3" fillId="28" borderId="27" xfId="0" applyFont="1" applyFill="1" applyBorder="1" applyAlignment="1">
      <alignment horizontal="center" vertical="center" wrapText="1"/>
    </xf>
    <xf numFmtId="0" fontId="3" fillId="28" borderId="2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167" fontId="12" fillId="0" borderId="0" xfId="0" applyNumberFormat="1" applyFont="1" applyAlignment="1" applyProtection="1">
      <alignment horizontal="center" vertical="center" wrapText="1"/>
      <protection locked="0"/>
    </xf>
    <xf numFmtId="0" fontId="3" fillId="27" borderId="34" xfId="0" applyFont="1" applyFill="1" applyBorder="1" applyAlignment="1">
      <alignment horizontal="center" vertical="center" wrapText="1"/>
    </xf>
    <xf numFmtId="0" fontId="3" fillId="27" borderId="35" xfId="0" applyFont="1" applyFill="1" applyBorder="1" applyAlignment="1">
      <alignment horizontal="center" vertical="center" wrapText="1"/>
    </xf>
    <xf numFmtId="0" fontId="3" fillId="27" borderId="36" xfId="0" applyFont="1" applyFill="1" applyBorder="1" applyAlignment="1">
      <alignment horizontal="center" vertical="center" wrapText="1"/>
    </xf>
    <xf numFmtId="0" fontId="3" fillId="28" borderId="31" xfId="0" applyFont="1" applyFill="1" applyBorder="1" applyAlignment="1">
      <alignment horizontal="center" vertical="center" wrapText="1"/>
    </xf>
    <xf numFmtId="0" fontId="3" fillId="28" borderId="19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9" borderId="1" xfId="0" applyFont="1" applyFill="1" applyBorder="1" applyAlignment="1">
      <alignment horizontal="justify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4" fillId="25" borderId="17" xfId="0" applyFont="1" applyFill="1" applyBorder="1" applyAlignment="1">
      <alignment horizontal="left"/>
    </xf>
    <xf numFmtId="0" fontId="37" fillId="0" borderId="2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37" fillId="41" borderId="0" xfId="0" applyFont="1" applyFill="1" applyAlignment="1">
      <alignment horizontal="center" vertical="center"/>
    </xf>
    <xf numFmtId="0" fontId="37" fillId="42" borderId="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8" fillId="0" borderId="47" xfId="0" applyFont="1" applyBorder="1"/>
    <xf numFmtId="0" fontId="8" fillId="0" borderId="0" xfId="0" applyFont="1"/>
    <xf numFmtId="0" fontId="36" fillId="0" borderId="0" xfId="0" applyFont="1" applyAlignment="1">
      <alignment wrapText="1"/>
    </xf>
    <xf numFmtId="0" fontId="36" fillId="0" borderId="48" xfId="0" applyFont="1" applyBorder="1" applyAlignment="1">
      <alignment wrapText="1"/>
    </xf>
    <xf numFmtId="0" fontId="25" fillId="0" borderId="0" xfId="0" applyFont="1" applyAlignment="1">
      <alignment horizontal="center" vertical="center"/>
    </xf>
    <xf numFmtId="0" fontId="25" fillId="38" borderId="1" xfId="0" applyFont="1" applyFill="1" applyBorder="1" applyAlignment="1">
      <alignment horizontal="center" vertical="center"/>
    </xf>
    <xf numFmtId="0" fontId="25" fillId="39" borderId="55" xfId="0" applyFont="1" applyFill="1" applyBorder="1" applyAlignment="1">
      <alignment horizontal="center" vertical="center"/>
    </xf>
    <xf numFmtId="0" fontId="25" fillId="39" borderId="56" xfId="0" applyFont="1" applyFill="1" applyBorder="1" applyAlignment="1">
      <alignment horizontal="center" vertical="center"/>
    </xf>
    <xf numFmtId="0" fontId="25" fillId="36" borderId="59" xfId="0" applyFont="1" applyFill="1" applyBorder="1" applyAlignment="1">
      <alignment horizontal="center" vertical="center"/>
    </xf>
    <xf numFmtId="0" fontId="25" fillId="36" borderId="63" xfId="0" applyFont="1" applyFill="1" applyBorder="1" applyAlignment="1">
      <alignment horizontal="center" vertical="center"/>
    </xf>
    <xf numFmtId="0" fontId="25" fillId="37" borderId="59" xfId="0" applyFont="1" applyFill="1" applyBorder="1" applyAlignment="1">
      <alignment horizontal="center" vertical="center" wrapText="1"/>
    </xf>
    <xf numFmtId="0" fontId="25" fillId="37" borderId="63" xfId="0" applyFont="1" applyFill="1" applyBorder="1" applyAlignment="1">
      <alignment horizontal="center" vertical="center" wrapText="1"/>
    </xf>
    <xf numFmtId="0" fontId="37" fillId="42" borderId="57" xfId="0" applyFont="1" applyFill="1" applyBorder="1" applyAlignment="1">
      <alignment horizontal="center" vertical="center" wrapText="1"/>
    </xf>
    <xf numFmtId="0" fontId="37" fillId="42" borderId="58" xfId="0" applyFont="1" applyFill="1" applyBorder="1" applyAlignment="1">
      <alignment horizontal="center" vertical="center" wrapText="1"/>
    </xf>
    <xf numFmtId="0" fontId="25" fillId="35" borderId="52" xfId="0" applyFont="1" applyFill="1" applyBorder="1" applyAlignment="1">
      <alignment horizontal="center" vertical="center"/>
    </xf>
    <xf numFmtId="0" fontId="25" fillId="35" borderId="53" xfId="0" applyFont="1" applyFill="1" applyBorder="1" applyAlignment="1">
      <alignment horizontal="center" vertical="center"/>
    </xf>
    <xf numFmtId="0" fontId="25" fillId="35" borderId="54" xfId="0" applyFont="1" applyFill="1" applyBorder="1" applyAlignment="1">
      <alignment horizontal="center" vertical="center"/>
    </xf>
    <xf numFmtId="0" fontId="25" fillId="35" borderId="60" xfId="0" applyFont="1" applyFill="1" applyBorder="1" applyAlignment="1">
      <alignment horizontal="center" vertical="center"/>
    </xf>
    <xf numFmtId="0" fontId="25" fillId="35" borderId="61" xfId="0" applyFont="1" applyFill="1" applyBorder="1" applyAlignment="1">
      <alignment horizontal="center" vertical="center"/>
    </xf>
    <xf numFmtId="0" fontId="25" fillId="35" borderId="61" xfId="0" applyFont="1" applyFill="1" applyBorder="1" applyAlignment="1">
      <alignment horizontal="center" vertical="center" wrapText="1"/>
    </xf>
    <xf numFmtId="0" fontId="25" fillId="35" borderId="62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horizontal="justify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39" fillId="39" borderId="17" xfId="0" applyFont="1" applyFill="1" applyBorder="1" applyAlignment="1">
      <alignment vertical="center" wrapText="1"/>
    </xf>
    <xf numFmtId="0" fontId="0" fillId="39" borderId="17" xfId="0" applyFill="1" applyBorder="1" applyAlignment="1">
      <alignment vertical="center" wrapText="1"/>
    </xf>
    <xf numFmtId="0" fontId="0" fillId="39" borderId="17" xfId="0" applyFill="1" applyBorder="1" applyAlignment="1">
      <alignment horizontal="center"/>
    </xf>
    <xf numFmtId="0" fontId="0" fillId="39" borderId="17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193" fontId="0" fillId="0" borderId="18" xfId="0" applyNumberFormat="1" applyFill="1" applyBorder="1" applyAlignment="1">
      <alignment horizontal="center" vertical="center"/>
    </xf>
    <xf numFmtId="193" fontId="0" fillId="0" borderId="18" xfId="0" applyNumberFormat="1" applyFill="1" applyBorder="1" applyAlignment="1">
      <alignment horizontal="right" vertical="center"/>
    </xf>
    <xf numFmtId="0" fontId="8" fillId="39" borderId="1" xfId="0" applyFont="1" applyFill="1" applyBorder="1" applyAlignment="1">
      <alignment horizontal="center" vertical="center" wrapText="1"/>
    </xf>
    <xf numFmtId="0" fontId="8" fillId="39" borderId="1" xfId="0" applyFont="1" applyFill="1" applyBorder="1" applyAlignment="1">
      <alignment horizontal="justify" vertical="center"/>
    </xf>
    <xf numFmtId="179" fontId="8" fillId="39" borderId="1" xfId="0" applyNumberFormat="1" applyFont="1" applyFill="1" applyBorder="1" applyAlignment="1">
      <alignment horizontal="center" vertical="center"/>
    </xf>
    <xf numFmtId="178" fontId="8" fillId="45" borderId="1" xfId="0" applyNumberFormat="1" applyFont="1" applyFill="1" applyBorder="1" applyAlignment="1">
      <alignment horizontal="center" vertical="center"/>
    </xf>
    <xf numFmtId="0" fontId="8" fillId="45" borderId="1" xfId="0" applyFont="1" applyFill="1" applyBorder="1" applyAlignment="1">
      <alignment horizontal="center" vertical="center"/>
    </xf>
    <xf numFmtId="167" fontId="8" fillId="39" borderId="1" xfId="0" applyNumberFormat="1" applyFont="1" applyFill="1" applyBorder="1" applyAlignment="1">
      <alignment horizontal="center" vertical="center"/>
    </xf>
    <xf numFmtId="10" fontId="8" fillId="39" borderId="1" xfId="0" applyNumberFormat="1" applyFont="1" applyFill="1" applyBorder="1" applyAlignment="1">
      <alignment horizontal="center" vertical="center"/>
    </xf>
    <xf numFmtId="167" fontId="11" fillId="39" borderId="1" xfId="0" applyNumberFormat="1" applyFont="1" applyFill="1" applyBorder="1" applyAlignment="1">
      <alignment horizontal="center" vertical="center"/>
    </xf>
    <xf numFmtId="167" fontId="12" fillId="23" borderId="1" xfId="0" applyNumberFormat="1" applyFont="1" applyFill="1" applyBorder="1" applyAlignment="1">
      <alignment horizontal="center" vertical="center"/>
    </xf>
    <xf numFmtId="0" fontId="0" fillId="46" borderId="0" xfId="0" applyFill="1"/>
    <xf numFmtId="0" fontId="8" fillId="47" borderId="1" xfId="0" applyFont="1" applyFill="1" applyBorder="1" applyAlignment="1">
      <alignment horizontal="justify" vertical="center" wrapText="1"/>
    </xf>
    <xf numFmtId="10" fontId="8" fillId="48" borderId="1" xfId="0" applyNumberFormat="1" applyFont="1" applyFill="1" applyBorder="1" applyAlignment="1" applyProtection="1">
      <alignment horizontal="center" vertical="center"/>
      <protection locked="0"/>
    </xf>
  </cellXfs>
  <cellStyles count="12">
    <cellStyle name="Moeda" xfId="2" builtinId="4"/>
    <cellStyle name="Moeda 2" xfId="6" xr:uid="{E6365B74-9FC2-432C-A318-2D184567ABEF}"/>
    <cellStyle name="Normal" xfId="0" builtinId="0"/>
    <cellStyle name="Normal 2" xfId="11" xr:uid="{1A808119-F76F-4789-AA02-DFF6AD816129}"/>
    <cellStyle name="Normal 3" xfId="5" xr:uid="{8A41BF4E-D3DE-4117-8498-063F5AC54D57}"/>
    <cellStyle name="Normal 4" xfId="7" xr:uid="{0EA65972-127F-4B95-9788-86196ABA1AA0}"/>
    <cellStyle name="Porcentagem" xfId="3" builtinId="5"/>
    <cellStyle name="Porcentagem 3" xfId="8" xr:uid="{F2E133FF-F72A-48E2-A529-D675DB74F2C5}"/>
    <cellStyle name="Texto Explicativo" xfId="4" builtinId="53" customBuiltin="1"/>
    <cellStyle name="Texto Explicativo 2" xfId="10" xr:uid="{46E23348-8679-486D-AED6-7D0ADEFAC7B3}"/>
    <cellStyle name="Vírgula" xfId="1" builtinId="3"/>
    <cellStyle name="Vírgula 3" xfId="9" xr:uid="{569EB180-30CF-4FD3-A914-08BA95EADDE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0A0A0"/>
      <color rgb="FFA6A6A6"/>
      <color rgb="FFBE05FF"/>
      <color rgb="FF7BEEFD"/>
      <color rgb="FFF7FA7E"/>
      <color rgb="FFFC7C88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</xdr:colOff>
      <xdr:row>24</xdr:row>
      <xdr:rowOff>141120</xdr:rowOff>
    </xdr:from>
    <xdr:to>
      <xdr:col>3</xdr:col>
      <xdr:colOff>624240</xdr:colOff>
      <xdr:row>24</xdr:row>
      <xdr:rowOff>2098080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0" y="9004320"/>
          <a:ext cx="4299120" cy="195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9"/>
  <sheetViews>
    <sheetView view="pageBreakPreview" topLeftCell="A18" zoomScaleNormal="100" workbookViewId="0">
      <selection activeCell="E27" sqref="E27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7" t="s">
        <v>0</v>
      </c>
    </row>
    <row r="3" spans="1:1" ht="31.5" x14ac:dyDescent="0.25">
      <c r="A3" s="288" t="s">
        <v>1</v>
      </c>
    </row>
    <row r="4" spans="1:1" x14ac:dyDescent="0.2">
      <c r="A4" s="18"/>
    </row>
    <row r="5" spans="1:1" x14ac:dyDescent="0.2">
      <c r="A5" s="18"/>
    </row>
    <row r="6" spans="1:1" ht="30" x14ac:dyDescent="0.25">
      <c r="A6" s="19" t="s">
        <v>2</v>
      </c>
    </row>
    <row r="7" spans="1:1" ht="15" x14ac:dyDescent="0.25">
      <c r="A7" s="289" t="s">
        <v>3</v>
      </c>
    </row>
    <row r="8" spans="1:1" x14ac:dyDescent="0.2">
      <c r="A8" s="18"/>
    </row>
    <row r="9" spans="1:1" ht="15" x14ac:dyDescent="0.25">
      <c r="A9" s="20" t="s">
        <v>4</v>
      </c>
    </row>
    <row r="10" spans="1:1" x14ac:dyDescent="0.2">
      <c r="A10" s="19"/>
    </row>
    <row r="11" spans="1:1" ht="29.25" x14ac:dyDescent="0.2">
      <c r="A11" s="290" t="s">
        <v>5</v>
      </c>
    </row>
    <row r="13" spans="1:1" ht="30" x14ac:dyDescent="0.25">
      <c r="A13" s="20" t="s">
        <v>6</v>
      </c>
    </row>
    <row r="15" spans="1:1" ht="44.25" x14ac:dyDescent="0.25">
      <c r="A15" s="20" t="s">
        <v>7</v>
      </c>
    </row>
    <row r="17" spans="1:1" ht="29.25" x14ac:dyDescent="0.2">
      <c r="A17" s="20" t="s">
        <v>8</v>
      </c>
    </row>
    <row r="19" spans="1:1" ht="30" x14ac:dyDescent="0.25">
      <c r="A19" s="20" t="s">
        <v>9</v>
      </c>
    </row>
    <row r="20" spans="1:1" ht="28.5" x14ac:dyDescent="0.2">
      <c r="A20" s="291" t="s">
        <v>10</v>
      </c>
    </row>
    <row r="21" spans="1:1" ht="57" x14ac:dyDescent="0.2">
      <c r="A21" s="291" t="s">
        <v>11</v>
      </c>
    </row>
    <row r="22" spans="1:1" ht="42.75" x14ac:dyDescent="0.2">
      <c r="A22" s="291" t="s">
        <v>12</v>
      </c>
    </row>
    <row r="23" spans="1:1" ht="42.75" x14ac:dyDescent="0.2">
      <c r="A23" s="291" t="s">
        <v>13</v>
      </c>
    </row>
    <row r="25" spans="1:1" ht="30" x14ac:dyDescent="0.25">
      <c r="A25" s="20" t="s">
        <v>14</v>
      </c>
    </row>
    <row r="27" spans="1:1" ht="30" x14ac:dyDescent="0.25">
      <c r="A27" s="20" t="s">
        <v>15</v>
      </c>
    </row>
    <row r="29" spans="1:1" ht="15" x14ac:dyDescent="0.25">
      <c r="A29" s="21" t="s">
        <v>16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AMG331"/>
  <sheetViews>
    <sheetView view="pageBreakPreview" topLeftCell="B309" zoomScale="115" zoomScaleNormal="100" zoomScaleSheetLayoutView="115" zoomScalePageLayoutView="85" workbookViewId="0">
      <selection activeCell="H4" sqref="H4:H320"/>
    </sheetView>
  </sheetViews>
  <sheetFormatPr defaultRowHeight="14.25" x14ac:dyDescent="0.2"/>
  <cols>
    <col min="1" max="1" width="5.625" style="121"/>
    <col min="2" max="2" width="9.25" style="121"/>
    <col min="3" max="3" width="8.75" style="121"/>
    <col min="4" max="4" width="51" style="132"/>
    <col min="5" max="5" width="9.25" style="121"/>
    <col min="6" max="6" width="11.25" style="121"/>
    <col min="7" max="7" width="15" style="121"/>
    <col min="8" max="8" width="9.75" style="121"/>
    <col min="9" max="9" width="12.75" style="121"/>
    <col min="10" max="14" width="0" style="25" hidden="1"/>
    <col min="15" max="15" width="1.125" style="25" customWidth="1"/>
    <col min="16" max="1021" width="10.875" style="25"/>
    <col min="1022" max="1025" width="8.875"/>
  </cols>
  <sheetData>
    <row r="1" spans="1:19" s="62" customFormat="1" ht="71.25" customHeight="1" x14ac:dyDescent="0.2">
      <c r="A1" s="475" t="s">
        <v>394</v>
      </c>
      <c r="B1" s="475"/>
      <c r="C1" s="475"/>
      <c r="D1" s="475"/>
      <c r="E1" s="475"/>
      <c r="F1" s="475"/>
      <c r="G1" s="475"/>
      <c r="H1" s="475"/>
      <c r="I1" s="475"/>
    </row>
    <row r="2" spans="1:19" ht="24.75" customHeight="1" x14ac:dyDescent="0.2">
      <c r="A2" s="133"/>
      <c r="B2" s="133"/>
      <c r="C2" s="133"/>
      <c r="D2" s="133"/>
      <c r="E2" s="133"/>
      <c r="F2" s="133"/>
      <c r="G2" s="133" t="s">
        <v>395</v>
      </c>
      <c r="H2" s="476" t="s">
        <v>803</v>
      </c>
      <c r="I2" s="476"/>
      <c r="J2"/>
      <c r="K2"/>
      <c r="L2"/>
      <c r="M2"/>
    </row>
    <row r="3" spans="1:19" ht="22.5" x14ac:dyDescent="0.2">
      <c r="A3" s="9" t="s">
        <v>309</v>
      </c>
      <c r="B3" s="9" t="s">
        <v>332</v>
      </c>
      <c r="C3" s="9" t="s">
        <v>90</v>
      </c>
      <c r="D3" s="9" t="s">
        <v>91</v>
      </c>
      <c r="E3" s="9" t="s">
        <v>92</v>
      </c>
      <c r="F3" s="134" t="s">
        <v>396</v>
      </c>
      <c r="G3" s="9" t="s">
        <v>397</v>
      </c>
      <c r="H3" s="9" t="s">
        <v>313</v>
      </c>
      <c r="I3" s="9" t="s">
        <v>398</v>
      </c>
      <c r="J3"/>
      <c r="K3"/>
      <c r="L3"/>
      <c r="M3"/>
    </row>
    <row r="4" spans="1:19" ht="25.5" customHeight="1" x14ac:dyDescent="0.2">
      <c r="A4" s="135" t="s">
        <v>399</v>
      </c>
      <c r="B4" s="136" t="s">
        <v>294</v>
      </c>
      <c r="C4" s="137">
        <v>39701</v>
      </c>
      <c r="D4" s="138" t="s">
        <v>637</v>
      </c>
      <c r="E4" s="139" t="s">
        <v>538</v>
      </c>
      <c r="F4" s="118">
        <v>1</v>
      </c>
      <c r="G4" s="140">
        <v>4.976</v>
      </c>
      <c r="H4" s="501"/>
      <c r="I4" s="141">
        <f t="shared" ref="I4:I35" si="0">IFERROR(H4*G4,"")</f>
        <v>0</v>
      </c>
      <c r="J4"/>
      <c r="K4"/>
      <c r="L4"/>
      <c r="M4"/>
      <c r="S4" s="330"/>
    </row>
    <row r="5" spans="1:19" ht="22.5" x14ac:dyDescent="0.2">
      <c r="A5" s="135" t="s">
        <v>400</v>
      </c>
      <c r="B5" s="136" t="s">
        <v>294</v>
      </c>
      <c r="C5" s="137">
        <v>38082</v>
      </c>
      <c r="D5" s="138" t="s">
        <v>722</v>
      </c>
      <c r="E5" s="139" t="s">
        <v>538</v>
      </c>
      <c r="F5" s="118">
        <v>1</v>
      </c>
      <c r="G5" s="140">
        <v>0</v>
      </c>
      <c r="H5" s="501"/>
      <c r="I5" s="141">
        <f t="shared" si="0"/>
        <v>0</v>
      </c>
      <c r="J5"/>
      <c r="K5"/>
      <c r="L5"/>
      <c r="M5"/>
      <c r="S5" s="330"/>
    </row>
    <row r="6" spans="1:19" ht="22.5" x14ac:dyDescent="0.2">
      <c r="A6" s="135" t="s">
        <v>401</v>
      </c>
      <c r="B6" s="136" t="s">
        <v>294</v>
      </c>
      <c r="C6" s="137">
        <v>38083</v>
      </c>
      <c r="D6" s="138" t="s">
        <v>723</v>
      </c>
      <c r="E6" s="139" t="s">
        <v>538</v>
      </c>
      <c r="F6" s="118">
        <v>1</v>
      </c>
      <c r="G6" s="140">
        <v>8.0055999999999994</v>
      </c>
      <c r="H6" s="501"/>
      <c r="I6" s="141">
        <f t="shared" si="0"/>
        <v>0</v>
      </c>
      <c r="J6"/>
      <c r="K6"/>
      <c r="L6"/>
      <c r="M6"/>
      <c r="S6" s="330"/>
    </row>
    <row r="7" spans="1:19" x14ac:dyDescent="0.2">
      <c r="A7" s="135" t="s">
        <v>402</v>
      </c>
      <c r="B7" s="136" t="s">
        <v>294</v>
      </c>
      <c r="C7" s="137">
        <v>11902</v>
      </c>
      <c r="D7" s="138" t="s">
        <v>612</v>
      </c>
      <c r="E7" s="139" t="s">
        <v>589</v>
      </c>
      <c r="F7" s="118">
        <v>1</v>
      </c>
      <c r="G7" s="140">
        <v>10.6152</v>
      </c>
      <c r="H7" s="501"/>
      <c r="I7" s="141">
        <f t="shared" si="0"/>
        <v>0</v>
      </c>
      <c r="J7"/>
      <c r="K7"/>
      <c r="L7"/>
      <c r="M7"/>
      <c r="S7" s="330"/>
    </row>
    <row r="8" spans="1:19" x14ac:dyDescent="0.2">
      <c r="A8" s="135" t="s">
        <v>403</v>
      </c>
      <c r="B8" s="136" t="s">
        <v>294</v>
      </c>
      <c r="C8" s="137">
        <v>11904</v>
      </c>
      <c r="D8" s="138" t="s">
        <v>613</v>
      </c>
      <c r="E8" s="139" t="s">
        <v>589</v>
      </c>
      <c r="F8" s="118">
        <v>1</v>
      </c>
      <c r="G8" s="140">
        <v>10.6152</v>
      </c>
      <c r="H8" s="501"/>
      <c r="I8" s="141">
        <f t="shared" si="0"/>
        <v>0</v>
      </c>
      <c r="J8"/>
      <c r="K8"/>
      <c r="L8"/>
      <c r="M8"/>
      <c r="S8" s="330"/>
    </row>
    <row r="9" spans="1:19" x14ac:dyDescent="0.2">
      <c r="A9" s="135" t="s">
        <v>404</v>
      </c>
      <c r="B9" s="136" t="s">
        <v>294</v>
      </c>
      <c r="C9" s="137">
        <v>11906</v>
      </c>
      <c r="D9" s="138" t="s">
        <v>614</v>
      </c>
      <c r="E9" s="139" t="s">
        <v>589</v>
      </c>
      <c r="F9" s="118">
        <v>1</v>
      </c>
      <c r="G9" s="140">
        <v>10.6152</v>
      </c>
      <c r="H9" s="501"/>
      <c r="I9" s="141">
        <f t="shared" si="0"/>
        <v>0</v>
      </c>
      <c r="J9"/>
      <c r="K9"/>
      <c r="L9"/>
      <c r="M9"/>
      <c r="S9" s="330"/>
    </row>
    <row r="10" spans="1:19" x14ac:dyDescent="0.2">
      <c r="A10" s="135" t="s">
        <v>405</v>
      </c>
      <c r="B10" s="136" t="s">
        <v>294</v>
      </c>
      <c r="C10" s="142">
        <v>11919</v>
      </c>
      <c r="D10" s="138" t="s">
        <v>615</v>
      </c>
      <c r="E10" s="139" t="s">
        <v>589</v>
      </c>
      <c r="F10" s="118">
        <v>1</v>
      </c>
      <c r="G10" s="140">
        <v>10.6152</v>
      </c>
      <c r="H10" s="501"/>
      <c r="I10" s="141">
        <f t="shared" si="0"/>
        <v>0</v>
      </c>
      <c r="J10"/>
      <c r="K10"/>
      <c r="L10"/>
      <c r="M10"/>
      <c r="S10" s="330"/>
    </row>
    <row r="11" spans="1:19" x14ac:dyDescent="0.2">
      <c r="A11" s="135" t="s">
        <v>406</v>
      </c>
      <c r="B11" s="136" t="s">
        <v>294</v>
      </c>
      <c r="C11" s="142">
        <v>11922</v>
      </c>
      <c r="D11" s="138" t="s">
        <v>616</v>
      </c>
      <c r="E11" s="139" t="s">
        <v>589</v>
      </c>
      <c r="F11" s="118">
        <v>1</v>
      </c>
      <c r="G11" s="140">
        <v>10.6152</v>
      </c>
      <c r="H11" s="501"/>
      <c r="I11" s="141">
        <f t="shared" si="0"/>
        <v>0</v>
      </c>
      <c r="J11"/>
      <c r="K11"/>
      <c r="L11"/>
      <c r="M11"/>
      <c r="S11" s="330"/>
    </row>
    <row r="12" spans="1:19" x14ac:dyDescent="0.2">
      <c r="A12" s="135" t="s">
        <v>407</v>
      </c>
      <c r="B12" s="136" t="s">
        <v>294</v>
      </c>
      <c r="C12" s="142">
        <v>935</v>
      </c>
      <c r="D12" s="138" t="e">
        <v>#N/A</v>
      </c>
      <c r="E12" s="139" t="e">
        <v>#N/A</v>
      </c>
      <c r="F12" s="118">
        <v>1</v>
      </c>
      <c r="G12" s="140">
        <v>0</v>
      </c>
      <c r="H12" s="501"/>
      <c r="I12" s="141">
        <f t="shared" si="0"/>
        <v>0</v>
      </c>
      <c r="J12"/>
      <c r="K12"/>
      <c r="L12"/>
      <c r="M12"/>
      <c r="S12" s="330"/>
    </row>
    <row r="13" spans="1:19" x14ac:dyDescent="0.2">
      <c r="A13" s="135" t="s">
        <v>408</v>
      </c>
      <c r="B13" s="136" t="s">
        <v>294</v>
      </c>
      <c r="C13" s="142">
        <v>936</v>
      </c>
      <c r="D13" s="138" t="e">
        <v>#N/A</v>
      </c>
      <c r="E13" s="139" t="e">
        <v>#N/A</v>
      </c>
      <c r="F13" s="118">
        <v>1</v>
      </c>
      <c r="G13" s="140">
        <v>0</v>
      </c>
      <c r="H13" s="501"/>
      <c r="I13" s="141">
        <f t="shared" si="0"/>
        <v>0</v>
      </c>
      <c r="J13"/>
      <c r="K13"/>
      <c r="L13"/>
      <c r="M13"/>
      <c r="S13" s="330"/>
    </row>
    <row r="14" spans="1:19" ht="22.5" x14ac:dyDescent="0.2">
      <c r="A14" s="135" t="s">
        <v>409</v>
      </c>
      <c r="B14" s="136" t="s">
        <v>294</v>
      </c>
      <c r="C14" s="142">
        <v>39607</v>
      </c>
      <c r="D14" s="138" t="s">
        <v>691</v>
      </c>
      <c r="E14" s="139" t="s">
        <v>538</v>
      </c>
      <c r="F14" s="118">
        <v>1</v>
      </c>
      <c r="G14" s="140">
        <v>0</v>
      </c>
      <c r="H14" s="501"/>
      <c r="I14" s="141">
        <f t="shared" si="0"/>
        <v>0</v>
      </c>
      <c r="J14"/>
      <c r="K14"/>
      <c r="L14"/>
      <c r="M14"/>
      <c r="S14" s="330"/>
    </row>
    <row r="15" spans="1:19" x14ac:dyDescent="0.2">
      <c r="A15" s="135" t="s">
        <v>410</v>
      </c>
      <c r="B15" s="136" t="s">
        <v>294</v>
      </c>
      <c r="C15" s="142">
        <v>39601</v>
      </c>
      <c r="D15" s="138" t="s">
        <v>623</v>
      </c>
      <c r="E15" s="139" t="s">
        <v>538</v>
      </c>
      <c r="F15" s="118">
        <v>1</v>
      </c>
      <c r="G15" s="140">
        <v>294.72000000000003</v>
      </c>
      <c r="H15" s="501"/>
      <c r="I15" s="141">
        <f t="shared" si="0"/>
        <v>0</v>
      </c>
      <c r="J15"/>
      <c r="K15"/>
      <c r="L15"/>
      <c r="M15"/>
      <c r="S15" s="330"/>
    </row>
    <row r="16" spans="1:19" x14ac:dyDescent="0.2">
      <c r="A16" s="135" t="s">
        <v>411</v>
      </c>
      <c r="B16" s="136" t="s">
        <v>294</v>
      </c>
      <c r="C16" s="142">
        <v>39603</v>
      </c>
      <c r="D16" s="138" t="s">
        <v>624</v>
      </c>
      <c r="E16" s="139" t="s">
        <v>538</v>
      </c>
      <c r="F16" s="118">
        <v>1</v>
      </c>
      <c r="G16" s="140">
        <v>294.72000000000003</v>
      </c>
      <c r="H16" s="501"/>
      <c r="I16" s="141">
        <f t="shared" si="0"/>
        <v>0</v>
      </c>
      <c r="J16"/>
      <c r="K16"/>
      <c r="L16"/>
      <c r="M16"/>
      <c r="S16" s="330"/>
    </row>
    <row r="17" spans="1:19" ht="22.5" x14ac:dyDescent="0.2">
      <c r="A17" s="135" t="s">
        <v>412</v>
      </c>
      <c r="B17" s="136" t="s">
        <v>294</v>
      </c>
      <c r="C17" s="142">
        <v>39599</v>
      </c>
      <c r="D17" s="138" t="s">
        <v>611</v>
      </c>
      <c r="E17" s="139" t="s">
        <v>589</v>
      </c>
      <c r="F17" s="118">
        <v>1</v>
      </c>
      <c r="G17" s="140">
        <v>294.72000000000003</v>
      </c>
      <c r="H17" s="501"/>
      <c r="I17" s="141">
        <f t="shared" si="0"/>
        <v>0</v>
      </c>
      <c r="J17"/>
      <c r="K17"/>
      <c r="L17"/>
      <c r="M17"/>
      <c r="S17" s="330"/>
    </row>
    <row r="18" spans="1:19" x14ac:dyDescent="0.2">
      <c r="A18" s="135" t="s">
        <v>413</v>
      </c>
      <c r="B18" s="136" t="s">
        <v>294</v>
      </c>
      <c r="C18" s="142">
        <v>122</v>
      </c>
      <c r="D18" s="138" t="s">
        <v>592</v>
      </c>
      <c r="E18" s="139" t="s">
        <v>538</v>
      </c>
      <c r="F18" s="118">
        <v>8.9999999999999993E-3</v>
      </c>
      <c r="G18" s="140">
        <v>6.3E-2</v>
      </c>
      <c r="H18" s="501"/>
      <c r="I18" s="141">
        <f t="shared" si="0"/>
        <v>0</v>
      </c>
      <c r="J18"/>
      <c r="K18"/>
      <c r="L18"/>
      <c r="M18"/>
      <c r="S18" s="330"/>
    </row>
    <row r="19" spans="1:19" x14ac:dyDescent="0.2">
      <c r="A19" s="135" t="s">
        <v>413</v>
      </c>
      <c r="B19" s="136" t="s">
        <v>294</v>
      </c>
      <c r="C19" s="142">
        <v>38383</v>
      </c>
      <c r="D19" s="138" t="s">
        <v>673</v>
      </c>
      <c r="E19" s="139" t="s">
        <v>538</v>
      </c>
      <c r="F19" s="118">
        <v>3.9E-2</v>
      </c>
      <c r="G19" s="140">
        <v>0.27300000000000002</v>
      </c>
      <c r="H19" s="501"/>
      <c r="I19" s="141">
        <f t="shared" si="0"/>
        <v>0</v>
      </c>
      <c r="J19"/>
      <c r="K19"/>
      <c r="L19"/>
      <c r="M19"/>
      <c r="S19" s="330"/>
    </row>
    <row r="20" spans="1:19" x14ac:dyDescent="0.2">
      <c r="A20" s="135" t="s">
        <v>413</v>
      </c>
      <c r="B20" s="136" t="s">
        <v>294</v>
      </c>
      <c r="C20" s="142">
        <v>20083</v>
      </c>
      <c r="D20" s="138" t="s">
        <v>698</v>
      </c>
      <c r="E20" s="139" t="s">
        <v>538</v>
      </c>
      <c r="F20" s="118">
        <v>8.9999999999999993E-3</v>
      </c>
      <c r="G20" s="140">
        <v>6.3E-2</v>
      </c>
      <c r="H20" s="501"/>
      <c r="I20" s="141">
        <f t="shared" si="0"/>
        <v>0</v>
      </c>
      <c r="J20"/>
      <c r="K20"/>
      <c r="L20"/>
      <c r="M20"/>
      <c r="S20" s="330"/>
    </row>
    <row r="21" spans="1:19" x14ac:dyDescent="0.2">
      <c r="A21" s="135" t="s">
        <v>413</v>
      </c>
      <c r="B21" s="136" t="s">
        <v>294</v>
      </c>
      <c r="C21" s="142">
        <v>7138</v>
      </c>
      <c r="D21" s="138" t="s">
        <v>707</v>
      </c>
      <c r="E21" s="139" t="s">
        <v>538</v>
      </c>
      <c r="F21" s="118">
        <v>1</v>
      </c>
      <c r="G21" s="140">
        <v>7</v>
      </c>
      <c r="H21" s="501"/>
      <c r="I21" s="141">
        <f t="shared" si="0"/>
        <v>0</v>
      </c>
      <c r="J21"/>
      <c r="K21"/>
      <c r="L21"/>
      <c r="M21"/>
      <c r="S21" s="330"/>
    </row>
    <row r="22" spans="1:19" x14ac:dyDescent="0.2">
      <c r="A22" s="135" t="s">
        <v>414</v>
      </c>
      <c r="B22" s="136" t="s">
        <v>294</v>
      </c>
      <c r="C22" s="142">
        <v>122</v>
      </c>
      <c r="D22" s="138" t="s">
        <v>592</v>
      </c>
      <c r="E22" s="139" t="s">
        <v>538</v>
      </c>
      <c r="F22" s="118">
        <v>1.0999999999999999E-2</v>
      </c>
      <c r="G22" s="140">
        <v>5.4999999999999993E-2</v>
      </c>
      <c r="H22" s="501"/>
      <c r="I22" s="141">
        <f t="shared" si="0"/>
        <v>0</v>
      </c>
      <c r="J22"/>
      <c r="K22"/>
      <c r="L22"/>
      <c r="M22"/>
      <c r="S22" s="330"/>
    </row>
    <row r="23" spans="1:19" x14ac:dyDescent="0.2">
      <c r="A23" s="135" t="s">
        <v>414</v>
      </c>
      <c r="B23" s="136" t="s">
        <v>294</v>
      </c>
      <c r="C23" s="142">
        <v>38383</v>
      </c>
      <c r="D23" s="138" t="s">
        <v>673</v>
      </c>
      <c r="E23" s="139" t="s">
        <v>538</v>
      </c>
      <c r="F23" s="118">
        <v>4.4999999999999998E-2</v>
      </c>
      <c r="G23" s="140">
        <v>0.22499999999999998</v>
      </c>
      <c r="H23" s="501"/>
      <c r="I23" s="141">
        <f t="shared" si="0"/>
        <v>0</v>
      </c>
      <c r="J23"/>
      <c r="K23"/>
      <c r="L23"/>
      <c r="M23"/>
      <c r="S23" s="330"/>
    </row>
    <row r="24" spans="1:19" x14ac:dyDescent="0.2">
      <c r="A24" s="135" t="s">
        <v>414</v>
      </c>
      <c r="B24" s="136" t="s">
        <v>294</v>
      </c>
      <c r="C24" s="142">
        <v>20083</v>
      </c>
      <c r="D24" s="138" t="s">
        <v>698</v>
      </c>
      <c r="E24" s="139" t="s">
        <v>538</v>
      </c>
      <c r="F24" s="118">
        <v>1.2E-2</v>
      </c>
      <c r="G24" s="140">
        <v>0.06</v>
      </c>
      <c r="H24" s="501"/>
      <c r="I24" s="141">
        <f t="shared" si="0"/>
        <v>0</v>
      </c>
      <c r="J24"/>
      <c r="K24"/>
      <c r="L24"/>
      <c r="M24"/>
      <c r="S24" s="330"/>
    </row>
    <row r="25" spans="1:19" x14ac:dyDescent="0.2">
      <c r="A25" s="135" t="s">
        <v>414</v>
      </c>
      <c r="B25" s="136" t="s">
        <v>294</v>
      </c>
      <c r="C25" s="142">
        <v>7139</v>
      </c>
      <c r="D25" s="138" t="s">
        <v>708</v>
      </c>
      <c r="E25" s="139" t="s">
        <v>538</v>
      </c>
      <c r="F25" s="118">
        <v>1</v>
      </c>
      <c r="G25" s="140">
        <v>5</v>
      </c>
      <c r="H25" s="501"/>
      <c r="I25" s="141">
        <f t="shared" si="0"/>
        <v>0</v>
      </c>
      <c r="J25"/>
      <c r="K25"/>
      <c r="L25"/>
      <c r="M25"/>
      <c r="S25" s="330"/>
    </row>
    <row r="26" spans="1:19" x14ac:dyDescent="0.2">
      <c r="A26" s="135" t="s">
        <v>415</v>
      </c>
      <c r="B26" s="136" t="s">
        <v>294</v>
      </c>
      <c r="C26" s="142">
        <v>122</v>
      </c>
      <c r="D26" s="138" t="s">
        <v>592</v>
      </c>
      <c r="E26" s="139" t="s">
        <v>538</v>
      </c>
      <c r="F26" s="118">
        <v>1.4E-2</v>
      </c>
      <c r="G26" s="140">
        <v>2.8000000000000001E-2</v>
      </c>
      <c r="H26" s="501"/>
      <c r="I26" s="141">
        <f t="shared" si="0"/>
        <v>0</v>
      </c>
      <c r="J26"/>
      <c r="K26"/>
      <c r="L26"/>
      <c r="M26"/>
      <c r="S26" s="330"/>
    </row>
    <row r="27" spans="1:19" x14ac:dyDescent="0.2">
      <c r="A27" s="135" t="s">
        <v>415</v>
      </c>
      <c r="B27" s="136" t="s">
        <v>294</v>
      </c>
      <c r="C27" s="142">
        <v>38383</v>
      </c>
      <c r="D27" s="138" t="s">
        <v>673</v>
      </c>
      <c r="E27" s="139" t="s">
        <v>538</v>
      </c>
      <c r="F27" s="118">
        <v>5.2999999999999999E-2</v>
      </c>
      <c r="G27" s="140">
        <v>0.106</v>
      </c>
      <c r="H27" s="501"/>
      <c r="I27" s="141">
        <f t="shared" si="0"/>
        <v>0</v>
      </c>
      <c r="J27"/>
      <c r="K27"/>
      <c r="L27"/>
      <c r="M27"/>
      <c r="S27" s="330"/>
    </row>
    <row r="28" spans="1:19" x14ac:dyDescent="0.2">
      <c r="A28" s="135" t="s">
        <v>415</v>
      </c>
      <c r="B28" s="136" t="s">
        <v>294</v>
      </c>
      <c r="C28" s="142">
        <v>20083</v>
      </c>
      <c r="D28" s="138" t="s">
        <v>698</v>
      </c>
      <c r="E28" s="139" t="s">
        <v>538</v>
      </c>
      <c r="F28" s="118">
        <v>1.7000000000000001E-2</v>
      </c>
      <c r="G28" s="140">
        <v>3.4000000000000002E-2</v>
      </c>
      <c r="H28" s="501"/>
      <c r="I28" s="141">
        <f t="shared" si="0"/>
        <v>0</v>
      </c>
      <c r="J28"/>
      <c r="K28"/>
      <c r="L28"/>
      <c r="M28"/>
      <c r="S28" s="330"/>
    </row>
    <row r="29" spans="1:19" x14ac:dyDescent="0.2">
      <c r="A29" s="135" t="s">
        <v>415</v>
      </c>
      <c r="B29" s="136" t="s">
        <v>294</v>
      </c>
      <c r="C29" s="142">
        <v>7140</v>
      </c>
      <c r="D29" s="138" t="s">
        <v>709</v>
      </c>
      <c r="E29" s="139" t="s">
        <v>538</v>
      </c>
      <c r="F29" s="118">
        <v>1</v>
      </c>
      <c r="G29" s="140">
        <v>2</v>
      </c>
      <c r="H29" s="501"/>
      <c r="I29" s="141">
        <f t="shared" si="0"/>
        <v>0</v>
      </c>
      <c r="J29"/>
      <c r="K29"/>
      <c r="L29"/>
      <c r="M29"/>
      <c r="S29" s="330"/>
    </row>
    <row r="30" spans="1:19" x14ac:dyDescent="0.2">
      <c r="A30" s="135" t="s">
        <v>416</v>
      </c>
      <c r="B30" s="136" t="s">
        <v>294</v>
      </c>
      <c r="C30" s="142">
        <v>122</v>
      </c>
      <c r="D30" s="138" t="s">
        <v>592</v>
      </c>
      <c r="E30" s="139" t="s">
        <v>538</v>
      </c>
      <c r="F30" s="118">
        <v>1.7999999999999999E-2</v>
      </c>
      <c r="G30" s="140">
        <v>7.1999999999999995E-2</v>
      </c>
      <c r="H30" s="501"/>
      <c r="I30" s="141">
        <f t="shared" si="0"/>
        <v>0</v>
      </c>
      <c r="J30"/>
      <c r="K30"/>
      <c r="L30"/>
      <c r="M30"/>
      <c r="S30" s="330"/>
    </row>
    <row r="31" spans="1:19" x14ac:dyDescent="0.2">
      <c r="A31" s="135" t="s">
        <v>416</v>
      </c>
      <c r="B31" s="136" t="s">
        <v>294</v>
      </c>
      <c r="C31" s="142">
        <v>38383</v>
      </c>
      <c r="D31" s="138" t="s">
        <v>673</v>
      </c>
      <c r="E31" s="139" t="s">
        <v>538</v>
      </c>
      <c r="F31" s="118">
        <v>0.03</v>
      </c>
      <c r="G31" s="140">
        <v>0.12</v>
      </c>
      <c r="H31" s="501"/>
      <c r="I31" s="141">
        <f t="shared" si="0"/>
        <v>0</v>
      </c>
      <c r="J31"/>
      <c r="K31"/>
      <c r="L31"/>
      <c r="M31"/>
      <c r="S31" s="330"/>
    </row>
    <row r="32" spans="1:19" x14ac:dyDescent="0.2">
      <c r="A32" s="135" t="s">
        <v>416</v>
      </c>
      <c r="B32" s="136" t="s">
        <v>294</v>
      </c>
      <c r="C32" s="142">
        <v>20083</v>
      </c>
      <c r="D32" s="138" t="s">
        <v>698</v>
      </c>
      <c r="E32" s="139" t="s">
        <v>538</v>
      </c>
      <c r="F32" s="118">
        <v>2.1000000000000001E-2</v>
      </c>
      <c r="G32" s="140">
        <v>8.4000000000000005E-2</v>
      </c>
      <c r="H32" s="501"/>
      <c r="I32" s="141">
        <f t="shared" si="0"/>
        <v>0</v>
      </c>
      <c r="J32"/>
      <c r="K32"/>
      <c r="L32"/>
      <c r="M32"/>
      <c r="S32" s="330"/>
    </row>
    <row r="33" spans="1:19" x14ac:dyDescent="0.2">
      <c r="A33" s="135" t="s">
        <v>416</v>
      </c>
      <c r="B33" s="136" t="s">
        <v>294</v>
      </c>
      <c r="C33" s="142">
        <v>7141</v>
      </c>
      <c r="D33" s="138" t="s">
        <v>710</v>
      </c>
      <c r="E33" s="139" t="s">
        <v>538</v>
      </c>
      <c r="F33" s="118">
        <v>1</v>
      </c>
      <c r="G33" s="140">
        <v>4</v>
      </c>
      <c r="H33" s="501"/>
      <c r="I33" s="141">
        <f t="shared" si="0"/>
        <v>0</v>
      </c>
      <c r="J33"/>
      <c r="K33"/>
      <c r="L33"/>
      <c r="M33"/>
      <c r="S33" s="330"/>
    </row>
    <row r="34" spans="1:19" x14ac:dyDescent="0.2">
      <c r="A34" s="135" t="s">
        <v>417</v>
      </c>
      <c r="B34" s="136" t="s">
        <v>294</v>
      </c>
      <c r="C34" s="142">
        <v>122</v>
      </c>
      <c r="D34" s="138" t="s">
        <v>592</v>
      </c>
      <c r="E34" s="139" t="s">
        <v>538</v>
      </c>
      <c r="F34" s="118">
        <v>3.5000000000000003E-2</v>
      </c>
      <c r="G34" s="140">
        <v>7.0000000000000007E-2</v>
      </c>
      <c r="H34" s="501"/>
      <c r="I34" s="141">
        <f t="shared" si="0"/>
        <v>0</v>
      </c>
      <c r="J34"/>
      <c r="K34"/>
      <c r="L34"/>
      <c r="M34"/>
      <c r="S34" s="330"/>
    </row>
    <row r="35" spans="1:19" x14ac:dyDescent="0.2">
      <c r="A35" s="135" t="s">
        <v>417</v>
      </c>
      <c r="B35" s="136" t="s">
        <v>294</v>
      </c>
      <c r="C35" s="142">
        <v>38383</v>
      </c>
      <c r="D35" s="138" t="s">
        <v>673</v>
      </c>
      <c r="E35" s="139" t="s">
        <v>538</v>
      </c>
      <c r="F35" s="118">
        <v>4.2999999999999997E-2</v>
      </c>
      <c r="G35" s="140">
        <v>8.5999999999999993E-2</v>
      </c>
      <c r="H35" s="501"/>
      <c r="I35" s="141">
        <f t="shared" si="0"/>
        <v>0</v>
      </c>
      <c r="J35"/>
      <c r="K35"/>
      <c r="L35"/>
      <c r="M35"/>
      <c r="S35" s="330"/>
    </row>
    <row r="36" spans="1:19" x14ac:dyDescent="0.2">
      <c r="A36" s="135" t="s">
        <v>417</v>
      </c>
      <c r="B36" s="136" t="s">
        <v>294</v>
      </c>
      <c r="C36" s="142">
        <v>20083</v>
      </c>
      <c r="D36" s="138" t="s">
        <v>698</v>
      </c>
      <c r="E36" s="139" t="s">
        <v>538</v>
      </c>
      <c r="F36" s="118">
        <v>4.4999999999999998E-2</v>
      </c>
      <c r="G36" s="140">
        <v>0.09</v>
      </c>
      <c r="H36" s="501"/>
      <c r="I36" s="141">
        <f t="shared" ref="I36:I66" si="1">IFERROR(H36*G36,"")</f>
        <v>0</v>
      </c>
      <c r="J36"/>
      <c r="K36"/>
      <c r="L36"/>
      <c r="M36"/>
      <c r="S36" s="330"/>
    </row>
    <row r="37" spans="1:19" x14ac:dyDescent="0.2">
      <c r="A37" s="135" t="s">
        <v>417</v>
      </c>
      <c r="B37" s="136" t="s">
        <v>294</v>
      </c>
      <c r="C37" s="142">
        <v>7143</v>
      </c>
      <c r="D37" s="138" t="s">
        <v>711</v>
      </c>
      <c r="E37" s="139" t="s">
        <v>538</v>
      </c>
      <c r="F37" s="118">
        <v>1</v>
      </c>
      <c r="G37" s="140">
        <v>2</v>
      </c>
      <c r="H37" s="501"/>
      <c r="I37" s="141">
        <f t="shared" si="1"/>
        <v>0</v>
      </c>
      <c r="J37"/>
      <c r="K37"/>
      <c r="L37"/>
      <c r="M37"/>
      <c r="S37" s="330"/>
    </row>
    <row r="38" spans="1:19" x14ac:dyDescent="0.2">
      <c r="A38" s="135" t="s">
        <v>418</v>
      </c>
      <c r="B38" s="136" t="s">
        <v>294</v>
      </c>
      <c r="C38" s="142">
        <v>20080</v>
      </c>
      <c r="D38" s="138" t="s">
        <v>593</v>
      </c>
      <c r="E38" s="139" t="s">
        <v>538</v>
      </c>
      <c r="F38" s="118">
        <v>0.23100000000000001</v>
      </c>
      <c r="G38" s="140">
        <v>0.92400000000000004</v>
      </c>
      <c r="H38" s="501"/>
      <c r="I38" s="141">
        <f t="shared" si="1"/>
        <v>0</v>
      </c>
      <c r="J38"/>
      <c r="K38"/>
      <c r="L38"/>
      <c r="M38"/>
      <c r="S38" s="330"/>
    </row>
    <row r="39" spans="1:19" x14ac:dyDescent="0.2">
      <c r="A39" s="135" t="s">
        <v>418</v>
      </c>
      <c r="B39" s="136" t="s">
        <v>294</v>
      </c>
      <c r="C39" s="142">
        <v>38383</v>
      </c>
      <c r="D39" s="138" t="s">
        <v>673</v>
      </c>
      <c r="E39" s="139" t="s">
        <v>538</v>
      </c>
      <c r="F39" s="118">
        <v>5.5E-2</v>
      </c>
      <c r="G39" s="140">
        <v>0.22</v>
      </c>
      <c r="H39" s="501"/>
      <c r="I39" s="141">
        <f t="shared" si="1"/>
        <v>0</v>
      </c>
      <c r="J39"/>
      <c r="K39"/>
      <c r="L39"/>
      <c r="M39"/>
      <c r="S39" s="330"/>
    </row>
    <row r="40" spans="1:19" x14ac:dyDescent="0.2">
      <c r="A40" s="135" t="s">
        <v>418</v>
      </c>
      <c r="B40" s="136" t="s">
        <v>294</v>
      </c>
      <c r="C40" s="142">
        <v>20083</v>
      </c>
      <c r="D40" s="138" t="s">
        <v>698</v>
      </c>
      <c r="E40" s="139" t="s">
        <v>538</v>
      </c>
      <c r="F40" s="118">
        <v>6.2E-2</v>
      </c>
      <c r="G40" s="140">
        <v>0.248</v>
      </c>
      <c r="H40" s="501"/>
      <c r="I40" s="141">
        <f t="shared" si="1"/>
        <v>0</v>
      </c>
      <c r="J40"/>
      <c r="K40"/>
      <c r="L40"/>
      <c r="M40"/>
      <c r="S40" s="330"/>
    </row>
    <row r="41" spans="1:19" x14ac:dyDescent="0.2">
      <c r="A41" s="135" t="s">
        <v>418</v>
      </c>
      <c r="B41" s="136" t="s">
        <v>294</v>
      </c>
      <c r="C41" s="142">
        <v>7144</v>
      </c>
      <c r="D41" s="138" t="s">
        <v>712</v>
      </c>
      <c r="E41" s="139" t="s">
        <v>538</v>
      </c>
      <c r="F41" s="118">
        <v>1</v>
      </c>
      <c r="G41" s="140">
        <v>4</v>
      </c>
      <c r="H41" s="501"/>
      <c r="I41" s="141">
        <f t="shared" si="1"/>
        <v>0</v>
      </c>
      <c r="J41"/>
      <c r="K41"/>
      <c r="L41"/>
      <c r="M41"/>
      <c r="S41" s="330"/>
    </row>
    <row r="42" spans="1:19" x14ac:dyDescent="0.2">
      <c r="A42" s="135" t="s">
        <v>419</v>
      </c>
      <c r="B42" s="136" t="s">
        <v>294</v>
      </c>
      <c r="C42" s="142">
        <v>122</v>
      </c>
      <c r="D42" s="138" t="s">
        <v>592</v>
      </c>
      <c r="E42" s="139" t="s">
        <v>538</v>
      </c>
      <c r="F42" s="118">
        <v>1.7999999999999999E-2</v>
      </c>
      <c r="G42" s="140">
        <v>5.3999999999999992E-2</v>
      </c>
      <c r="H42" s="501"/>
      <c r="I42" s="141">
        <f t="shared" si="1"/>
        <v>0</v>
      </c>
      <c r="J42"/>
      <c r="K42"/>
      <c r="L42"/>
      <c r="M42"/>
      <c r="S42" s="330"/>
    </row>
    <row r="43" spans="1:19" x14ac:dyDescent="0.2">
      <c r="A43" s="135" t="s">
        <v>419</v>
      </c>
      <c r="B43" s="136" t="s">
        <v>294</v>
      </c>
      <c r="C43" s="142">
        <v>38383</v>
      </c>
      <c r="D43" s="138" t="s">
        <v>673</v>
      </c>
      <c r="E43" s="139" t="s">
        <v>538</v>
      </c>
      <c r="F43" s="118">
        <v>0.03</v>
      </c>
      <c r="G43" s="140">
        <v>0.09</v>
      </c>
      <c r="H43" s="501"/>
      <c r="I43" s="141">
        <f t="shared" si="1"/>
        <v>0</v>
      </c>
      <c r="J43"/>
      <c r="K43"/>
      <c r="L43"/>
      <c r="M43"/>
      <c r="S43" s="330"/>
    </row>
    <row r="44" spans="1:19" x14ac:dyDescent="0.2">
      <c r="A44" s="135" t="s">
        <v>419</v>
      </c>
      <c r="B44" s="136" t="s">
        <v>294</v>
      </c>
      <c r="C44" s="142">
        <v>20083</v>
      </c>
      <c r="D44" s="138" t="s">
        <v>698</v>
      </c>
      <c r="E44" s="139" t="s">
        <v>538</v>
      </c>
      <c r="F44" s="118">
        <v>2.1000000000000001E-2</v>
      </c>
      <c r="G44" s="140">
        <v>6.3E-2</v>
      </c>
      <c r="H44" s="501"/>
      <c r="I44" s="141">
        <f t="shared" si="1"/>
        <v>0</v>
      </c>
      <c r="J44"/>
      <c r="K44"/>
      <c r="L44"/>
      <c r="M44"/>
      <c r="S44" s="330"/>
    </row>
    <row r="45" spans="1:19" ht="22.5" x14ac:dyDescent="0.2">
      <c r="A45" s="135" t="s">
        <v>419</v>
      </c>
      <c r="B45" s="136" t="s">
        <v>294</v>
      </c>
      <c r="C45" s="142">
        <v>7128</v>
      </c>
      <c r="D45" s="138" t="s">
        <v>702</v>
      </c>
      <c r="E45" s="139" t="s">
        <v>538</v>
      </c>
      <c r="F45" s="118">
        <v>1</v>
      </c>
      <c r="G45" s="140">
        <v>3</v>
      </c>
      <c r="H45" s="501"/>
      <c r="I45" s="141">
        <f t="shared" si="1"/>
        <v>0</v>
      </c>
      <c r="J45"/>
      <c r="K45"/>
      <c r="L45"/>
      <c r="M45"/>
      <c r="S45" s="330"/>
    </row>
    <row r="46" spans="1:19" x14ac:dyDescent="0.2">
      <c r="A46" s="135" t="s">
        <v>420</v>
      </c>
      <c r="B46" s="136" t="s">
        <v>294</v>
      </c>
      <c r="C46" s="142">
        <v>122</v>
      </c>
      <c r="D46" s="138" t="s">
        <v>592</v>
      </c>
      <c r="E46" s="139" t="s">
        <v>538</v>
      </c>
      <c r="F46" s="118">
        <v>6.0000000000000001E-3</v>
      </c>
      <c r="G46" s="140">
        <v>0.17400000000000002</v>
      </c>
      <c r="H46" s="501"/>
      <c r="I46" s="141">
        <f t="shared" si="1"/>
        <v>0</v>
      </c>
      <c r="J46"/>
      <c r="K46"/>
      <c r="L46"/>
      <c r="M46"/>
      <c r="S46" s="330"/>
    </row>
    <row r="47" spans="1:19" ht="22.5" x14ac:dyDescent="0.2">
      <c r="A47" s="135" t="s">
        <v>420</v>
      </c>
      <c r="B47" s="136" t="s">
        <v>294</v>
      </c>
      <c r="C47" s="142">
        <v>3542</v>
      </c>
      <c r="D47" s="138" t="s">
        <v>655</v>
      </c>
      <c r="E47" s="139" t="s">
        <v>538</v>
      </c>
      <c r="F47" s="118">
        <v>1</v>
      </c>
      <c r="G47" s="140">
        <v>29</v>
      </c>
      <c r="H47" s="501"/>
      <c r="I47" s="141">
        <f t="shared" si="1"/>
        <v>0</v>
      </c>
      <c r="J47"/>
      <c r="K47"/>
      <c r="L47"/>
      <c r="M47"/>
      <c r="S47" s="330"/>
    </row>
    <row r="48" spans="1:19" x14ac:dyDescent="0.2">
      <c r="A48" s="135" t="s">
        <v>420</v>
      </c>
      <c r="B48" s="136" t="s">
        <v>294</v>
      </c>
      <c r="C48" s="142">
        <v>38383</v>
      </c>
      <c r="D48" s="138" t="s">
        <v>673</v>
      </c>
      <c r="E48" s="139" t="s">
        <v>538</v>
      </c>
      <c r="F48" s="118">
        <v>2.5999999999999999E-2</v>
      </c>
      <c r="G48" s="140">
        <v>0.754</v>
      </c>
      <c r="H48" s="501"/>
      <c r="I48" s="141">
        <f t="shared" si="1"/>
        <v>0</v>
      </c>
      <c r="J48"/>
      <c r="K48"/>
      <c r="L48"/>
      <c r="M48"/>
      <c r="S48" s="330"/>
    </row>
    <row r="49" spans="1:19" x14ac:dyDescent="0.2">
      <c r="A49" s="135" t="s">
        <v>420</v>
      </c>
      <c r="B49" s="136" t="s">
        <v>294</v>
      </c>
      <c r="C49" s="142">
        <v>20083</v>
      </c>
      <c r="D49" s="138" t="s">
        <v>698</v>
      </c>
      <c r="E49" s="139" t="s">
        <v>538</v>
      </c>
      <c r="F49" s="118">
        <v>6.0000000000000001E-3</v>
      </c>
      <c r="G49" s="140">
        <v>0.17400000000000002</v>
      </c>
      <c r="H49" s="501"/>
      <c r="I49" s="141">
        <f t="shared" si="1"/>
        <v>0</v>
      </c>
      <c r="J49"/>
      <c r="K49"/>
      <c r="L49"/>
      <c r="M49"/>
      <c r="S49" s="330"/>
    </row>
    <row r="50" spans="1:19" x14ac:dyDescent="0.2">
      <c r="A50" s="135" t="s">
        <v>421</v>
      </c>
      <c r="B50" s="136" t="s">
        <v>294</v>
      </c>
      <c r="C50" s="142">
        <v>122</v>
      </c>
      <c r="D50" s="138" t="s">
        <v>592</v>
      </c>
      <c r="E50" s="139" t="s">
        <v>538</v>
      </c>
      <c r="F50" s="118">
        <v>7.0000000000000001E-3</v>
      </c>
      <c r="G50" s="140">
        <v>4.2000000000000003E-2</v>
      </c>
      <c r="H50" s="501"/>
      <c r="I50" s="141">
        <f t="shared" si="1"/>
        <v>0</v>
      </c>
      <c r="J50"/>
      <c r="K50"/>
      <c r="L50"/>
      <c r="M50"/>
      <c r="S50" s="330"/>
    </row>
    <row r="51" spans="1:19" ht="22.5" x14ac:dyDescent="0.2">
      <c r="A51" s="135" t="s">
        <v>421</v>
      </c>
      <c r="B51" s="136" t="s">
        <v>294</v>
      </c>
      <c r="C51" s="142">
        <v>3529</v>
      </c>
      <c r="D51" s="138" t="s">
        <v>656</v>
      </c>
      <c r="E51" s="139" t="s">
        <v>538</v>
      </c>
      <c r="F51" s="118">
        <v>1</v>
      </c>
      <c r="G51" s="140">
        <v>6</v>
      </c>
      <c r="H51" s="501"/>
      <c r="I51" s="141">
        <f t="shared" si="1"/>
        <v>0</v>
      </c>
      <c r="J51"/>
      <c r="K51"/>
      <c r="L51"/>
      <c r="M51"/>
      <c r="S51" s="330"/>
    </row>
    <row r="52" spans="1:19" x14ac:dyDescent="0.2">
      <c r="A52" s="135" t="s">
        <v>421</v>
      </c>
      <c r="B52" s="136" t="s">
        <v>294</v>
      </c>
      <c r="C52" s="142">
        <v>38383</v>
      </c>
      <c r="D52" s="138" t="s">
        <v>673</v>
      </c>
      <c r="E52" s="139" t="s">
        <v>538</v>
      </c>
      <c r="F52" s="118">
        <v>1.2999999999999999E-2</v>
      </c>
      <c r="G52" s="140">
        <v>7.8E-2</v>
      </c>
      <c r="H52" s="501"/>
      <c r="I52" s="141">
        <f t="shared" si="1"/>
        <v>0</v>
      </c>
      <c r="J52"/>
      <c r="K52"/>
      <c r="L52"/>
      <c r="M52"/>
      <c r="S52" s="330"/>
    </row>
    <row r="53" spans="1:19" x14ac:dyDescent="0.2">
      <c r="A53" s="135" t="s">
        <v>421</v>
      </c>
      <c r="B53" s="136" t="s">
        <v>294</v>
      </c>
      <c r="C53" s="142">
        <v>20083</v>
      </c>
      <c r="D53" s="138" t="s">
        <v>698</v>
      </c>
      <c r="E53" s="139" t="s">
        <v>538</v>
      </c>
      <c r="F53" s="118">
        <v>8.0000000000000002E-3</v>
      </c>
      <c r="G53" s="140">
        <v>4.8000000000000001E-2</v>
      </c>
      <c r="H53" s="501"/>
      <c r="I53" s="141">
        <f t="shared" si="1"/>
        <v>0</v>
      </c>
      <c r="J53"/>
      <c r="K53"/>
      <c r="L53"/>
      <c r="M53"/>
      <c r="S53" s="330"/>
    </row>
    <row r="54" spans="1:19" x14ac:dyDescent="0.2">
      <c r="A54" s="135" t="s">
        <v>422</v>
      </c>
      <c r="B54" s="136" t="s">
        <v>294</v>
      </c>
      <c r="C54" s="142">
        <v>122</v>
      </c>
      <c r="D54" s="138" t="s">
        <v>592</v>
      </c>
      <c r="E54" s="139" t="s">
        <v>538</v>
      </c>
      <c r="F54" s="118">
        <v>8.9999999999999993E-3</v>
      </c>
      <c r="G54" s="140">
        <v>2.6999999999999996E-2</v>
      </c>
      <c r="H54" s="501"/>
      <c r="I54" s="141">
        <f t="shared" si="1"/>
        <v>0</v>
      </c>
      <c r="J54"/>
      <c r="K54"/>
      <c r="L54"/>
      <c r="M54"/>
      <c r="S54" s="330"/>
    </row>
    <row r="55" spans="1:19" ht="22.5" x14ac:dyDescent="0.2">
      <c r="A55" s="135" t="s">
        <v>422</v>
      </c>
      <c r="B55" s="136" t="s">
        <v>294</v>
      </c>
      <c r="C55" s="142">
        <v>3536</v>
      </c>
      <c r="D55" s="138" t="s">
        <v>657</v>
      </c>
      <c r="E55" s="139" t="s">
        <v>538</v>
      </c>
      <c r="F55" s="118">
        <v>1</v>
      </c>
      <c r="G55" s="140">
        <v>3</v>
      </c>
      <c r="H55" s="501"/>
      <c r="I55" s="141">
        <f t="shared" si="1"/>
        <v>0</v>
      </c>
      <c r="J55"/>
      <c r="K55"/>
      <c r="L55"/>
      <c r="M55"/>
      <c r="S55" s="330"/>
    </row>
    <row r="56" spans="1:19" x14ac:dyDescent="0.2">
      <c r="A56" s="135" t="s">
        <v>422</v>
      </c>
      <c r="B56" s="136" t="s">
        <v>294</v>
      </c>
      <c r="C56" s="142">
        <v>38383</v>
      </c>
      <c r="D56" s="138" t="s">
        <v>673</v>
      </c>
      <c r="E56" s="139" t="s">
        <v>538</v>
      </c>
      <c r="F56" s="118">
        <v>1.7000000000000001E-2</v>
      </c>
      <c r="G56" s="140">
        <v>5.1000000000000004E-2</v>
      </c>
      <c r="H56" s="501"/>
      <c r="I56" s="141">
        <f t="shared" si="1"/>
        <v>0</v>
      </c>
      <c r="J56"/>
      <c r="K56"/>
      <c r="L56"/>
      <c r="M56"/>
      <c r="S56" s="330"/>
    </row>
    <row r="57" spans="1:19" x14ac:dyDescent="0.2">
      <c r="A57" s="135" t="s">
        <v>422</v>
      </c>
      <c r="B57" s="136" t="s">
        <v>294</v>
      </c>
      <c r="C57" s="142">
        <v>20083</v>
      </c>
      <c r="D57" s="138" t="s">
        <v>698</v>
      </c>
      <c r="E57" s="139" t="s">
        <v>538</v>
      </c>
      <c r="F57" s="118">
        <v>1.0999999999999999E-2</v>
      </c>
      <c r="G57" s="140">
        <v>3.3000000000000002E-2</v>
      </c>
      <c r="H57" s="501"/>
      <c r="I57" s="141">
        <f t="shared" si="1"/>
        <v>0</v>
      </c>
      <c r="J57"/>
      <c r="K57"/>
      <c r="L57"/>
      <c r="M57"/>
      <c r="S57" s="330"/>
    </row>
    <row r="58" spans="1:19" x14ac:dyDescent="0.2">
      <c r="A58" s="135" t="s">
        <v>423</v>
      </c>
      <c r="B58" s="136" t="s">
        <v>294</v>
      </c>
      <c r="C58" s="142">
        <v>122</v>
      </c>
      <c r="D58" s="138" t="s">
        <v>592</v>
      </c>
      <c r="E58" s="139" t="s">
        <v>538</v>
      </c>
      <c r="F58" s="118">
        <v>1.2E-2</v>
      </c>
      <c r="G58" s="140">
        <v>0.156</v>
      </c>
      <c r="H58" s="501"/>
      <c r="I58" s="141">
        <f t="shared" si="1"/>
        <v>0</v>
      </c>
      <c r="J58"/>
      <c r="K58"/>
      <c r="L58"/>
      <c r="M58"/>
      <c r="S58" s="330"/>
    </row>
    <row r="59" spans="1:19" ht="22.5" x14ac:dyDescent="0.2">
      <c r="A59" s="135" t="s">
        <v>423</v>
      </c>
      <c r="B59" s="136" t="s">
        <v>294</v>
      </c>
      <c r="C59" s="142">
        <v>3535</v>
      </c>
      <c r="D59" s="138" t="s">
        <v>658</v>
      </c>
      <c r="E59" s="139" t="s">
        <v>538</v>
      </c>
      <c r="F59" s="118">
        <v>1</v>
      </c>
      <c r="G59" s="140">
        <v>13</v>
      </c>
      <c r="H59" s="501"/>
      <c r="I59" s="141">
        <f t="shared" si="1"/>
        <v>0</v>
      </c>
      <c r="J59"/>
      <c r="K59"/>
      <c r="L59"/>
      <c r="M59"/>
      <c r="S59" s="330"/>
    </row>
    <row r="60" spans="1:19" x14ac:dyDescent="0.2">
      <c r="A60" s="135" t="s">
        <v>423</v>
      </c>
      <c r="B60" s="136" t="s">
        <v>294</v>
      </c>
      <c r="C60" s="142">
        <v>38383</v>
      </c>
      <c r="D60" s="138" t="s">
        <v>673</v>
      </c>
      <c r="E60" s="139" t="s">
        <v>538</v>
      </c>
      <c r="F60" s="118">
        <v>0.02</v>
      </c>
      <c r="G60" s="140">
        <v>0.26</v>
      </c>
      <c r="H60" s="501"/>
      <c r="I60" s="141">
        <f t="shared" si="1"/>
        <v>0</v>
      </c>
      <c r="J60"/>
      <c r="K60"/>
      <c r="L60"/>
      <c r="M60"/>
      <c r="S60" s="330"/>
    </row>
    <row r="61" spans="1:19" x14ac:dyDescent="0.2">
      <c r="A61" s="135" t="s">
        <v>423</v>
      </c>
      <c r="B61" s="136" t="s">
        <v>294</v>
      </c>
      <c r="C61" s="142">
        <v>20083</v>
      </c>
      <c r="D61" s="138" t="s">
        <v>698</v>
      </c>
      <c r="E61" s="139" t="s">
        <v>538</v>
      </c>
      <c r="F61" s="118">
        <v>1.4E-2</v>
      </c>
      <c r="G61" s="140">
        <v>0.182</v>
      </c>
      <c r="H61" s="501"/>
      <c r="I61" s="141">
        <f t="shared" si="1"/>
        <v>0</v>
      </c>
      <c r="J61"/>
      <c r="K61"/>
      <c r="L61"/>
      <c r="M61"/>
      <c r="S61" s="330"/>
    </row>
    <row r="62" spans="1:19" x14ac:dyDescent="0.2">
      <c r="A62" s="135" t="s">
        <v>424</v>
      </c>
      <c r="B62" s="136" t="s">
        <v>294</v>
      </c>
      <c r="C62" s="142">
        <v>122</v>
      </c>
      <c r="D62" s="138" t="s">
        <v>592</v>
      </c>
      <c r="E62" s="139" t="s">
        <v>538</v>
      </c>
      <c r="F62" s="118">
        <v>0.04</v>
      </c>
      <c r="G62" s="140">
        <v>0.16</v>
      </c>
      <c r="H62" s="501"/>
      <c r="I62" s="141">
        <f t="shared" si="1"/>
        <v>0</v>
      </c>
      <c r="J62"/>
      <c r="K62"/>
      <c r="L62"/>
      <c r="M62"/>
      <c r="S62" s="330"/>
    </row>
    <row r="63" spans="1:19" ht="22.5" x14ac:dyDescent="0.2">
      <c r="A63" s="135" t="s">
        <v>424</v>
      </c>
      <c r="B63" s="136" t="s">
        <v>294</v>
      </c>
      <c r="C63" s="142">
        <v>3511</v>
      </c>
      <c r="D63" s="138" t="s">
        <v>660</v>
      </c>
      <c r="E63" s="139" t="s">
        <v>538</v>
      </c>
      <c r="F63" s="118">
        <v>1</v>
      </c>
      <c r="G63" s="140">
        <v>4</v>
      </c>
      <c r="H63" s="501"/>
      <c r="I63" s="141">
        <f t="shared" si="1"/>
        <v>0</v>
      </c>
      <c r="J63"/>
      <c r="K63"/>
      <c r="L63"/>
      <c r="M63"/>
      <c r="S63" s="330"/>
    </row>
    <row r="64" spans="1:19" x14ac:dyDescent="0.2">
      <c r="A64" s="135" t="s">
        <v>424</v>
      </c>
      <c r="B64" s="136" t="s">
        <v>294</v>
      </c>
      <c r="C64" s="142">
        <v>38383</v>
      </c>
      <c r="D64" s="138" t="s">
        <v>673</v>
      </c>
      <c r="E64" s="139" t="s">
        <v>538</v>
      </c>
      <c r="F64" s="118">
        <v>3.5000000000000003E-2</v>
      </c>
      <c r="G64" s="140">
        <v>0.14000000000000001</v>
      </c>
      <c r="H64" s="501"/>
      <c r="I64" s="141">
        <f t="shared" si="1"/>
        <v>0</v>
      </c>
      <c r="J64"/>
      <c r="K64"/>
      <c r="L64"/>
      <c r="M64"/>
      <c r="S64" s="330"/>
    </row>
    <row r="65" spans="1:19" x14ac:dyDescent="0.2">
      <c r="A65" s="135" t="s">
        <v>424</v>
      </c>
      <c r="B65" s="136" t="s">
        <v>294</v>
      </c>
      <c r="C65" s="142">
        <v>20083</v>
      </c>
      <c r="D65" s="138" t="s">
        <v>698</v>
      </c>
      <c r="E65" s="139" t="s">
        <v>538</v>
      </c>
      <c r="F65" s="118">
        <v>5.1999999999999998E-2</v>
      </c>
      <c r="G65" s="140">
        <v>0.20799999999999999</v>
      </c>
      <c r="H65" s="501"/>
      <c r="I65" s="141">
        <f t="shared" si="1"/>
        <v>0</v>
      </c>
      <c r="J65"/>
      <c r="K65"/>
      <c r="L65"/>
      <c r="M65"/>
      <c r="S65" s="330"/>
    </row>
    <row r="66" spans="1:19" x14ac:dyDescent="0.2">
      <c r="A66" s="135" t="s">
        <v>425</v>
      </c>
      <c r="B66" s="136" t="s">
        <v>294</v>
      </c>
      <c r="C66" s="142">
        <v>122</v>
      </c>
      <c r="D66" s="138" t="s">
        <v>592</v>
      </c>
      <c r="E66" s="139" t="s">
        <v>538</v>
      </c>
      <c r="F66" s="118">
        <v>7.0000000000000001E-3</v>
      </c>
      <c r="G66" s="140">
        <v>2.8000000000000001E-2</v>
      </c>
      <c r="H66" s="501"/>
      <c r="I66" s="141">
        <f t="shared" si="1"/>
        <v>0</v>
      </c>
      <c r="J66"/>
      <c r="K66"/>
      <c r="L66"/>
      <c r="M66"/>
      <c r="S66" s="330"/>
    </row>
    <row r="67" spans="1:19" ht="22.5" x14ac:dyDescent="0.2">
      <c r="A67" s="135" t="s">
        <v>425</v>
      </c>
      <c r="B67" s="136" t="s">
        <v>294</v>
      </c>
      <c r="C67" s="142">
        <v>3500</v>
      </c>
      <c r="D67" s="138" t="s">
        <v>659</v>
      </c>
      <c r="E67" s="139" t="s">
        <v>538</v>
      </c>
      <c r="F67" s="118">
        <v>1</v>
      </c>
      <c r="G67" s="140">
        <v>4</v>
      </c>
      <c r="H67" s="501"/>
      <c r="I67" s="141">
        <f t="shared" ref="I67:I130" si="2">IFERROR(H67*G67,"")</f>
        <v>0</v>
      </c>
      <c r="J67"/>
      <c r="K67"/>
      <c r="L67"/>
      <c r="M67"/>
      <c r="S67" s="330"/>
    </row>
    <row r="68" spans="1:19" x14ac:dyDescent="0.2">
      <c r="A68" s="135" t="s">
        <v>425</v>
      </c>
      <c r="B68" s="136" t="s">
        <v>294</v>
      </c>
      <c r="C68" s="142">
        <v>38383</v>
      </c>
      <c r="D68" s="138" t="s">
        <v>673</v>
      </c>
      <c r="E68" s="139" t="s">
        <v>538</v>
      </c>
      <c r="F68" s="118">
        <v>1.2999999999999999E-2</v>
      </c>
      <c r="G68" s="140">
        <v>5.1999999999999998E-2</v>
      </c>
      <c r="H68" s="501"/>
      <c r="I68" s="141">
        <f t="shared" si="2"/>
        <v>0</v>
      </c>
      <c r="J68"/>
      <c r="K68"/>
      <c r="L68"/>
      <c r="M68"/>
      <c r="S68" s="330"/>
    </row>
    <row r="69" spans="1:19" x14ac:dyDescent="0.2">
      <c r="A69" s="135" t="s">
        <v>425</v>
      </c>
      <c r="B69" s="136" t="s">
        <v>294</v>
      </c>
      <c r="C69" s="142">
        <v>20083</v>
      </c>
      <c r="D69" s="138" t="s">
        <v>698</v>
      </c>
      <c r="E69" s="139" t="s">
        <v>538</v>
      </c>
      <c r="F69" s="118">
        <v>8.0000000000000002E-3</v>
      </c>
      <c r="G69" s="140">
        <v>3.2000000000000001E-2</v>
      </c>
      <c r="H69" s="501"/>
      <c r="I69" s="141">
        <f t="shared" si="2"/>
        <v>0</v>
      </c>
      <c r="J69"/>
      <c r="K69"/>
      <c r="L69"/>
      <c r="M69"/>
      <c r="S69" s="330"/>
    </row>
    <row r="70" spans="1:19" x14ac:dyDescent="0.2">
      <c r="A70" s="135" t="s">
        <v>426</v>
      </c>
      <c r="B70" s="136" t="s">
        <v>294</v>
      </c>
      <c r="C70" s="142">
        <v>3143</v>
      </c>
      <c r="D70" s="138" t="s">
        <v>640</v>
      </c>
      <c r="E70" s="139" t="s">
        <v>538</v>
      </c>
      <c r="F70" s="118">
        <v>3.7999999999999999E-2</v>
      </c>
      <c r="G70" s="140">
        <v>3.7999999999999999E-2</v>
      </c>
      <c r="H70" s="501"/>
      <c r="I70" s="141">
        <f t="shared" si="2"/>
        <v>0</v>
      </c>
      <c r="J70"/>
      <c r="K70"/>
      <c r="L70"/>
      <c r="M70"/>
      <c r="S70" s="330"/>
    </row>
    <row r="71" spans="1:19" x14ac:dyDescent="0.2">
      <c r="A71" s="135" t="s">
        <v>426</v>
      </c>
      <c r="B71" s="136" t="s">
        <v>294</v>
      </c>
      <c r="C71" s="142">
        <v>4212</v>
      </c>
      <c r="D71" s="138" t="e">
        <v>#N/A</v>
      </c>
      <c r="E71" s="139" t="e">
        <v>#N/A</v>
      </c>
      <c r="F71" s="118">
        <v>1</v>
      </c>
      <c r="G71" s="140">
        <v>1</v>
      </c>
      <c r="H71" s="501"/>
      <c r="I71" s="141">
        <f t="shared" si="2"/>
        <v>0</v>
      </c>
      <c r="J71"/>
      <c r="K71"/>
      <c r="L71"/>
      <c r="M71"/>
      <c r="S71" s="330"/>
    </row>
    <row r="72" spans="1:19" x14ac:dyDescent="0.2">
      <c r="A72" s="135" t="s">
        <v>427</v>
      </c>
      <c r="B72" s="136" t="s">
        <v>294</v>
      </c>
      <c r="C72" s="142">
        <v>3143</v>
      </c>
      <c r="D72" s="138" t="s">
        <v>640</v>
      </c>
      <c r="E72" s="139" t="s">
        <v>538</v>
      </c>
      <c r="F72" s="118">
        <v>2.4E-2</v>
      </c>
      <c r="G72" s="140">
        <v>0.12</v>
      </c>
      <c r="H72" s="501"/>
      <c r="I72" s="141">
        <f t="shared" si="2"/>
        <v>0</v>
      </c>
      <c r="J72"/>
      <c r="K72"/>
      <c r="L72"/>
      <c r="M72"/>
      <c r="S72" s="330"/>
    </row>
    <row r="73" spans="1:19" x14ac:dyDescent="0.2">
      <c r="A73" s="135" t="s">
        <v>427</v>
      </c>
      <c r="B73" s="136" t="s">
        <v>294</v>
      </c>
      <c r="C73" s="142">
        <v>4210</v>
      </c>
      <c r="D73" s="138" t="e">
        <v>#N/A</v>
      </c>
      <c r="E73" s="139" t="e">
        <v>#N/A</v>
      </c>
      <c r="F73" s="118">
        <v>1</v>
      </c>
      <c r="G73" s="140">
        <v>5</v>
      </c>
      <c r="H73" s="501"/>
      <c r="I73" s="141">
        <f t="shared" si="2"/>
        <v>0</v>
      </c>
      <c r="J73"/>
      <c r="K73"/>
      <c r="L73"/>
      <c r="M73"/>
      <c r="S73" s="330"/>
    </row>
    <row r="74" spans="1:19" ht="22.5" x14ac:dyDescent="0.2">
      <c r="A74" s="135" t="s">
        <v>428</v>
      </c>
      <c r="B74" s="136" t="s">
        <v>294</v>
      </c>
      <c r="C74" s="142">
        <v>298</v>
      </c>
      <c r="D74" s="138" t="s">
        <v>598</v>
      </c>
      <c r="E74" s="139" t="s">
        <v>538</v>
      </c>
      <c r="F74" s="118">
        <v>1</v>
      </c>
      <c r="G74" s="140">
        <v>1</v>
      </c>
      <c r="H74" s="501"/>
      <c r="I74" s="141">
        <f t="shared" si="2"/>
        <v>0</v>
      </c>
      <c r="J74"/>
      <c r="K74"/>
      <c r="L74"/>
      <c r="M74"/>
      <c r="S74" s="330"/>
    </row>
    <row r="75" spans="1:19" ht="22.5" x14ac:dyDescent="0.2">
      <c r="A75" s="135" t="s">
        <v>428</v>
      </c>
      <c r="B75" s="136" t="s">
        <v>294</v>
      </c>
      <c r="C75" s="142">
        <v>20078</v>
      </c>
      <c r="D75" s="138" t="s">
        <v>690</v>
      </c>
      <c r="E75" s="139" t="s">
        <v>538</v>
      </c>
      <c r="F75" s="118">
        <v>0.03</v>
      </c>
      <c r="G75" s="140">
        <v>0.03</v>
      </c>
      <c r="H75" s="501"/>
      <c r="I75" s="141">
        <f t="shared" si="2"/>
        <v>0</v>
      </c>
      <c r="J75"/>
      <c r="K75"/>
      <c r="L75"/>
      <c r="M75"/>
      <c r="S75" s="330"/>
    </row>
    <row r="76" spans="1:19" x14ac:dyDescent="0.2">
      <c r="A76" s="135" t="s">
        <v>428</v>
      </c>
      <c r="B76" s="136" t="s">
        <v>294</v>
      </c>
      <c r="C76" s="142">
        <v>20045</v>
      </c>
      <c r="D76" s="138" t="s">
        <v>695</v>
      </c>
      <c r="E76" s="139" t="s">
        <v>538</v>
      </c>
      <c r="F76" s="118">
        <v>1</v>
      </c>
      <c r="G76" s="140">
        <v>1</v>
      </c>
      <c r="H76" s="501"/>
      <c r="I76" s="141">
        <f t="shared" si="2"/>
        <v>0</v>
      </c>
      <c r="J76"/>
      <c r="K76"/>
      <c r="L76"/>
      <c r="M76"/>
      <c r="S76" s="330"/>
    </row>
    <row r="77" spans="1:19" x14ac:dyDescent="0.2">
      <c r="A77" s="135" t="s">
        <v>429</v>
      </c>
      <c r="B77" s="136" t="s">
        <v>294</v>
      </c>
      <c r="C77" s="142">
        <v>122</v>
      </c>
      <c r="D77" s="138" t="s">
        <v>592</v>
      </c>
      <c r="E77" s="139" t="s">
        <v>538</v>
      </c>
      <c r="F77" s="118">
        <v>2.4E-2</v>
      </c>
      <c r="G77" s="140">
        <v>4.8000000000000001E-2</v>
      </c>
      <c r="H77" s="501"/>
      <c r="I77" s="141">
        <f t="shared" si="2"/>
        <v>0</v>
      </c>
      <c r="J77"/>
      <c r="K77"/>
      <c r="L77"/>
      <c r="M77"/>
      <c r="S77" s="330"/>
    </row>
    <row r="78" spans="1:19" x14ac:dyDescent="0.2">
      <c r="A78" s="135" t="s">
        <v>429</v>
      </c>
      <c r="B78" s="136" t="s">
        <v>294</v>
      </c>
      <c r="C78" s="142">
        <v>38383</v>
      </c>
      <c r="D78" s="138" t="s">
        <v>673</v>
      </c>
      <c r="E78" s="139" t="s">
        <v>538</v>
      </c>
      <c r="F78" s="118">
        <v>2.8000000000000001E-2</v>
      </c>
      <c r="G78" s="140">
        <v>5.6000000000000001E-2</v>
      </c>
      <c r="H78" s="501"/>
      <c r="I78" s="141">
        <f t="shared" si="2"/>
        <v>0</v>
      </c>
      <c r="J78"/>
      <c r="K78"/>
      <c r="L78"/>
      <c r="M78"/>
      <c r="S78" s="330"/>
    </row>
    <row r="79" spans="1:19" ht="22.5" x14ac:dyDescent="0.2">
      <c r="A79" s="135" t="s">
        <v>429</v>
      </c>
      <c r="B79" s="136" t="s">
        <v>294</v>
      </c>
      <c r="C79" s="142">
        <v>3850</v>
      </c>
      <c r="D79" s="138" t="s">
        <v>685</v>
      </c>
      <c r="E79" s="139" t="s">
        <v>538</v>
      </c>
      <c r="F79" s="118">
        <v>1</v>
      </c>
      <c r="G79" s="140">
        <v>2</v>
      </c>
      <c r="H79" s="501"/>
      <c r="I79" s="141">
        <f t="shared" si="2"/>
        <v>0</v>
      </c>
      <c r="J79"/>
      <c r="K79"/>
      <c r="L79"/>
      <c r="M79"/>
      <c r="S79" s="330"/>
    </row>
    <row r="80" spans="1:19" x14ac:dyDescent="0.2">
      <c r="A80" s="135" t="s">
        <v>429</v>
      </c>
      <c r="B80" s="136" t="s">
        <v>294</v>
      </c>
      <c r="C80" s="142">
        <v>20083</v>
      </c>
      <c r="D80" s="138" t="s">
        <v>698</v>
      </c>
      <c r="E80" s="139" t="s">
        <v>538</v>
      </c>
      <c r="F80" s="118">
        <v>0.03</v>
      </c>
      <c r="G80" s="140">
        <v>0.06</v>
      </c>
      <c r="H80" s="501"/>
      <c r="I80" s="141">
        <f t="shared" si="2"/>
        <v>0</v>
      </c>
      <c r="J80"/>
      <c r="K80"/>
      <c r="L80"/>
      <c r="M80"/>
      <c r="S80" s="330"/>
    </row>
    <row r="81" spans="1:19" x14ac:dyDescent="0.2">
      <c r="A81" s="135" t="s">
        <v>430</v>
      </c>
      <c r="B81" s="136" t="s">
        <v>294</v>
      </c>
      <c r="C81" s="142">
        <v>122</v>
      </c>
      <c r="D81" s="138" t="s">
        <v>592</v>
      </c>
      <c r="E81" s="139" t="s">
        <v>538</v>
      </c>
      <c r="F81" s="118">
        <v>1.7999999999999999E-2</v>
      </c>
      <c r="G81" s="140">
        <v>1.7999999999999999E-2</v>
      </c>
      <c r="H81" s="501"/>
      <c r="I81" s="141">
        <f t="shared" si="2"/>
        <v>0</v>
      </c>
      <c r="J81"/>
      <c r="K81"/>
      <c r="L81"/>
      <c r="M81"/>
      <c r="S81" s="330"/>
    </row>
    <row r="82" spans="1:19" x14ac:dyDescent="0.2">
      <c r="A82" s="135" t="s">
        <v>430</v>
      </c>
      <c r="B82" s="136" t="s">
        <v>294</v>
      </c>
      <c r="C82" s="142">
        <v>38383</v>
      </c>
      <c r="D82" s="138" t="s">
        <v>673</v>
      </c>
      <c r="E82" s="139" t="s">
        <v>538</v>
      </c>
      <c r="F82" s="118">
        <v>2.4E-2</v>
      </c>
      <c r="G82" s="140">
        <v>2.4E-2</v>
      </c>
      <c r="H82" s="501"/>
      <c r="I82" s="141">
        <f t="shared" si="2"/>
        <v>0</v>
      </c>
      <c r="J82"/>
      <c r="K82"/>
      <c r="L82"/>
      <c r="M82"/>
      <c r="S82" s="330"/>
    </row>
    <row r="83" spans="1:19" x14ac:dyDescent="0.2">
      <c r="A83" s="135" t="s">
        <v>430</v>
      </c>
      <c r="B83" s="136" t="s">
        <v>294</v>
      </c>
      <c r="C83" s="142">
        <v>38023</v>
      </c>
      <c r="D83" s="138" t="s">
        <v>686</v>
      </c>
      <c r="E83" s="139" t="s">
        <v>538</v>
      </c>
      <c r="F83" s="118">
        <v>1</v>
      </c>
      <c r="G83" s="140">
        <v>1</v>
      </c>
      <c r="H83" s="501"/>
      <c r="I83" s="141">
        <f t="shared" si="2"/>
        <v>0</v>
      </c>
      <c r="J83"/>
      <c r="K83"/>
      <c r="L83"/>
      <c r="M83"/>
      <c r="S83" s="330"/>
    </row>
    <row r="84" spans="1:19" x14ac:dyDescent="0.2">
      <c r="A84" s="135" t="s">
        <v>430</v>
      </c>
      <c r="B84" s="136" t="s">
        <v>294</v>
      </c>
      <c r="C84" s="142">
        <v>20083</v>
      </c>
      <c r="D84" s="138" t="s">
        <v>698</v>
      </c>
      <c r="E84" s="139" t="s">
        <v>538</v>
      </c>
      <c r="F84" s="118">
        <v>2.1999999999999999E-2</v>
      </c>
      <c r="G84" s="140">
        <v>2.1999999999999999E-2</v>
      </c>
      <c r="H84" s="501"/>
      <c r="I84" s="141">
        <f t="shared" si="2"/>
        <v>0</v>
      </c>
      <c r="J84"/>
      <c r="K84"/>
      <c r="L84"/>
      <c r="M84"/>
      <c r="S84" s="330"/>
    </row>
    <row r="85" spans="1:19" x14ac:dyDescent="0.2">
      <c r="A85" s="135" t="s">
        <v>431</v>
      </c>
      <c r="B85" s="136" t="s">
        <v>294</v>
      </c>
      <c r="C85" s="142">
        <v>122</v>
      </c>
      <c r="D85" s="138" t="s">
        <v>592</v>
      </c>
      <c r="E85" s="139" t="s">
        <v>538</v>
      </c>
      <c r="F85" s="118">
        <v>1.2E-2</v>
      </c>
      <c r="G85" s="140">
        <v>3.6000000000000004E-2</v>
      </c>
      <c r="H85" s="501"/>
      <c r="I85" s="141">
        <f t="shared" si="2"/>
        <v>0</v>
      </c>
      <c r="J85"/>
      <c r="K85"/>
      <c r="L85"/>
      <c r="M85"/>
      <c r="S85" s="330"/>
    </row>
    <row r="86" spans="1:19" ht="22.5" x14ac:dyDescent="0.2">
      <c r="A86" s="135" t="s">
        <v>431</v>
      </c>
      <c r="B86" s="136" t="s">
        <v>294</v>
      </c>
      <c r="C86" s="142">
        <v>3872</v>
      </c>
      <c r="D86" s="138" t="s">
        <v>684</v>
      </c>
      <c r="E86" s="139" t="s">
        <v>538</v>
      </c>
      <c r="F86" s="118">
        <v>1</v>
      </c>
      <c r="G86" s="140">
        <v>3</v>
      </c>
      <c r="H86" s="501"/>
      <c r="I86" s="141">
        <f t="shared" si="2"/>
        <v>0</v>
      </c>
      <c r="J86"/>
      <c r="K86"/>
      <c r="L86"/>
      <c r="M86"/>
      <c r="S86" s="330"/>
    </row>
    <row r="87" spans="1:19" x14ac:dyDescent="0.2">
      <c r="A87" s="135" t="s">
        <v>431</v>
      </c>
      <c r="B87" s="136" t="s">
        <v>294</v>
      </c>
      <c r="C87" s="142">
        <v>38383</v>
      </c>
      <c r="D87" s="138" t="s">
        <v>673</v>
      </c>
      <c r="E87" s="139" t="s">
        <v>538</v>
      </c>
      <c r="F87" s="118">
        <v>0.02</v>
      </c>
      <c r="G87" s="140">
        <v>0.06</v>
      </c>
      <c r="H87" s="501"/>
      <c r="I87" s="141">
        <f t="shared" si="2"/>
        <v>0</v>
      </c>
      <c r="J87"/>
      <c r="K87"/>
      <c r="L87"/>
      <c r="M87"/>
      <c r="S87" s="330"/>
    </row>
    <row r="88" spans="1:19" x14ac:dyDescent="0.2">
      <c r="A88" s="135" t="s">
        <v>431</v>
      </c>
      <c r="B88" s="136" t="s">
        <v>294</v>
      </c>
      <c r="C88" s="142">
        <v>20083</v>
      </c>
      <c r="D88" s="138" t="s">
        <v>698</v>
      </c>
      <c r="E88" s="139" t="s">
        <v>538</v>
      </c>
      <c r="F88" s="118">
        <v>1.4E-2</v>
      </c>
      <c r="G88" s="140">
        <v>4.2000000000000003E-2</v>
      </c>
      <c r="H88" s="501"/>
      <c r="I88" s="141">
        <f t="shared" si="2"/>
        <v>0</v>
      </c>
      <c r="J88"/>
      <c r="K88"/>
      <c r="L88"/>
      <c r="M88"/>
      <c r="S88" s="330"/>
    </row>
    <row r="89" spans="1:19" x14ac:dyDescent="0.2">
      <c r="A89" s="135" t="s">
        <v>432</v>
      </c>
      <c r="B89" s="136" t="s">
        <v>294</v>
      </c>
      <c r="C89" s="142">
        <v>122</v>
      </c>
      <c r="D89" s="138" t="s">
        <v>592</v>
      </c>
      <c r="E89" s="139" t="s">
        <v>538</v>
      </c>
      <c r="F89" s="118">
        <v>7.0000000000000001E-3</v>
      </c>
      <c r="G89" s="140">
        <v>4.9000000000000002E-2</v>
      </c>
      <c r="H89" s="501"/>
      <c r="I89" s="141">
        <f t="shared" si="2"/>
        <v>0</v>
      </c>
      <c r="J89"/>
      <c r="K89"/>
      <c r="L89"/>
      <c r="M89"/>
      <c r="S89" s="330"/>
    </row>
    <row r="90" spans="1:19" ht="22.5" x14ac:dyDescent="0.2">
      <c r="A90" s="135" t="s">
        <v>432</v>
      </c>
      <c r="B90" s="136" t="s">
        <v>294</v>
      </c>
      <c r="C90" s="142">
        <v>3869</v>
      </c>
      <c r="D90" s="138" t="s">
        <v>683</v>
      </c>
      <c r="E90" s="139" t="s">
        <v>538</v>
      </c>
      <c r="F90" s="118">
        <v>1</v>
      </c>
      <c r="G90" s="140">
        <v>7</v>
      </c>
      <c r="H90" s="501"/>
      <c r="I90" s="141">
        <f t="shared" si="2"/>
        <v>0</v>
      </c>
      <c r="J90"/>
      <c r="K90"/>
      <c r="L90"/>
      <c r="M90"/>
      <c r="S90" s="330"/>
    </row>
    <row r="91" spans="1:19" x14ac:dyDescent="0.2">
      <c r="A91" s="135" t="s">
        <v>432</v>
      </c>
      <c r="B91" s="136" t="s">
        <v>294</v>
      </c>
      <c r="C91" s="142">
        <v>38383</v>
      </c>
      <c r="D91" s="138" t="s">
        <v>673</v>
      </c>
      <c r="E91" s="139" t="s">
        <v>538</v>
      </c>
      <c r="F91" s="118">
        <v>1.2999999999999999E-2</v>
      </c>
      <c r="G91" s="140">
        <v>9.0999999999999998E-2</v>
      </c>
      <c r="H91" s="501"/>
      <c r="I91" s="141">
        <f t="shared" si="2"/>
        <v>0</v>
      </c>
      <c r="J91"/>
      <c r="K91"/>
      <c r="L91"/>
      <c r="M91"/>
      <c r="S91" s="330"/>
    </row>
    <row r="92" spans="1:19" x14ac:dyDescent="0.2">
      <c r="A92" s="135" t="s">
        <v>432</v>
      </c>
      <c r="B92" s="136" t="s">
        <v>294</v>
      </c>
      <c r="C92" s="142">
        <v>20083</v>
      </c>
      <c r="D92" s="138" t="s">
        <v>698</v>
      </c>
      <c r="E92" s="139" t="s">
        <v>538</v>
      </c>
      <c r="F92" s="118">
        <v>8.0000000000000002E-3</v>
      </c>
      <c r="G92" s="140">
        <v>5.6000000000000001E-2</v>
      </c>
      <c r="H92" s="501"/>
      <c r="I92" s="141">
        <f t="shared" si="2"/>
        <v>0</v>
      </c>
      <c r="J92"/>
      <c r="K92"/>
      <c r="L92"/>
      <c r="M92"/>
      <c r="S92" s="330"/>
    </row>
    <row r="93" spans="1:19" ht="22.5" x14ac:dyDescent="0.2">
      <c r="A93" s="135" t="s">
        <v>433</v>
      </c>
      <c r="B93" s="136" t="s">
        <v>294</v>
      </c>
      <c r="C93" s="142">
        <v>97</v>
      </c>
      <c r="D93" s="138" t="s">
        <v>590</v>
      </c>
      <c r="E93" s="139" t="s">
        <v>538</v>
      </c>
      <c r="F93" s="118">
        <v>1</v>
      </c>
      <c r="G93" s="140">
        <v>1</v>
      </c>
      <c r="H93" s="501"/>
      <c r="I93" s="141">
        <f t="shared" si="2"/>
        <v>0</v>
      </c>
      <c r="J93"/>
      <c r="K93"/>
      <c r="L93"/>
      <c r="M93"/>
      <c r="S93" s="330"/>
    </row>
    <row r="94" spans="1:19" x14ac:dyDescent="0.2">
      <c r="A94" s="135" t="s">
        <v>433</v>
      </c>
      <c r="B94" s="136" t="s">
        <v>294</v>
      </c>
      <c r="C94" s="142">
        <v>20080</v>
      </c>
      <c r="D94" s="138" t="s">
        <v>593</v>
      </c>
      <c r="E94" s="139" t="s">
        <v>538</v>
      </c>
      <c r="F94" s="118">
        <v>4.5999999999999999E-2</v>
      </c>
      <c r="G94" s="140">
        <v>4.5999999999999999E-2</v>
      </c>
      <c r="H94" s="501"/>
      <c r="I94" s="141">
        <f t="shared" si="2"/>
        <v>0</v>
      </c>
      <c r="J94"/>
      <c r="K94"/>
      <c r="L94"/>
      <c r="M94"/>
      <c r="S94" s="330"/>
    </row>
    <row r="95" spans="1:19" x14ac:dyDescent="0.2">
      <c r="A95" s="135" t="s">
        <v>433</v>
      </c>
      <c r="B95" s="136" t="s">
        <v>294</v>
      </c>
      <c r="C95" s="142">
        <v>38383</v>
      </c>
      <c r="D95" s="138" t="s">
        <v>673</v>
      </c>
      <c r="E95" s="139" t="s">
        <v>538</v>
      </c>
      <c r="F95" s="118">
        <v>1.4E-2</v>
      </c>
      <c r="G95" s="140">
        <v>1.4E-2</v>
      </c>
      <c r="H95" s="501"/>
      <c r="I95" s="141">
        <f t="shared" si="2"/>
        <v>0</v>
      </c>
      <c r="J95"/>
      <c r="K95"/>
      <c r="L95"/>
      <c r="M95"/>
      <c r="S95" s="330"/>
    </row>
    <row r="96" spans="1:19" x14ac:dyDescent="0.2">
      <c r="A96" s="135" t="s">
        <v>433</v>
      </c>
      <c r="B96" s="136" t="s">
        <v>294</v>
      </c>
      <c r="C96" s="142">
        <v>20083</v>
      </c>
      <c r="D96" s="138" t="s">
        <v>698</v>
      </c>
      <c r="E96" s="139" t="s">
        <v>538</v>
      </c>
      <c r="F96" s="118">
        <v>1.0999999999999999E-2</v>
      </c>
      <c r="G96" s="140">
        <v>1.0999999999999999E-2</v>
      </c>
      <c r="H96" s="501"/>
      <c r="I96" s="141">
        <f t="shared" si="2"/>
        <v>0</v>
      </c>
      <c r="J96"/>
      <c r="K96"/>
      <c r="L96"/>
      <c r="M96"/>
      <c r="S96" s="330"/>
    </row>
    <row r="97" spans="1:19" x14ac:dyDescent="0.2">
      <c r="A97" s="135" t="s">
        <v>434</v>
      </c>
      <c r="B97" s="136" t="s">
        <v>294</v>
      </c>
      <c r="C97" s="142">
        <v>20080</v>
      </c>
      <c r="D97" s="138" t="s">
        <v>593</v>
      </c>
      <c r="E97" s="139" t="s">
        <v>538</v>
      </c>
      <c r="F97" s="118">
        <v>4.5999999999999999E-2</v>
      </c>
      <c r="G97" s="140">
        <v>4.5999999999999999E-2</v>
      </c>
      <c r="H97" s="501"/>
      <c r="I97" s="141">
        <f t="shared" si="2"/>
        <v>0</v>
      </c>
      <c r="J97"/>
      <c r="K97"/>
      <c r="L97"/>
      <c r="M97"/>
      <c r="S97" s="330"/>
    </row>
    <row r="98" spans="1:19" ht="22.5" x14ac:dyDescent="0.2">
      <c r="A98" s="135" t="s">
        <v>434</v>
      </c>
      <c r="B98" s="136" t="s">
        <v>294</v>
      </c>
      <c r="C98" s="142">
        <v>88</v>
      </c>
      <c r="D98" s="138" t="s">
        <v>591</v>
      </c>
      <c r="E98" s="139" t="s">
        <v>538</v>
      </c>
      <c r="F98" s="118">
        <v>1</v>
      </c>
      <c r="G98" s="140">
        <v>1</v>
      </c>
      <c r="H98" s="501"/>
      <c r="I98" s="141">
        <f t="shared" si="2"/>
        <v>0</v>
      </c>
      <c r="J98"/>
      <c r="K98"/>
      <c r="L98"/>
      <c r="M98"/>
      <c r="S98" s="330"/>
    </row>
    <row r="99" spans="1:19" x14ac:dyDescent="0.2">
      <c r="A99" s="135" t="s">
        <v>434</v>
      </c>
      <c r="B99" s="136" t="s">
        <v>294</v>
      </c>
      <c r="C99" s="142">
        <v>38383</v>
      </c>
      <c r="D99" s="138" t="s">
        <v>673</v>
      </c>
      <c r="E99" s="139" t="s">
        <v>538</v>
      </c>
      <c r="F99" s="118">
        <v>2.3E-2</v>
      </c>
      <c r="G99" s="140">
        <v>2.3E-2</v>
      </c>
      <c r="H99" s="501"/>
      <c r="I99" s="141">
        <f t="shared" si="2"/>
        <v>0</v>
      </c>
      <c r="J99"/>
      <c r="K99"/>
      <c r="L99"/>
      <c r="M99"/>
      <c r="S99" s="330"/>
    </row>
    <row r="100" spans="1:19" x14ac:dyDescent="0.2">
      <c r="A100" s="135" t="s">
        <v>434</v>
      </c>
      <c r="B100" s="136" t="s">
        <v>294</v>
      </c>
      <c r="C100" s="142">
        <v>20083</v>
      </c>
      <c r="D100" s="138" t="s">
        <v>698</v>
      </c>
      <c r="E100" s="139" t="s">
        <v>538</v>
      </c>
      <c r="F100" s="118">
        <v>0.01</v>
      </c>
      <c r="G100" s="140">
        <v>0.01</v>
      </c>
      <c r="H100" s="501"/>
      <c r="I100" s="141">
        <f t="shared" si="2"/>
        <v>0</v>
      </c>
      <c r="J100"/>
      <c r="K100"/>
      <c r="L100"/>
      <c r="M100"/>
      <c r="S100" s="330"/>
    </row>
    <row r="101" spans="1:19" x14ac:dyDescent="0.2">
      <c r="A101" s="135" t="s">
        <v>435</v>
      </c>
      <c r="B101" s="136" t="s">
        <v>294</v>
      </c>
      <c r="C101" s="142">
        <v>314</v>
      </c>
      <c r="D101" s="138" t="e">
        <v>#N/A</v>
      </c>
      <c r="E101" s="139" t="e">
        <v>#N/A</v>
      </c>
      <c r="F101" s="118">
        <v>3.1E-2</v>
      </c>
      <c r="G101" s="140">
        <v>6.2E-2</v>
      </c>
      <c r="H101" s="501"/>
      <c r="I101" s="141">
        <f t="shared" si="2"/>
        <v>0</v>
      </c>
      <c r="J101"/>
      <c r="K101"/>
      <c r="L101"/>
      <c r="M101"/>
      <c r="S101" s="330"/>
    </row>
    <row r="102" spans="1:19" ht="22.5" x14ac:dyDescent="0.2">
      <c r="A102" s="135" t="s">
        <v>435</v>
      </c>
      <c r="B102" s="136" t="s">
        <v>294</v>
      </c>
      <c r="C102" s="142">
        <v>7121</v>
      </c>
      <c r="D102" s="138" t="s">
        <v>703</v>
      </c>
      <c r="E102" s="139" t="s">
        <v>538</v>
      </c>
      <c r="F102" s="118">
        <v>1</v>
      </c>
      <c r="G102" s="140">
        <v>2</v>
      </c>
      <c r="H102" s="501"/>
      <c r="I102" s="141">
        <f t="shared" si="2"/>
        <v>0</v>
      </c>
      <c r="J102"/>
      <c r="K102"/>
      <c r="L102"/>
      <c r="M102"/>
      <c r="S102" s="330"/>
    </row>
    <row r="103" spans="1:19" x14ac:dyDescent="0.2">
      <c r="A103" s="135" t="s">
        <v>436</v>
      </c>
      <c r="B103" s="136" t="s">
        <v>294</v>
      </c>
      <c r="C103" s="142">
        <v>3146</v>
      </c>
      <c r="D103" s="138" t="s">
        <v>639</v>
      </c>
      <c r="E103" s="139" t="s">
        <v>538</v>
      </c>
      <c r="F103" s="118">
        <v>3.9E-2</v>
      </c>
      <c r="G103" s="140">
        <v>7.8E-2</v>
      </c>
      <c r="H103" s="501"/>
      <c r="I103" s="141">
        <f t="shared" si="2"/>
        <v>0</v>
      </c>
      <c r="J103"/>
      <c r="K103"/>
      <c r="L103"/>
      <c r="M103"/>
      <c r="S103" s="330"/>
    </row>
    <row r="104" spans="1:19" ht="22.5" x14ac:dyDescent="0.2">
      <c r="A104" s="135" t="s">
        <v>436</v>
      </c>
      <c r="B104" s="136" t="s">
        <v>294</v>
      </c>
      <c r="C104" s="142">
        <v>3524</v>
      </c>
      <c r="D104" s="138" t="s">
        <v>649</v>
      </c>
      <c r="E104" s="139" t="s">
        <v>538</v>
      </c>
      <c r="F104" s="118">
        <v>1</v>
      </c>
      <c r="G104" s="140">
        <v>2</v>
      </c>
      <c r="H104" s="501"/>
      <c r="I104" s="141">
        <f t="shared" si="2"/>
        <v>0</v>
      </c>
      <c r="J104"/>
      <c r="K104"/>
      <c r="L104"/>
      <c r="M104"/>
      <c r="S104" s="330"/>
    </row>
    <row r="105" spans="1:19" x14ac:dyDescent="0.2">
      <c r="A105" s="135" t="s">
        <v>437</v>
      </c>
      <c r="B105" s="136" t="s">
        <v>294</v>
      </c>
      <c r="C105" s="142">
        <v>3146</v>
      </c>
      <c r="D105" s="138" t="s">
        <v>639</v>
      </c>
      <c r="E105" s="139" t="s">
        <v>538</v>
      </c>
      <c r="F105" s="118">
        <v>3.1E-2</v>
      </c>
      <c r="G105" s="140">
        <v>0.62</v>
      </c>
      <c r="H105" s="501"/>
      <c r="I105" s="141">
        <f t="shared" si="2"/>
        <v>0</v>
      </c>
      <c r="J105"/>
      <c r="K105"/>
      <c r="L105"/>
      <c r="M105"/>
      <c r="S105" s="330"/>
    </row>
    <row r="106" spans="1:19" ht="22.5" x14ac:dyDescent="0.2">
      <c r="A106" s="135" t="s">
        <v>437</v>
      </c>
      <c r="B106" s="136" t="s">
        <v>294</v>
      </c>
      <c r="C106" s="142">
        <v>3515</v>
      </c>
      <c r="D106" s="138" t="s">
        <v>648</v>
      </c>
      <c r="E106" s="139" t="s">
        <v>538</v>
      </c>
      <c r="F106" s="118">
        <v>1</v>
      </c>
      <c r="G106" s="140">
        <v>20</v>
      </c>
      <c r="H106" s="501"/>
      <c r="I106" s="141">
        <f t="shared" si="2"/>
        <v>0</v>
      </c>
      <c r="J106"/>
      <c r="K106"/>
      <c r="L106"/>
      <c r="M106"/>
      <c r="S106" s="330"/>
    </row>
    <row r="107" spans="1:19" x14ac:dyDescent="0.2">
      <c r="A107" s="135" t="s">
        <v>438</v>
      </c>
      <c r="B107" s="136" t="s">
        <v>294</v>
      </c>
      <c r="C107" s="142">
        <v>3146</v>
      </c>
      <c r="D107" s="138" t="s">
        <v>639</v>
      </c>
      <c r="E107" s="139" t="s">
        <v>538</v>
      </c>
      <c r="F107" s="118">
        <v>0.04</v>
      </c>
      <c r="G107" s="140">
        <v>0.36</v>
      </c>
      <c r="H107" s="501"/>
      <c r="I107" s="141">
        <f t="shared" si="2"/>
        <v>0</v>
      </c>
      <c r="J107"/>
      <c r="K107"/>
      <c r="L107"/>
      <c r="M107"/>
      <c r="S107" s="330"/>
    </row>
    <row r="108" spans="1:19" ht="22.5" x14ac:dyDescent="0.2">
      <c r="A108" s="135" t="s">
        <v>438</v>
      </c>
      <c r="B108" s="136" t="s">
        <v>294</v>
      </c>
      <c r="C108" s="142">
        <v>3522</v>
      </c>
      <c r="D108" s="138" t="s">
        <v>645</v>
      </c>
      <c r="E108" s="139" t="s">
        <v>538</v>
      </c>
      <c r="F108" s="118">
        <v>1</v>
      </c>
      <c r="G108" s="140">
        <v>9</v>
      </c>
      <c r="H108" s="501"/>
      <c r="I108" s="141">
        <f t="shared" si="2"/>
        <v>0</v>
      </c>
      <c r="J108"/>
      <c r="K108"/>
      <c r="L108"/>
      <c r="M108"/>
      <c r="S108" s="330"/>
    </row>
    <row r="109" spans="1:19" x14ac:dyDescent="0.2">
      <c r="A109" s="135" t="s">
        <v>439</v>
      </c>
      <c r="B109" s="136" t="s">
        <v>294</v>
      </c>
      <c r="C109" s="142">
        <v>122</v>
      </c>
      <c r="D109" s="138" t="s">
        <v>592</v>
      </c>
      <c r="E109" s="139" t="s">
        <v>538</v>
      </c>
      <c r="F109" s="118">
        <v>7.0000000000000001E-3</v>
      </c>
      <c r="G109" s="140">
        <v>2.8000000000000001E-2</v>
      </c>
      <c r="H109" s="501"/>
      <c r="I109" s="141">
        <f t="shared" si="2"/>
        <v>0</v>
      </c>
      <c r="J109"/>
      <c r="K109"/>
      <c r="L109"/>
      <c r="M109"/>
      <c r="S109" s="330"/>
    </row>
    <row r="110" spans="1:19" x14ac:dyDescent="0.2">
      <c r="A110" s="135" t="s">
        <v>439</v>
      </c>
      <c r="B110" s="136" t="s">
        <v>294</v>
      </c>
      <c r="C110" s="142">
        <v>38383</v>
      </c>
      <c r="D110" s="138" t="s">
        <v>673</v>
      </c>
      <c r="E110" s="139" t="s">
        <v>538</v>
      </c>
      <c r="F110" s="118">
        <v>1.2999999999999999E-2</v>
      </c>
      <c r="G110" s="140">
        <v>5.1999999999999998E-2</v>
      </c>
      <c r="H110" s="501"/>
      <c r="I110" s="141">
        <f t="shared" si="2"/>
        <v>0</v>
      </c>
      <c r="J110"/>
      <c r="K110"/>
      <c r="L110"/>
      <c r="M110"/>
      <c r="S110" s="330"/>
    </row>
    <row r="111" spans="1:19" x14ac:dyDescent="0.2">
      <c r="A111" s="135" t="s">
        <v>439</v>
      </c>
      <c r="B111" s="136" t="s">
        <v>294</v>
      </c>
      <c r="C111" s="142">
        <v>3906</v>
      </c>
      <c r="D111" s="138" t="s">
        <v>688</v>
      </c>
      <c r="E111" s="139" t="s">
        <v>538</v>
      </c>
      <c r="F111" s="118">
        <v>1</v>
      </c>
      <c r="G111" s="140">
        <v>4</v>
      </c>
      <c r="H111" s="501"/>
      <c r="I111" s="141">
        <f t="shared" si="2"/>
        <v>0</v>
      </c>
      <c r="J111"/>
      <c r="K111"/>
      <c r="L111"/>
      <c r="M111"/>
      <c r="S111" s="330"/>
    </row>
    <row r="112" spans="1:19" x14ac:dyDescent="0.2">
      <c r="A112" s="135" t="s">
        <v>439</v>
      </c>
      <c r="B112" s="136" t="s">
        <v>294</v>
      </c>
      <c r="C112" s="142">
        <v>20083</v>
      </c>
      <c r="D112" s="138" t="s">
        <v>698</v>
      </c>
      <c r="E112" s="139" t="s">
        <v>538</v>
      </c>
      <c r="F112" s="118">
        <v>8.0000000000000002E-3</v>
      </c>
      <c r="G112" s="140">
        <v>3.2000000000000001E-2</v>
      </c>
      <c r="H112" s="501"/>
      <c r="I112" s="141">
        <f t="shared" si="2"/>
        <v>0</v>
      </c>
      <c r="J112"/>
      <c r="K112"/>
      <c r="L112"/>
      <c r="M112"/>
      <c r="S112" s="330"/>
    </row>
    <row r="113" spans="1:19" x14ac:dyDescent="0.2">
      <c r="A113" s="135" t="s">
        <v>440</v>
      </c>
      <c r="B113" s="136" t="s">
        <v>294</v>
      </c>
      <c r="C113" s="142">
        <v>7588</v>
      </c>
      <c r="D113" s="138" t="s">
        <v>599</v>
      </c>
      <c r="E113" s="139" t="s">
        <v>538</v>
      </c>
      <c r="F113" s="118">
        <v>1</v>
      </c>
      <c r="G113" s="140">
        <v>1</v>
      </c>
      <c r="H113" s="501"/>
      <c r="I113" s="141">
        <f t="shared" si="2"/>
        <v>0</v>
      </c>
      <c r="J113"/>
      <c r="K113"/>
      <c r="L113"/>
      <c r="M113"/>
      <c r="S113" s="330"/>
    </row>
    <row r="114" spans="1:19" x14ac:dyDescent="0.2">
      <c r="A114" s="135" t="s">
        <v>441</v>
      </c>
      <c r="B114" s="136" t="s">
        <v>294</v>
      </c>
      <c r="C114" s="142">
        <v>38383</v>
      </c>
      <c r="D114" s="138" t="s">
        <v>673</v>
      </c>
      <c r="E114" s="139" t="s">
        <v>538</v>
      </c>
      <c r="F114" s="118">
        <v>3.2000000000000001E-2</v>
      </c>
      <c r="G114" s="140">
        <v>1.728</v>
      </c>
      <c r="H114" s="501"/>
      <c r="I114" s="141">
        <f t="shared" si="2"/>
        <v>0</v>
      </c>
      <c r="J114"/>
      <c r="K114"/>
      <c r="L114"/>
      <c r="M114"/>
      <c r="S114" s="330"/>
    </row>
    <row r="115" spans="1:19" x14ac:dyDescent="0.2">
      <c r="A115" s="135" t="s">
        <v>441</v>
      </c>
      <c r="B115" s="136" t="s">
        <v>294</v>
      </c>
      <c r="C115" s="142">
        <v>9867</v>
      </c>
      <c r="D115" s="138" t="s">
        <v>733</v>
      </c>
      <c r="E115" s="139" t="s">
        <v>589</v>
      </c>
      <c r="F115" s="118">
        <v>1.0609999999999999</v>
      </c>
      <c r="G115" s="140">
        <v>57.293999999999997</v>
      </c>
      <c r="H115" s="501"/>
      <c r="I115" s="141">
        <f t="shared" si="2"/>
        <v>0</v>
      </c>
      <c r="J115"/>
      <c r="K115"/>
      <c r="L115"/>
      <c r="M115"/>
      <c r="S115" s="330"/>
    </row>
    <row r="116" spans="1:19" x14ac:dyDescent="0.2">
      <c r="A116" s="135" t="s">
        <v>442</v>
      </c>
      <c r="B116" s="136" t="s">
        <v>294</v>
      </c>
      <c r="C116" s="142">
        <v>38383</v>
      </c>
      <c r="D116" s="138" t="s">
        <v>673</v>
      </c>
      <c r="E116" s="139" t="s">
        <v>538</v>
      </c>
      <c r="F116" s="118">
        <v>3.7999999999999999E-2</v>
      </c>
      <c r="G116" s="140">
        <v>4.5220000000000002</v>
      </c>
      <c r="H116" s="501"/>
      <c r="I116" s="141">
        <f t="shared" si="2"/>
        <v>0</v>
      </c>
      <c r="J116"/>
      <c r="K116"/>
      <c r="L116"/>
      <c r="M116"/>
      <c r="S116" s="330"/>
    </row>
    <row r="117" spans="1:19" x14ac:dyDescent="0.2">
      <c r="A117" s="135" t="s">
        <v>442</v>
      </c>
      <c r="B117" s="136" t="s">
        <v>294</v>
      </c>
      <c r="C117" s="142">
        <v>9868</v>
      </c>
      <c r="D117" s="138" t="s">
        <v>734</v>
      </c>
      <c r="E117" s="139" t="s">
        <v>589</v>
      </c>
      <c r="F117" s="118">
        <v>1.0609999999999999</v>
      </c>
      <c r="G117" s="140">
        <v>126.25899999999999</v>
      </c>
      <c r="H117" s="501"/>
      <c r="I117" s="141">
        <f t="shared" si="2"/>
        <v>0</v>
      </c>
      <c r="J117"/>
      <c r="K117"/>
      <c r="L117"/>
      <c r="M117"/>
      <c r="S117" s="330"/>
    </row>
    <row r="118" spans="1:19" x14ac:dyDescent="0.2">
      <c r="A118" s="135" t="s">
        <v>443</v>
      </c>
      <c r="B118" s="136" t="s">
        <v>294</v>
      </c>
      <c r="C118" s="142">
        <v>38383</v>
      </c>
      <c r="D118" s="138" t="s">
        <v>673</v>
      </c>
      <c r="E118" s="139" t="s">
        <v>538</v>
      </c>
      <c r="F118" s="118">
        <v>4.4999999999999998E-2</v>
      </c>
      <c r="G118" s="140">
        <v>0.18</v>
      </c>
      <c r="H118" s="501"/>
      <c r="I118" s="141">
        <f t="shared" si="2"/>
        <v>0</v>
      </c>
      <c r="J118"/>
      <c r="K118"/>
      <c r="L118"/>
      <c r="M118"/>
      <c r="S118" s="330"/>
    </row>
    <row r="119" spans="1:19" x14ac:dyDescent="0.2">
      <c r="A119" s="135" t="s">
        <v>443</v>
      </c>
      <c r="B119" s="136" t="s">
        <v>294</v>
      </c>
      <c r="C119" s="142">
        <v>9869</v>
      </c>
      <c r="D119" s="138" t="s">
        <v>735</v>
      </c>
      <c r="E119" s="139" t="s">
        <v>589</v>
      </c>
      <c r="F119" s="118">
        <v>1.0609999999999999</v>
      </c>
      <c r="G119" s="140">
        <v>4.2439999999999998</v>
      </c>
      <c r="H119" s="501"/>
      <c r="I119" s="141">
        <f t="shared" si="2"/>
        <v>0</v>
      </c>
      <c r="J119"/>
      <c r="K119"/>
      <c r="L119"/>
      <c r="M119"/>
      <c r="S119" s="330"/>
    </row>
    <row r="120" spans="1:19" x14ac:dyDescent="0.2">
      <c r="A120" s="135" t="s">
        <v>444</v>
      </c>
      <c r="B120" s="136" t="s">
        <v>294</v>
      </c>
      <c r="C120" s="142">
        <v>38383</v>
      </c>
      <c r="D120" s="138" t="s">
        <v>673</v>
      </c>
      <c r="E120" s="139" t="s">
        <v>538</v>
      </c>
      <c r="F120" s="118">
        <v>2.2000000000000002</v>
      </c>
      <c r="G120" s="140">
        <v>50.6</v>
      </c>
      <c r="H120" s="501"/>
      <c r="I120" s="141">
        <f t="shared" si="2"/>
        <v>0</v>
      </c>
      <c r="J120"/>
      <c r="K120"/>
      <c r="L120"/>
      <c r="M120"/>
      <c r="S120" s="330"/>
    </row>
    <row r="121" spans="1:19" x14ac:dyDescent="0.2">
      <c r="A121" s="135" t="s">
        <v>444</v>
      </c>
      <c r="B121" s="136" t="s">
        <v>294</v>
      </c>
      <c r="C121" s="142">
        <v>9874</v>
      </c>
      <c r="D121" s="138" t="s">
        <v>736</v>
      </c>
      <c r="E121" s="139" t="s">
        <v>589</v>
      </c>
      <c r="F121" s="118">
        <v>1.0609999999999999</v>
      </c>
      <c r="G121" s="140">
        <v>24.402999999999999</v>
      </c>
      <c r="H121" s="501"/>
      <c r="I121" s="141">
        <f t="shared" si="2"/>
        <v>0</v>
      </c>
      <c r="J121"/>
      <c r="K121"/>
      <c r="L121"/>
      <c r="M121"/>
      <c r="S121" s="330"/>
    </row>
    <row r="122" spans="1:19" x14ac:dyDescent="0.2">
      <c r="A122" s="135" t="s">
        <v>445</v>
      </c>
      <c r="B122" s="136" t="s">
        <v>294</v>
      </c>
      <c r="C122" s="142">
        <v>38383</v>
      </c>
      <c r="D122" s="138" t="s">
        <v>673</v>
      </c>
      <c r="E122" s="139" t="s">
        <v>538</v>
      </c>
      <c r="F122" s="118">
        <v>1.0999999999999999E-2</v>
      </c>
      <c r="G122" s="140">
        <v>0.20899999999999999</v>
      </c>
      <c r="H122" s="501"/>
      <c r="I122" s="141">
        <f t="shared" si="2"/>
        <v>0</v>
      </c>
      <c r="J122"/>
      <c r="K122"/>
      <c r="L122"/>
      <c r="M122"/>
      <c r="S122" s="330"/>
    </row>
    <row r="123" spans="1:19" x14ac:dyDescent="0.2">
      <c r="A123" s="135" t="s">
        <v>445</v>
      </c>
      <c r="B123" s="136" t="s">
        <v>294</v>
      </c>
      <c r="C123" s="142">
        <v>9873</v>
      </c>
      <c r="D123" s="138" t="s">
        <v>737</v>
      </c>
      <c r="E123" s="139" t="s">
        <v>589</v>
      </c>
      <c r="F123" s="118">
        <v>1.0609999999999999</v>
      </c>
      <c r="G123" s="140">
        <v>20.158999999999999</v>
      </c>
      <c r="H123" s="501"/>
      <c r="I123" s="141">
        <f t="shared" si="2"/>
        <v>0</v>
      </c>
      <c r="J123"/>
      <c r="K123"/>
      <c r="L123"/>
      <c r="M123"/>
      <c r="S123" s="330"/>
    </row>
    <row r="124" spans="1:19" x14ac:dyDescent="0.2">
      <c r="A124" s="135" t="s">
        <v>446</v>
      </c>
      <c r="B124" s="136" t="s">
        <v>294</v>
      </c>
      <c r="C124" s="142">
        <v>38383</v>
      </c>
      <c r="D124" s="138" t="s">
        <v>673</v>
      </c>
      <c r="E124" s="139" t="s">
        <v>538</v>
      </c>
      <c r="F124" s="118">
        <v>1.6E-2</v>
      </c>
      <c r="G124" s="140">
        <v>6.4000000000000001E-2</v>
      </c>
      <c r="H124" s="501"/>
      <c r="I124" s="141">
        <f t="shared" si="2"/>
        <v>0</v>
      </c>
      <c r="J124"/>
      <c r="K124"/>
      <c r="L124"/>
      <c r="M124"/>
      <c r="S124" s="330"/>
    </row>
    <row r="125" spans="1:19" x14ac:dyDescent="0.2">
      <c r="A125" s="135" t="s">
        <v>446</v>
      </c>
      <c r="B125" s="136" t="s">
        <v>294</v>
      </c>
      <c r="C125" s="142">
        <v>9872</v>
      </c>
      <c r="D125" s="138" t="s">
        <v>738</v>
      </c>
      <c r="E125" s="139" t="s">
        <v>589</v>
      </c>
      <c r="F125" s="118">
        <v>1.0609999999999999</v>
      </c>
      <c r="G125" s="140">
        <v>4.2439999999999998</v>
      </c>
      <c r="H125" s="501"/>
      <c r="I125" s="141">
        <f t="shared" si="2"/>
        <v>0</v>
      </c>
      <c r="J125"/>
      <c r="K125"/>
      <c r="L125"/>
      <c r="M125"/>
      <c r="S125" s="330"/>
    </row>
    <row r="126" spans="1:19" x14ac:dyDescent="0.2">
      <c r="A126" s="135" t="s">
        <v>447</v>
      </c>
      <c r="B126" s="136" t="s">
        <v>294</v>
      </c>
      <c r="C126" s="142">
        <v>122</v>
      </c>
      <c r="D126" s="138" t="s">
        <v>592</v>
      </c>
      <c r="E126" s="139" t="s">
        <v>538</v>
      </c>
      <c r="F126" s="118">
        <v>7.0000000000000001E-3</v>
      </c>
      <c r="G126" s="140">
        <v>7.0000000000000001E-3</v>
      </c>
      <c r="H126" s="501"/>
      <c r="I126" s="141">
        <f t="shared" si="2"/>
        <v>0</v>
      </c>
      <c r="J126"/>
      <c r="K126"/>
      <c r="L126"/>
      <c r="M126"/>
      <c r="S126" s="330"/>
    </row>
    <row r="127" spans="1:19" x14ac:dyDescent="0.2">
      <c r="A127" s="135" t="s">
        <v>447</v>
      </c>
      <c r="B127" s="136" t="s">
        <v>294</v>
      </c>
      <c r="C127" s="142">
        <v>12909</v>
      </c>
      <c r="D127" s="138" t="s">
        <v>617</v>
      </c>
      <c r="E127" s="139" t="s">
        <v>538</v>
      </c>
      <c r="F127" s="118">
        <v>1</v>
      </c>
      <c r="G127" s="140">
        <v>1</v>
      </c>
      <c r="H127" s="501"/>
      <c r="I127" s="141">
        <f t="shared" si="2"/>
        <v>0</v>
      </c>
      <c r="J127"/>
      <c r="K127"/>
      <c r="L127"/>
      <c r="M127"/>
      <c r="S127" s="330"/>
    </row>
    <row r="128" spans="1:19" x14ac:dyDescent="0.2">
      <c r="A128" s="135" t="s">
        <v>447</v>
      </c>
      <c r="B128" s="136" t="s">
        <v>294</v>
      </c>
      <c r="C128" s="142">
        <v>20083</v>
      </c>
      <c r="D128" s="138" t="s">
        <v>698</v>
      </c>
      <c r="E128" s="139" t="s">
        <v>538</v>
      </c>
      <c r="F128" s="118">
        <v>5.0000000000000001E-3</v>
      </c>
      <c r="G128" s="140">
        <v>5.0000000000000001E-3</v>
      </c>
      <c r="H128" s="501"/>
      <c r="I128" s="141">
        <f t="shared" si="2"/>
        <v>0</v>
      </c>
      <c r="J128"/>
      <c r="K128"/>
      <c r="L128"/>
      <c r="M128"/>
      <c r="S128" s="330"/>
    </row>
    <row r="129" spans="1:19" x14ac:dyDescent="0.2">
      <c r="A129" s="135" t="s">
        <v>448</v>
      </c>
      <c r="B129" s="136" t="s">
        <v>294</v>
      </c>
      <c r="C129" s="142">
        <v>122</v>
      </c>
      <c r="D129" s="138" t="s">
        <v>592</v>
      </c>
      <c r="E129" s="139" t="s">
        <v>538</v>
      </c>
      <c r="F129" s="118">
        <v>1.2E-2</v>
      </c>
      <c r="G129" s="140">
        <v>1.2E-2</v>
      </c>
      <c r="H129" s="501"/>
      <c r="I129" s="141">
        <f t="shared" si="2"/>
        <v>0</v>
      </c>
      <c r="J129"/>
      <c r="K129"/>
      <c r="L129"/>
      <c r="M129"/>
      <c r="S129" s="330"/>
    </row>
    <row r="130" spans="1:19" x14ac:dyDescent="0.2">
      <c r="A130" s="135" t="s">
        <v>448</v>
      </c>
      <c r="B130" s="136" t="s">
        <v>294</v>
      </c>
      <c r="C130" s="142">
        <v>12910</v>
      </c>
      <c r="D130" s="138" t="s">
        <v>618</v>
      </c>
      <c r="E130" s="139" t="s">
        <v>538</v>
      </c>
      <c r="F130" s="118">
        <v>1</v>
      </c>
      <c r="G130" s="140">
        <v>1</v>
      </c>
      <c r="H130" s="501"/>
      <c r="I130" s="141">
        <f t="shared" si="2"/>
        <v>0</v>
      </c>
      <c r="J130"/>
      <c r="K130"/>
      <c r="L130"/>
      <c r="M130"/>
      <c r="S130" s="330"/>
    </row>
    <row r="131" spans="1:19" x14ac:dyDescent="0.2">
      <c r="A131" s="135" t="s">
        <v>448</v>
      </c>
      <c r="B131" s="136" t="s">
        <v>294</v>
      </c>
      <c r="C131" s="142">
        <v>20083</v>
      </c>
      <c r="D131" s="138" t="s">
        <v>698</v>
      </c>
      <c r="E131" s="139" t="s">
        <v>538</v>
      </c>
      <c r="F131" s="118">
        <v>0.01</v>
      </c>
      <c r="G131" s="140">
        <v>0.01</v>
      </c>
      <c r="H131" s="501"/>
      <c r="I131" s="141">
        <f t="shared" ref="I131:I194" si="3">IFERROR(H131*G131,"")</f>
        <v>0</v>
      </c>
      <c r="J131"/>
      <c r="K131"/>
      <c r="L131"/>
      <c r="M131"/>
      <c r="S131" s="330"/>
    </row>
    <row r="132" spans="1:19" x14ac:dyDescent="0.2">
      <c r="A132" s="135" t="s">
        <v>449</v>
      </c>
      <c r="B132" s="136" t="s">
        <v>294</v>
      </c>
      <c r="C132" s="142">
        <v>301</v>
      </c>
      <c r="D132" s="138" t="s">
        <v>594</v>
      </c>
      <c r="E132" s="139" t="s">
        <v>538</v>
      </c>
      <c r="F132" s="118">
        <v>2</v>
      </c>
      <c r="G132" s="140">
        <v>4</v>
      </c>
      <c r="H132" s="501"/>
      <c r="I132" s="141">
        <f t="shared" si="3"/>
        <v>0</v>
      </c>
      <c r="J132"/>
      <c r="K132"/>
      <c r="L132"/>
      <c r="M132"/>
      <c r="S132" s="330"/>
    </row>
    <row r="133" spans="1:19" ht="22.5" x14ac:dyDescent="0.2">
      <c r="A133" s="135" t="s">
        <v>449</v>
      </c>
      <c r="B133" s="136" t="s">
        <v>294</v>
      </c>
      <c r="C133" s="142">
        <v>20078</v>
      </c>
      <c r="D133" s="138" t="s">
        <v>690</v>
      </c>
      <c r="E133" s="139" t="s">
        <v>538</v>
      </c>
      <c r="F133" s="118">
        <v>9.1999999999999998E-2</v>
      </c>
      <c r="G133" s="140">
        <v>0.184</v>
      </c>
      <c r="H133" s="501"/>
      <c r="I133" s="141">
        <f t="shared" si="3"/>
        <v>0</v>
      </c>
      <c r="J133"/>
      <c r="K133"/>
      <c r="L133"/>
      <c r="M133"/>
      <c r="S133" s="330"/>
    </row>
    <row r="134" spans="1:19" ht="22.5" x14ac:dyDescent="0.2">
      <c r="A134" s="135" t="s">
        <v>449</v>
      </c>
      <c r="B134" s="136" t="s">
        <v>294</v>
      </c>
      <c r="C134" s="142">
        <v>7091</v>
      </c>
      <c r="D134" s="138" t="s">
        <v>704</v>
      </c>
      <c r="E134" s="139" t="s">
        <v>538</v>
      </c>
      <c r="F134" s="118">
        <v>1</v>
      </c>
      <c r="G134" s="140">
        <v>2</v>
      </c>
      <c r="H134" s="501"/>
      <c r="I134" s="141">
        <f t="shared" si="3"/>
        <v>0</v>
      </c>
      <c r="J134"/>
      <c r="K134"/>
      <c r="L134"/>
      <c r="M134"/>
      <c r="S134" s="330"/>
    </row>
    <row r="135" spans="1:19" x14ac:dyDescent="0.2">
      <c r="A135" s="135" t="s">
        <v>450</v>
      </c>
      <c r="B135" s="136" t="s">
        <v>294</v>
      </c>
      <c r="C135" s="142">
        <v>301</v>
      </c>
      <c r="D135" s="138" t="s">
        <v>594</v>
      </c>
      <c r="E135" s="139" t="s">
        <v>538</v>
      </c>
      <c r="F135" s="118">
        <v>1</v>
      </c>
      <c r="G135" s="140">
        <v>3</v>
      </c>
      <c r="H135" s="501"/>
      <c r="I135" s="141">
        <f t="shared" si="3"/>
        <v>0</v>
      </c>
      <c r="J135"/>
      <c r="K135"/>
      <c r="L135"/>
      <c r="M135"/>
      <c r="S135" s="330"/>
    </row>
    <row r="136" spans="1:19" ht="22.5" x14ac:dyDescent="0.2">
      <c r="A136" s="135" t="s">
        <v>450</v>
      </c>
      <c r="B136" s="136" t="s">
        <v>294</v>
      </c>
      <c r="C136" s="142">
        <v>298</v>
      </c>
      <c r="D136" s="138" t="s">
        <v>598</v>
      </c>
      <c r="E136" s="139" t="s">
        <v>538</v>
      </c>
      <c r="F136" s="118">
        <v>1</v>
      </c>
      <c r="G136" s="140">
        <v>3</v>
      </c>
      <c r="H136" s="501"/>
      <c r="I136" s="141">
        <f t="shared" si="3"/>
        <v>0</v>
      </c>
      <c r="J136"/>
      <c r="K136"/>
      <c r="L136"/>
      <c r="M136"/>
      <c r="S136" s="330"/>
    </row>
    <row r="137" spans="1:19" ht="22.5" x14ac:dyDescent="0.2">
      <c r="A137" s="135" t="s">
        <v>450</v>
      </c>
      <c r="B137" s="136" t="s">
        <v>294</v>
      </c>
      <c r="C137" s="142">
        <v>20078</v>
      </c>
      <c r="D137" s="138" t="s">
        <v>690</v>
      </c>
      <c r="E137" s="139" t="s">
        <v>538</v>
      </c>
      <c r="F137" s="118">
        <v>9.1999999999999998E-2</v>
      </c>
      <c r="G137" s="140">
        <v>0.27600000000000002</v>
      </c>
      <c r="H137" s="501"/>
      <c r="I137" s="141">
        <f t="shared" si="3"/>
        <v>0</v>
      </c>
      <c r="J137"/>
      <c r="K137"/>
      <c r="L137"/>
      <c r="M137"/>
      <c r="S137" s="330"/>
    </row>
    <row r="138" spans="1:19" x14ac:dyDescent="0.2">
      <c r="A138" s="135" t="s">
        <v>450</v>
      </c>
      <c r="B138" s="136" t="s">
        <v>294</v>
      </c>
      <c r="C138" s="142">
        <v>20178</v>
      </c>
      <c r="D138" s="138" t="s">
        <v>713</v>
      </c>
      <c r="E138" s="139" t="s">
        <v>538</v>
      </c>
      <c r="F138" s="118">
        <v>1</v>
      </c>
      <c r="G138" s="140">
        <v>3</v>
      </c>
      <c r="H138" s="501"/>
      <c r="I138" s="141">
        <f t="shared" si="3"/>
        <v>0</v>
      </c>
      <c r="J138"/>
      <c r="K138"/>
      <c r="L138"/>
      <c r="M138"/>
      <c r="S138" s="330"/>
    </row>
    <row r="139" spans="1:19" x14ac:dyDescent="0.2">
      <c r="A139" s="135" t="s">
        <v>451</v>
      </c>
      <c r="B139" s="136" t="s">
        <v>294</v>
      </c>
      <c r="C139" s="142">
        <v>296</v>
      </c>
      <c r="D139" s="138" t="s">
        <v>595</v>
      </c>
      <c r="E139" s="139" t="s">
        <v>538</v>
      </c>
      <c r="F139" s="118">
        <v>2</v>
      </c>
      <c r="G139" s="140">
        <v>18</v>
      </c>
      <c r="H139" s="501"/>
      <c r="I139" s="141">
        <f t="shared" si="3"/>
        <v>0</v>
      </c>
      <c r="J139"/>
      <c r="K139"/>
      <c r="L139"/>
      <c r="M139"/>
      <c r="S139" s="330"/>
    </row>
    <row r="140" spans="1:19" ht="22.5" x14ac:dyDescent="0.2">
      <c r="A140" s="135" t="s">
        <v>451</v>
      </c>
      <c r="B140" s="136" t="s">
        <v>294</v>
      </c>
      <c r="C140" s="142">
        <v>20078</v>
      </c>
      <c r="D140" s="138" t="s">
        <v>690</v>
      </c>
      <c r="E140" s="139" t="s">
        <v>538</v>
      </c>
      <c r="F140" s="118">
        <v>0.04</v>
      </c>
      <c r="G140" s="140">
        <v>0.36</v>
      </c>
      <c r="H140" s="501"/>
      <c r="I140" s="141">
        <f t="shared" si="3"/>
        <v>0</v>
      </c>
      <c r="J140"/>
      <c r="K140"/>
      <c r="L140"/>
      <c r="M140"/>
      <c r="S140" s="330"/>
    </row>
    <row r="141" spans="1:19" x14ac:dyDescent="0.2">
      <c r="A141" s="135" t="s">
        <v>451</v>
      </c>
      <c r="B141" s="136" t="s">
        <v>294</v>
      </c>
      <c r="C141" s="142">
        <v>7097</v>
      </c>
      <c r="D141" s="138" t="s">
        <v>705</v>
      </c>
      <c r="E141" s="139" t="s">
        <v>538</v>
      </c>
      <c r="F141" s="118">
        <v>1</v>
      </c>
      <c r="G141" s="140">
        <v>9</v>
      </c>
      <c r="H141" s="501"/>
      <c r="I141" s="141">
        <f t="shared" si="3"/>
        <v>0</v>
      </c>
      <c r="J141"/>
      <c r="K141"/>
      <c r="L141"/>
      <c r="M141"/>
      <c r="S141" s="330"/>
    </row>
    <row r="142" spans="1:19" x14ac:dyDescent="0.2">
      <c r="A142" s="135" t="s">
        <v>452</v>
      </c>
      <c r="B142" s="136" t="s">
        <v>294</v>
      </c>
      <c r="C142" s="142">
        <v>297</v>
      </c>
      <c r="D142" s="138" t="s">
        <v>596</v>
      </c>
      <c r="E142" s="139" t="s">
        <v>538</v>
      </c>
      <c r="F142" s="118">
        <v>2</v>
      </c>
      <c r="G142" s="140">
        <v>2</v>
      </c>
      <c r="H142" s="501"/>
      <c r="I142" s="141">
        <f t="shared" si="3"/>
        <v>0</v>
      </c>
      <c r="J142"/>
      <c r="K142"/>
      <c r="L142"/>
      <c r="M142"/>
      <c r="S142" s="330"/>
    </row>
    <row r="143" spans="1:19" ht="22.5" x14ac:dyDescent="0.2">
      <c r="A143" s="135" t="s">
        <v>452</v>
      </c>
      <c r="B143" s="136" t="s">
        <v>294</v>
      </c>
      <c r="C143" s="142">
        <v>20078</v>
      </c>
      <c r="D143" s="138" t="s">
        <v>690</v>
      </c>
      <c r="E143" s="139" t="s">
        <v>538</v>
      </c>
      <c r="F143" s="118">
        <v>0.06</v>
      </c>
      <c r="G143" s="140">
        <v>0.06</v>
      </c>
      <c r="H143" s="501"/>
      <c r="I143" s="141">
        <f t="shared" si="3"/>
        <v>0</v>
      </c>
      <c r="J143"/>
      <c r="K143"/>
      <c r="L143"/>
      <c r="M143"/>
      <c r="S143" s="330"/>
    </row>
    <row r="144" spans="1:19" x14ac:dyDescent="0.2">
      <c r="A144" s="135" t="s">
        <v>452</v>
      </c>
      <c r="B144" s="136" t="s">
        <v>294</v>
      </c>
      <c r="C144" s="142">
        <v>11658</v>
      </c>
      <c r="D144" s="138" t="s">
        <v>706</v>
      </c>
      <c r="E144" s="139" t="s">
        <v>538</v>
      </c>
      <c r="F144" s="118">
        <v>1</v>
      </c>
      <c r="G144" s="140">
        <v>1</v>
      </c>
      <c r="H144" s="501"/>
      <c r="I144" s="141">
        <f t="shared" si="3"/>
        <v>0</v>
      </c>
      <c r="J144"/>
      <c r="K144"/>
      <c r="L144"/>
      <c r="M144"/>
      <c r="S144" s="330"/>
    </row>
    <row r="145" spans="1:19" x14ac:dyDescent="0.2">
      <c r="A145" s="135" t="s">
        <v>453</v>
      </c>
      <c r="B145" s="136" t="s">
        <v>294</v>
      </c>
      <c r="C145" s="142">
        <v>301</v>
      </c>
      <c r="D145" s="138" t="s">
        <v>594</v>
      </c>
      <c r="E145" s="139" t="s">
        <v>538</v>
      </c>
      <c r="F145" s="118">
        <v>1</v>
      </c>
      <c r="G145" s="140">
        <v>12</v>
      </c>
      <c r="H145" s="501"/>
      <c r="I145" s="141">
        <f t="shared" si="3"/>
        <v>0</v>
      </c>
      <c r="J145"/>
      <c r="K145"/>
      <c r="L145"/>
      <c r="M145"/>
      <c r="S145" s="330"/>
    </row>
    <row r="146" spans="1:19" x14ac:dyDescent="0.2">
      <c r="A146" s="135" t="s">
        <v>453</v>
      </c>
      <c r="B146" s="136" t="s">
        <v>294</v>
      </c>
      <c r="C146" s="142">
        <v>3520</v>
      </c>
      <c r="D146" s="138" t="s">
        <v>652</v>
      </c>
      <c r="E146" s="139" t="s">
        <v>538</v>
      </c>
      <c r="F146" s="118">
        <v>1</v>
      </c>
      <c r="G146" s="140">
        <v>12</v>
      </c>
      <c r="H146" s="501"/>
      <c r="I146" s="141">
        <f t="shared" si="3"/>
        <v>0</v>
      </c>
      <c r="J146"/>
      <c r="K146"/>
      <c r="L146"/>
      <c r="M146"/>
      <c r="S146" s="330"/>
    </row>
    <row r="147" spans="1:19" ht="22.5" x14ac:dyDescent="0.2">
      <c r="A147" s="135" t="s">
        <v>453</v>
      </c>
      <c r="B147" s="136" t="s">
        <v>294</v>
      </c>
      <c r="C147" s="142">
        <v>20078</v>
      </c>
      <c r="D147" s="138" t="s">
        <v>690</v>
      </c>
      <c r="E147" s="139" t="s">
        <v>538</v>
      </c>
      <c r="F147" s="118">
        <v>4.5999999999999999E-2</v>
      </c>
      <c r="G147" s="140">
        <v>0.55200000000000005</v>
      </c>
      <c r="H147" s="501"/>
      <c r="I147" s="141">
        <f t="shared" si="3"/>
        <v>0</v>
      </c>
      <c r="J147"/>
      <c r="K147"/>
      <c r="L147"/>
      <c r="M147"/>
      <c r="S147" s="330"/>
    </row>
    <row r="148" spans="1:19" x14ac:dyDescent="0.2">
      <c r="A148" s="135" t="s">
        <v>454</v>
      </c>
      <c r="B148" s="136" t="s">
        <v>294</v>
      </c>
      <c r="C148" s="142">
        <v>301</v>
      </c>
      <c r="D148" s="138" t="s">
        <v>594</v>
      </c>
      <c r="E148" s="139" t="s">
        <v>538</v>
      </c>
      <c r="F148" s="118">
        <v>1</v>
      </c>
      <c r="G148" s="140">
        <v>6</v>
      </c>
      <c r="H148" s="501"/>
      <c r="I148" s="141">
        <f t="shared" si="3"/>
        <v>0</v>
      </c>
      <c r="J148"/>
      <c r="K148"/>
      <c r="L148"/>
      <c r="M148"/>
      <c r="S148" s="330"/>
    </row>
    <row r="149" spans="1:19" x14ac:dyDescent="0.2">
      <c r="A149" s="135" t="s">
        <v>454</v>
      </c>
      <c r="B149" s="136" t="s">
        <v>294</v>
      </c>
      <c r="C149" s="142">
        <v>3528</v>
      </c>
      <c r="D149" s="138" t="s">
        <v>650</v>
      </c>
      <c r="E149" s="139" t="s">
        <v>538</v>
      </c>
      <c r="F149" s="118">
        <v>1</v>
      </c>
      <c r="G149" s="140">
        <v>6</v>
      </c>
      <c r="H149" s="501"/>
      <c r="I149" s="141">
        <f t="shared" si="3"/>
        <v>0</v>
      </c>
      <c r="J149"/>
      <c r="K149"/>
      <c r="L149"/>
      <c r="M149"/>
      <c r="S149" s="330"/>
    </row>
    <row r="150" spans="1:19" ht="22.5" x14ac:dyDescent="0.2">
      <c r="A150" s="135" t="s">
        <v>454</v>
      </c>
      <c r="B150" s="136" t="s">
        <v>294</v>
      </c>
      <c r="C150" s="142">
        <v>20078</v>
      </c>
      <c r="D150" s="138" t="s">
        <v>690</v>
      </c>
      <c r="E150" s="139" t="s">
        <v>538</v>
      </c>
      <c r="F150" s="118">
        <v>4.5999999999999999E-2</v>
      </c>
      <c r="G150" s="140">
        <v>0.27600000000000002</v>
      </c>
      <c r="H150" s="501"/>
      <c r="I150" s="141">
        <f t="shared" si="3"/>
        <v>0</v>
      </c>
      <c r="J150"/>
      <c r="K150"/>
      <c r="L150"/>
      <c r="M150"/>
      <c r="S150" s="330"/>
    </row>
    <row r="151" spans="1:19" x14ac:dyDescent="0.2">
      <c r="A151" s="135" t="s">
        <v>455</v>
      </c>
      <c r="B151" s="136" t="s">
        <v>294</v>
      </c>
      <c r="C151" s="142">
        <v>122</v>
      </c>
      <c r="D151" s="138" t="s">
        <v>592</v>
      </c>
      <c r="E151" s="139" t="s">
        <v>538</v>
      </c>
      <c r="F151" s="118">
        <v>9.9000000000000008E-3</v>
      </c>
      <c r="G151" s="140">
        <v>0.21780000000000002</v>
      </c>
      <c r="H151" s="501"/>
      <c r="I151" s="141">
        <f t="shared" si="3"/>
        <v>0</v>
      </c>
      <c r="J151"/>
      <c r="K151"/>
      <c r="L151"/>
      <c r="M151"/>
      <c r="S151" s="330"/>
    </row>
    <row r="152" spans="1:19" ht="22.5" x14ac:dyDescent="0.2">
      <c r="A152" s="135" t="s">
        <v>455</v>
      </c>
      <c r="B152" s="136" t="s">
        <v>294</v>
      </c>
      <c r="C152" s="142">
        <v>3517</v>
      </c>
      <c r="D152" s="138" t="s">
        <v>647</v>
      </c>
      <c r="E152" s="139" t="s">
        <v>538</v>
      </c>
      <c r="F152" s="118">
        <v>1</v>
      </c>
      <c r="G152" s="140">
        <v>22</v>
      </c>
      <c r="H152" s="501"/>
      <c r="I152" s="141">
        <f t="shared" si="3"/>
        <v>0</v>
      </c>
      <c r="J152"/>
      <c r="K152"/>
      <c r="L152"/>
      <c r="M152"/>
      <c r="S152" s="330"/>
    </row>
    <row r="153" spans="1:19" x14ac:dyDescent="0.2">
      <c r="A153" s="135" t="s">
        <v>455</v>
      </c>
      <c r="B153" s="136" t="s">
        <v>294</v>
      </c>
      <c r="C153" s="142">
        <v>38383</v>
      </c>
      <c r="D153" s="138" t="s">
        <v>673</v>
      </c>
      <c r="E153" s="139" t="s">
        <v>538</v>
      </c>
      <c r="F153" s="118">
        <v>2.1000000000000001E-2</v>
      </c>
      <c r="G153" s="140">
        <v>0.46200000000000002</v>
      </c>
      <c r="H153" s="501"/>
      <c r="I153" s="141">
        <f t="shared" si="3"/>
        <v>0</v>
      </c>
      <c r="J153"/>
      <c r="K153"/>
      <c r="L153"/>
      <c r="M153"/>
      <c r="S153" s="330"/>
    </row>
    <row r="154" spans="1:19" x14ac:dyDescent="0.2">
      <c r="A154" s="135" t="s">
        <v>455</v>
      </c>
      <c r="B154" s="136" t="s">
        <v>294</v>
      </c>
      <c r="C154" s="142">
        <v>20083</v>
      </c>
      <c r="D154" s="138" t="s">
        <v>698</v>
      </c>
      <c r="E154" s="139" t="s">
        <v>538</v>
      </c>
      <c r="F154" s="118">
        <v>1.4999999999999999E-2</v>
      </c>
      <c r="G154" s="140">
        <v>0.32999999999999996</v>
      </c>
      <c r="H154" s="501"/>
      <c r="I154" s="141">
        <f t="shared" si="3"/>
        <v>0</v>
      </c>
      <c r="J154"/>
      <c r="K154"/>
      <c r="L154"/>
      <c r="M154"/>
      <c r="S154" s="330"/>
    </row>
    <row r="155" spans="1:19" x14ac:dyDescent="0.2">
      <c r="A155" s="135" t="s">
        <v>456</v>
      </c>
      <c r="B155" s="136" t="s">
        <v>294</v>
      </c>
      <c r="C155" s="142">
        <v>296</v>
      </c>
      <c r="D155" s="138" t="s">
        <v>595</v>
      </c>
      <c r="E155" s="139" t="s">
        <v>538</v>
      </c>
      <c r="F155" s="118">
        <v>1</v>
      </c>
      <c r="G155" s="140">
        <v>21</v>
      </c>
      <c r="H155" s="501"/>
      <c r="I155" s="141">
        <f t="shared" si="3"/>
        <v>0</v>
      </c>
      <c r="J155"/>
      <c r="K155"/>
      <c r="L155"/>
      <c r="M155"/>
      <c r="S155" s="330"/>
    </row>
    <row r="156" spans="1:19" x14ac:dyDescent="0.2">
      <c r="A156" s="135" t="s">
        <v>456</v>
      </c>
      <c r="B156" s="136" t="s">
        <v>294</v>
      </c>
      <c r="C156" s="142">
        <v>3526</v>
      </c>
      <c r="D156" s="138" t="s">
        <v>653</v>
      </c>
      <c r="E156" s="139" t="s">
        <v>538</v>
      </c>
      <c r="F156" s="118">
        <v>1</v>
      </c>
      <c r="G156" s="140">
        <v>21</v>
      </c>
      <c r="H156" s="501"/>
      <c r="I156" s="141">
        <f t="shared" si="3"/>
        <v>0</v>
      </c>
      <c r="J156"/>
      <c r="K156"/>
      <c r="L156"/>
      <c r="M156"/>
      <c r="S156" s="330"/>
    </row>
    <row r="157" spans="1:19" ht="22.5" x14ac:dyDescent="0.2">
      <c r="A157" s="135" t="s">
        <v>456</v>
      </c>
      <c r="B157" s="136" t="s">
        <v>294</v>
      </c>
      <c r="C157" s="142">
        <v>20078</v>
      </c>
      <c r="D157" s="138" t="s">
        <v>690</v>
      </c>
      <c r="E157" s="139" t="s">
        <v>538</v>
      </c>
      <c r="F157" s="118">
        <v>0.02</v>
      </c>
      <c r="G157" s="140">
        <v>0.42</v>
      </c>
      <c r="H157" s="501"/>
      <c r="I157" s="141">
        <f t="shared" si="3"/>
        <v>0</v>
      </c>
      <c r="J157"/>
      <c r="K157"/>
      <c r="L157"/>
      <c r="M157"/>
      <c r="S157" s="330"/>
    </row>
    <row r="158" spans="1:19" x14ac:dyDescent="0.2">
      <c r="A158" s="135" t="s">
        <v>457</v>
      </c>
      <c r="B158" s="136" t="s">
        <v>294</v>
      </c>
      <c r="C158" s="142">
        <v>297</v>
      </c>
      <c r="D158" s="138" t="s">
        <v>596</v>
      </c>
      <c r="E158" s="139" t="s">
        <v>538</v>
      </c>
      <c r="F158" s="118">
        <v>1</v>
      </c>
      <c r="G158" s="140">
        <v>1</v>
      </c>
      <c r="H158" s="501"/>
      <c r="I158" s="141">
        <f t="shared" si="3"/>
        <v>0</v>
      </c>
      <c r="J158"/>
      <c r="K158"/>
      <c r="L158"/>
      <c r="M158"/>
      <c r="S158" s="330"/>
    </row>
    <row r="159" spans="1:19" x14ac:dyDescent="0.2">
      <c r="A159" s="135" t="s">
        <v>457</v>
      </c>
      <c r="B159" s="136" t="s">
        <v>294</v>
      </c>
      <c r="C159" s="142">
        <v>3509</v>
      </c>
      <c r="D159" s="138" t="s">
        <v>654</v>
      </c>
      <c r="E159" s="139" t="s">
        <v>538</v>
      </c>
      <c r="F159" s="118">
        <v>1</v>
      </c>
      <c r="G159" s="140">
        <v>1</v>
      </c>
      <c r="H159" s="501"/>
      <c r="I159" s="141">
        <f t="shared" si="3"/>
        <v>0</v>
      </c>
      <c r="J159"/>
      <c r="K159"/>
      <c r="L159"/>
      <c r="M159"/>
      <c r="S159" s="330"/>
    </row>
    <row r="160" spans="1:19" ht="22.5" x14ac:dyDescent="0.2">
      <c r="A160" s="135" t="s">
        <v>457</v>
      </c>
      <c r="B160" s="136" t="s">
        <v>294</v>
      </c>
      <c r="C160" s="142">
        <v>20078</v>
      </c>
      <c r="D160" s="138" t="s">
        <v>690</v>
      </c>
      <c r="E160" s="139" t="s">
        <v>538</v>
      </c>
      <c r="F160" s="118">
        <v>0.03</v>
      </c>
      <c r="G160" s="140">
        <v>0.03</v>
      </c>
      <c r="H160" s="501"/>
      <c r="I160" s="141">
        <f t="shared" si="3"/>
        <v>0</v>
      </c>
      <c r="J160"/>
      <c r="K160"/>
      <c r="L160"/>
      <c r="M160"/>
      <c r="S160" s="330"/>
    </row>
    <row r="161" spans="1:19" x14ac:dyDescent="0.2">
      <c r="A161" s="135" t="s">
        <v>458</v>
      </c>
      <c r="B161" s="136" t="s">
        <v>294</v>
      </c>
      <c r="C161" s="142">
        <v>122</v>
      </c>
      <c r="D161" s="138" t="s">
        <v>592</v>
      </c>
      <c r="E161" s="139" t="s">
        <v>538</v>
      </c>
      <c r="F161" s="118">
        <v>9.9000000000000008E-3</v>
      </c>
      <c r="G161" s="140">
        <v>4.9500000000000002E-2</v>
      </c>
      <c r="H161" s="501"/>
      <c r="I161" s="141">
        <f t="shared" si="3"/>
        <v>0</v>
      </c>
      <c r="J161"/>
      <c r="K161"/>
      <c r="L161"/>
      <c r="M161"/>
      <c r="S161" s="330"/>
    </row>
    <row r="162" spans="1:19" x14ac:dyDescent="0.2">
      <c r="A162" s="135" t="s">
        <v>458</v>
      </c>
      <c r="B162" s="136" t="s">
        <v>294</v>
      </c>
      <c r="C162" s="142">
        <v>3516</v>
      </c>
      <c r="D162" s="138" t="s">
        <v>646</v>
      </c>
      <c r="E162" s="139" t="s">
        <v>538</v>
      </c>
      <c r="F162" s="118">
        <v>1</v>
      </c>
      <c r="G162" s="140">
        <v>5</v>
      </c>
      <c r="H162" s="501"/>
      <c r="I162" s="141">
        <f t="shared" si="3"/>
        <v>0</v>
      </c>
      <c r="J162"/>
      <c r="K162"/>
      <c r="L162"/>
      <c r="M162"/>
      <c r="S162" s="330"/>
    </row>
    <row r="163" spans="1:19" x14ac:dyDescent="0.2">
      <c r="A163" s="135" t="s">
        <v>458</v>
      </c>
      <c r="B163" s="136" t="s">
        <v>294</v>
      </c>
      <c r="C163" s="142">
        <v>38383</v>
      </c>
      <c r="D163" s="138" t="s">
        <v>673</v>
      </c>
      <c r="E163" s="139" t="s">
        <v>538</v>
      </c>
      <c r="F163" s="118">
        <v>2.1000000000000001E-2</v>
      </c>
      <c r="G163" s="140">
        <v>0.10500000000000001</v>
      </c>
      <c r="H163" s="501"/>
      <c r="I163" s="141">
        <f t="shared" si="3"/>
        <v>0</v>
      </c>
      <c r="J163"/>
      <c r="K163"/>
      <c r="L163"/>
      <c r="M163"/>
      <c r="S163" s="330"/>
    </row>
    <row r="164" spans="1:19" x14ac:dyDescent="0.2">
      <c r="A164" s="135" t="s">
        <v>458</v>
      </c>
      <c r="B164" s="136" t="s">
        <v>294</v>
      </c>
      <c r="C164" s="142">
        <v>20083</v>
      </c>
      <c r="D164" s="138" t="s">
        <v>698</v>
      </c>
      <c r="E164" s="139" t="s">
        <v>538</v>
      </c>
      <c r="F164" s="118">
        <v>1.4999999999999999E-2</v>
      </c>
      <c r="G164" s="140">
        <v>7.4999999999999997E-2</v>
      </c>
      <c r="H164" s="501"/>
      <c r="I164" s="141">
        <f t="shared" si="3"/>
        <v>0</v>
      </c>
      <c r="J164"/>
      <c r="K164"/>
      <c r="L164"/>
      <c r="M164"/>
      <c r="S164" s="330"/>
    </row>
    <row r="165" spans="1:19" x14ac:dyDescent="0.2">
      <c r="A165" s="135" t="s">
        <v>459</v>
      </c>
      <c r="B165" s="136" t="s">
        <v>294</v>
      </c>
      <c r="C165" s="142">
        <v>296</v>
      </c>
      <c r="D165" s="138" t="s">
        <v>595</v>
      </c>
      <c r="E165" s="139" t="s">
        <v>538</v>
      </c>
      <c r="F165" s="118">
        <v>1</v>
      </c>
      <c r="G165" s="140">
        <v>11</v>
      </c>
      <c r="H165" s="501"/>
      <c r="I165" s="141">
        <f t="shared" si="3"/>
        <v>0</v>
      </c>
      <c r="J165"/>
      <c r="K165"/>
      <c r="L165"/>
      <c r="M165"/>
      <c r="S165" s="330"/>
    </row>
    <row r="166" spans="1:19" x14ac:dyDescent="0.2">
      <c r="A166" s="135" t="s">
        <v>459</v>
      </c>
      <c r="B166" s="136" t="s">
        <v>294</v>
      </c>
      <c r="C166" s="142">
        <v>3518</v>
      </c>
      <c r="D166" s="138" t="s">
        <v>651</v>
      </c>
      <c r="E166" s="139" t="s">
        <v>538</v>
      </c>
      <c r="F166" s="118">
        <v>1</v>
      </c>
      <c r="G166" s="140">
        <v>11</v>
      </c>
      <c r="H166" s="501"/>
      <c r="I166" s="141">
        <f t="shared" si="3"/>
        <v>0</v>
      </c>
      <c r="J166"/>
      <c r="K166"/>
      <c r="L166"/>
      <c r="M166"/>
      <c r="S166" s="330"/>
    </row>
    <row r="167" spans="1:19" ht="22.5" x14ac:dyDescent="0.2">
      <c r="A167" s="135" t="s">
        <v>459</v>
      </c>
      <c r="B167" s="136" t="s">
        <v>294</v>
      </c>
      <c r="C167" s="142">
        <v>20078</v>
      </c>
      <c r="D167" s="138" t="s">
        <v>690</v>
      </c>
      <c r="E167" s="139" t="s">
        <v>538</v>
      </c>
      <c r="F167" s="118">
        <v>0.02</v>
      </c>
      <c r="G167" s="140">
        <v>0.22</v>
      </c>
      <c r="H167" s="501"/>
      <c r="I167" s="141">
        <f t="shared" si="3"/>
        <v>0</v>
      </c>
      <c r="J167"/>
      <c r="K167"/>
      <c r="L167"/>
      <c r="M167"/>
      <c r="S167" s="330"/>
    </row>
    <row r="168" spans="1:19" x14ac:dyDescent="0.2">
      <c r="A168" s="135" t="s">
        <v>460</v>
      </c>
      <c r="B168" s="136" t="s">
        <v>294</v>
      </c>
      <c r="C168" s="142">
        <v>301</v>
      </c>
      <c r="D168" s="138" t="s">
        <v>594</v>
      </c>
      <c r="E168" s="139" t="s">
        <v>538</v>
      </c>
      <c r="F168" s="118">
        <v>2</v>
      </c>
      <c r="G168" s="140">
        <v>12</v>
      </c>
      <c r="H168" s="501"/>
      <c r="I168" s="141">
        <f t="shared" si="3"/>
        <v>0</v>
      </c>
      <c r="J168"/>
      <c r="K168"/>
      <c r="L168"/>
      <c r="M168"/>
      <c r="S168" s="330"/>
    </row>
    <row r="169" spans="1:19" ht="22.5" x14ac:dyDescent="0.2">
      <c r="A169" s="135" t="s">
        <v>460</v>
      </c>
      <c r="B169" s="136" t="s">
        <v>294</v>
      </c>
      <c r="C169" s="142">
        <v>3670</v>
      </c>
      <c r="D169" s="138" t="s">
        <v>662</v>
      </c>
      <c r="E169" s="139" t="s">
        <v>538</v>
      </c>
      <c r="F169" s="118">
        <v>1</v>
      </c>
      <c r="G169" s="140">
        <v>6</v>
      </c>
      <c r="H169" s="501"/>
      <c r="I169" s="141">
        <f t="shared" si="3"/>
        <v>0</v>
      </c>
      <c r="J169"/>
      <c r="K169"/>
      <c r="L169"/>
      <c r="M169"/>
      <c r="S169" s="330"/>
    </row>
    <row r="170" spans="1:19" ht="22.5" x14ac:dyDescent="0.2">
      <c r="A170" s="135" t="s">
        <v>460</v>
      </c>
      <c r="B170" s="136" t="s">
        <v>294</v>
      </c>
      <c r="C170" s="142">
        <v>20078</v>
      </c>
      <c r="D170" s="138" t="s">
        <v>690</v>
      </c>
      <c r="E170" s="139" t="s">
        <v>538</v>
      </c>
      <c r="F170" s="118">
        <v>9.1999999999999998E-2</v>
      </c>
      <c r="G170" s="140">
        <v>0.55200000000000005</v>
      </c>
      <c r="H170" s="501"/>
      <c r="I170" s="141">
        <f t="shared" si="3"/>
        <v>0</v>
      </c>
      <c r="J170"/>
      <c r="K170"/>
      <c r="L170"/>
      <c r="M170"/>
      <c r="S170" s="330"/>
    </row>
    <row r="171" spans="1:19" x14ac:dyDescent="0.2">
      <c r="A171" s="135" t="s">
        <v>461</v>
      </c>
      <c r="B171" s="136" t="s">
        <v>294</v>
      </c>
      <c r="C171" s="142">
        <v>296</v>
      </c>
      <c r="D171" s="138" t="s">
        <v>595</v>
      </c>
      <c r="E171" s="139" t="s">
        <v>538</v>
      </c>
      <c r="F171" s="118">
        <v>2</v>
      </c>
      <c r="G171" s="140">
        <v>6</v>
      </c>
      <c r="H171" s="501"/>
      <c r="I171" s="141">
        <f t="shared" si="3"/>
        <v>0</v>
      </c>
      <c r="J171"/>
      <c r="K171"/>
      <c r="L171"/>
      <c r="M171"/>
      <c r="S171" s="330"/>
    </row>
    <row r="172" spans="1:19" ht="22.5" x14ac:dyDescent="0.2">
      <c r="A172" s="135" t="s">
        <v>461</v>
      </c>
      <c r="B172" s="136" t="s">
        <v>294</v>
      </c>
      <c r="C172" s="142">
        <v>3662</v>
      </c>
      <c r="D172" s="138" t="s">
        <v>663</v>
      </c>
      <c r="E172" s="139" t="s">
        <v>538</v>
      </c>
      <c r="F172" s="118">
        <v>1</v>
      </c>
      <c r="G172" s="140">
        <v>3</v>
      </c>
      <c r="H172" s="501"/>
      <c r="I172" s="141">
        <f t="shared" si="3"/>
        <v>0</v>
      </c>
      <c r="J172"/>
      <c r="K172"/>
      <c r="L172"/>
      <c r="M172"/>
      <c r="S172" s="330"/>
    </row>
    <row r="173" spans="1:19" ht="22.5" x14ac:dyDescent="0.2">
      <c r="A173" s="135" t="s">
        <v>461</v>
      </c>
      <c r="B173" s="136" t="s">
        <v>294</v>
      </c>
      <c r="C173" s="142">
        <v>20078</v>
      </c>
      <c r="D173" s="138" t="s">
        <v>690</v>
      </c>
      <c r="E173" s="139" t="s">
        <v>538</v>
      </c>
      <c r="F173" s="118">
        <v>0.04</v>
      </c>
      <c r="G173" s="140">
        <v>0.12</v>
      </c>
      <c r="H173" s="501"/>
      <c r="I173" s="141">
        <f t="shared" si="3"/>
        <v>0</v>
      </c>
      <c r="J173"/>
      <c r="K173"/>
      <c r="L173"/>
      <c r="M173"/>
      <c r="S173" s="330"/>
    </row>
    <row r="174" spans="1:19" x14ac:dyDescent="0.2">
      <c r="A174" s="135" t="s">
        <v>462</v>
      </c>
      <c r="B174" s="136" t="s">
        <v>294</v>
      </c>
      <c r="C174" s="142">
        <v>122</v>
      </c>
      <c r="D174" s="138" t="s">
        <v>592</v>
      </c>
      <c r="E174" s="139" t="s">
        <v>538</v>
      </c>
      <c r="F174" s="118">
        <v>6.7599999999999993E-2</v>
      </c>
      <c r="G174" s="140">
        <v>0.60839999999999994</v>
      </c>
      <c r="H174" s="501"/>
      <c r="I174" s="141">
        <f t="shared" si="3"/>
        <v>0</v>
      </c>
      <c r="J174"/>
      <c r="K174"/>
      <c r="L174"/>
      <c r="M174"/>
      <c r="S174" s="330"/>
    </row>
    <row r="175" spans="1:19" ht="22.5" x14ac:dyDescent="0.2">
      <c r="A175" s="135" t="s">
        <v>462</v>
      </c>
      <c r="B175" s="136" t="s">
        <v>294</v>
      </c>
      <c r="C175" s="142">
        <v>3659</v>
      </c>
      <c r="D175" s="138" t="s">
        <v>661</v>
      </c>
      <c r="E175" s="139" t="s">
        <v>538</v>
      </c>
      <c r="F175" s="118">
        <v>1</v>
      </c>
      <c r="G175" s="140">
        <v>9</v>
      </c>
      <c r="H175" s="501"/>
      <c r="I175" s="141">
        <f t="shared" si="3"/>
        <v>0</v>
      </c>
      <c r="J175"/>
      <c r="K175"/>
      <c r="L175"/>
      <c r="M175"/>
      <c r="S175" s="330"/>
    </row>
    <row r="176" spans="1:19" x14ac:dyDescent="0.2">
      <c r="A176" s="135" t="s">
        <v>462</v>
      </c>
      <c r="B176" s="136" t="s">
        <v>294</v>
      </c>
      <c r="C176" s="142">
        <v>20083</v>
      </c>
      <c r="D176" s="138" t="s">
        <v>698</v>
      </c>
      <c r="E176" s="139" t="s">
        <v>538</v>
      </c>
      <c r="F176" s="118">
        <v>9.11E-2</v>
      </c>
      <c r="G176" s="140">
        <v>0.81989999999999996</v>
      </c>
      <c r="H176" s="501"/>
      <c r="I176" s="141">
        <f t="shared" si="3"/>
        <v>0</v>
      </c>
      <c r="J176"/>
      <c r="K176"/>
      <c r="L176"/>
      <c r="M176"/>
      <c r="S176" s="330"/>
    </row>
    <row r="177" spans="1:19" x14ac:dyDescent="0.2">
      <c r="A177" s="135" t="s">
        <v>463</v>
      </c>
      <c r="B177" s="136" t="s">
        <v>294</v>
      </c>
      <c r="C177" s="142">
        <v>38383</v>
      </c>
      <c r="D177" s="138" t="s">
        <v>673</v>
      </c>
      <c r="E177" s="139" t="s">
        <v>538</v>
      </c>
      <c r="F177" s="118">
        <v>0.1</v>
      </c>
      <c r="G177" s="140">
        <v>1.6</v>
      </c>
      <c r="H177" s="501"/>
      <c r="I177" s="141">
        <f t="shared" si="3"/>
        <v>0</v>
      </c>
      <c r="J177"/>
      <c r="K177"/>
      <c r="L177"/>
      <c r="M177"/>
      <c r="S177" s="330"/>
    </row>
    <row r="178" spans="1:19" x14ac:dyDescent="0.2">
      <c r="A178" s="135" t="s">
        <v>463</v>
      </c>
      <c r="B178" s="136" t="s">
        <v>294</v>
      </c>
      <c r="C178" s="142">
        <v>9835</v>
      </c>
      <c r="D178" s="138" t="s">
        <v>729</v>
      </c>
      <c r="E178" s="139" t="s">
        <v>589</v>
      </c>
      <c r="F178" s="118">
        <v>1.05</v>
      </c>
      <c r="G178" s="140">
        <v>16.8</v>
      </c>
      <c r="H178" s="501"/>
      <c r="I178" s="141">
        <f t="shared" si="3"/>
        <v>0</v>
      </c>
      <c r="J178"/>
      <c r="K178"/>
      <c r="L178"/>
      <c r="M178"/>
      <c r="S178" s="330"/>
    </row>
    <row r="179" spans="1:19" x14ac:dyDescent="0.2">
      <c r="A179" s="135" t="s">
        <v>464</v>
      </c>
      <c r="B179" s="136" t="s">
        <v>294</v>
      </c>
      <c r="C179" s="142">
        <v>122</v>
      </c>
      <c r="D179" s="138" t="s">
        <v>592</v>
      </c>
      <c r="E179" s="139" t="s">
        <v>538</v>
      </c>
      <c r="F179" s="118">
        <v>3.5000000000000001E-3</v>
      </c>
      <c r="G179" s="140">
        <v>0.1855</v>
      </c>
      <c r="H179" s="501"/>
      <c r="I179" s="141">
        <f t="shared" si="3"/>
        <v>0</v>
      </c>
      <c r="J179"/>
      <c r="K179"/>
      <c r="L179"/>
      <c r="M179"/>
      <c r="S179" s="330"/>
    </row>
    <row r="180" spans="1:19" x14ac:dyDescent="0.2">
      <c r="A180" s="135" t="s">
        <v>464</v>
      </c>
      <c r="B180" s="136" t="s">
        <v>294</v>
      </c>
      <c r="C180" s="142">
        <v>38383</v>
      </c>
      <c r="D180" s="138" t="s">
        <v>673</v>
      </c>
      <c r="E180" s="139" t="s">
        <v>538</v>
      </c>
      <c r="F180" s="118">
        <v>1.7000000000000001E-2</v>
      </c>
      <c r="G180" s="140">
        <v>0.90100000000000002</v>
      </c>
      <c r="H180" s="501"/>
      <c r="I180" s="141">
        <f t="shared" si="3"/>
        <v>0</v>
      </c>
      <c r="J180"/>
      <c r="K180"/>
      <c r="L180"/>
      <c r="M180"/>
      <c r="S180" s="330"/>
    </row>
    <row r="181" spans="1:19" x14ac:dyDescent="0.2">
      <c r="A181" s="135" t="s">
        <v>464</v>
      </c>
      <c r="B181" s="136" t="s">
        <v>294</v>
      </c>
      <c r="C181" s="142">
        <v>20083</v>
      </c>
      <c r="D181" s="138" t="s">
        <v>698</v>
      </c>
      <c r="E181" s="139" t="s">
        <v>538</v>
      </c>
      <c r="F181" s="118">
        <v>4.7999999999999996E-3</v>
      </c>
      <c r="G181" s="140">
        <v>0.25439999999999996</v>
      </c>
      <c r="H181" s="501"/>
      <c r="I181" s="141">
        <f t="shared" si="3"/>
        <v>0</v>
      </c>
      <c r="J181"/>
      <c r="K181"/>
      <c r="L181"/>
      <c r="M181"/>
      <c r="S181" s="330"/>
    </row>
    <row r="182" spans="1:19" x14ac:dyDescent="0.2">
      <c r="A182" s="135" t="s">
        <v>464</v>
      </c>
      <c r="B182" s="136" t="s">
        <v>294</v>
      </c>
      <c r="C182" s="142">
        <v>9838</v>
      </c>
      <c r="D182" s="138" t="s">
        <v>730</v>
      </c>
      <c r="E182" s="139" t="s">
        <v>589</v>
      </c>
      <c r="F182" s="118">
        <v>1.05</v>
      </c>
      <c r="G182" s="140">
        <v>55.650000000000006</v>
      </c>
      <c r="H182" s="501"/>
      <c r="I182" s="141">
        <f t="shared" si="3"/>
        <v>0</v>
      </c>
      <c r="J182"/>
      <c r="K182"/>
      <c r="L182"/>
      <c r="M182"/>
      <c r="S182" s="330"/>
    </row>
    <row r="183" spans="1:19" x14ac:dyDescent="0.2">
      <c r="A183" s="135" t="s">
        <v>465</v>
      </c>
      <c r="B183" s="136" t="s">
        <v>294</v>
      </c>
      <c r="C183" s="142">
        <v>122</v>
      </c>
      <c r="D183" s="138" t="s">
        <v>592</v>
      </c>
      <c r="E183" s="139" t="s">
        <v>538</v>
      </c>
      <c r="F183" s="118">
        <v>8.0000000000000002E-3</v>
      </c>
      <c r="G183" s="140">
        <v>0.08</v>
      </c>
      <c r="H183" s="501"/>
      <c r="I183" s="141">
        <f t="shared" si="3"/>
        <v>0</v>
      </c>
      <c r="J183"/>
      <c r="K183"/>
      <c r="L183"/>
      <c r="M183"/>
      <c r="S183" s="330"/>
    </row>
    <row r="184" spans="1:19" x14ac:dyDescent="0.2">
      <c r="A184" s="135" t="s">
        <v>465</v>
      </c>
      <c r="B184" s="136" t="s">
        <v>294</v>
      </c>
      <c r="C184" s="142">
        <v>38383</v>
      </c>
      <c r="D184" s="138" t="s">
        <v>673</v>
      </c>
      <c r="E184" s="139" t="s">
        <v>538</v>
      </c>
      <c r="F184" s="118">
        <v>3.6999999999999998E-2</v>
      </c>
      <c r="G184" s="140">
        <v>0.37</v>
      </c>
      <c r="H184" s="501"/>
      <c r="I184" s="141">
        <f t="shared" si="3"/>
        <v>0</v>
      </c>
      <c r="J184"/>
      <c r="K184"/>
      <c r="L184"/>
      <c r="M184"/>
      <c r="S184" s="330"/>
    </row>
    <row r="185" spans="1:19" x14ac:dyDescent="0.2">
      <c r="A185" s="135" t="s">
        <v>465</v>
      </c>
      <c r="B185" s="136" t="s">
        <v>294</v>
      </c>
      <c r="C185" s="142">
        <v>20083</v>
      </c>
      <c r="D185" s="138" t="s">
        <v>698</v>
      </c>
      <c r="E185" s="139" t="s">
        <v>538</v>
      </c>
      <c r="F185" s="118">
        <v>1.24E-2</v>
      </c>
      <c r="G185" s="140">
        <v>0.124</v>
      </c>
      <c r="H185" s="501"/>
      <c r="I185" s="141">
        <f t="shared" si="3"/>
        <v>0</v>
      </c>
      <c r="J185"/>
      <c r="K185"/>
      <c r="L185"/>
      <c r="M185"/>
      <c r="S185" s="330"/>
    </row>
    <row r="186" spans="1:19" x14ac:dyDescent="0.2">
      <c r="A186" s="135" t="s">
        <v>465</v>
      </c>
      <c r="B186" s="136" t="s">
        <v>294</v>
      </c>
      <c r="C186" s="142">
        <v>9837</v>
      </c>
      <c r="D186" s="138" t="s">
        <v>731</v>
      </c>
      <c r="E186" s="139" t="s">
        <v>589</v>
      </c>
      <c r="F186" s="118">
        <v>1.05</v>
      </c>
      <c r="G186" s="140">
        <v>10.5</v>
      </c>
      <c r="H186" s="501"/>
      <c r="I186" s="141">
        <f t="shared" si="3"/>
        <v>0</v>
      </c>
      <c r="J186"/>
      <c r="K186"/>
      <c r="L186"/>
      <c r="M186"/>
      <c r="S186" s="330"/>
    </row>
    <row r="187" spans="1:19" x14ac:dyDescent="0.2">
      <c r="A187" s="135" t="s">
        <v>466</v>
      </c>
      <c r="B187" s="136" t="s">
        <v>294</v>
      </c>
      <c r="C187" s="142">
        <v>122</v>
      </c>
      <c r="D187" s="138" t="s">
        <v>592</v>
      </c>
      <c r="E187" s="139" t="s">
        <v>538</v>
      </c>
      <c r="F187" s="118">
        <v>1.17E-2</v>
      </c>
      <c r="G187" s="140">
        <v>0.84240000000000004</v>
      </c>
      <c r="H187" s="501"/>
      <c r="I187" s="141">
        <f t="shared" si="3"/>
        <v>0</v>
      </c>
      <c r="J187"/>
      <c r="K187"/>
      <c r="L187"/>
      <c r="M187"/>
      <c r="S187" s="330"/>
    </row>
    <row r="188" spans="1:19" x14ac:dyDescent="0.2">
      <c r="A188" s="135" t="s">
        <v>466</v>
      </c>
      <c r="B188" s="136" t="s">
        <v>294</v>
      </c>
      <c r="C188" s="142">
        <v>38383</v>
      </c>
      <c r="D188" s="138" t="s">
        <v>673</v>
      </c>
      <c r="E188" s="139" t="s">
        <v>538</v>
      </c>
      <c r="F188" s="118">
        <v>5.2999999999999999E-2</v>
      </c>
      <c r="G188" s="140">
        <v>3.8159999999999998</v>
      </c>
      <c r="H188" s="501"/>
      <c r="I188" s="141">
        <f t="shared" si="3"/>
        <v>0</v>
      </c>
      <c r="J188"/>
      <c r="K188"/>
      <c r="L188"/>
      <c r="M188"/>
      <c r="S188" s="330"/>
    </row>
    <row r="189" spans="1:19" x14ac:dyDescent="0.2">
      <c r="A189" s="135" t="s">
        <v>466</v>
      </c>
      <c r="B189" s="136" t="s">
        <v>294</v>
      </c>
      <c r="C189" s="142">
        <v>20083</v>
      </c>
      <c r="D189" s="138" t="s">
        <v>698</v>
      </c>
      <c r="E189" s="139" t="s">
        <v>538</v>
      </c>
      <c r="F189" s="118">
        <v>1.9099999999999999E-2</v>
      </c>
      <c r="G189" s="140">
        <v>1.3752</v>
      </c>
      <c r="H189" s="501"/>
      <c r="I189" s="141">
        <f t="shared" si="3"/>
        <v>0</v>
      </c>
      <c r="J189"/>
      <c r="K189"/>
      <c r="L189"/>
      <c r="M189"/>
      <c r="S189" s="330"/>
    </row>
    <row r="190" spans="1:19" x14ac:dyDescent="0.2">
      <c r="A190" s="135" t="s">
        <v>466</v>
      </c>
      <c r="B190" s="136" t="s">
        <v>294</v>
      </c>
      <c r="C190" s="142">
        <v>9836</v>
      </c>
      <c r="D190" s="138" t="s">
        <v>728</v>
      </c>
      <c r="E190" s="139" t="s">
        <v>589</v>
      </c>
      <c r="F190" s="118">
        <v>1.05</v>
      </c>
      <c r="G190" s="140">
        <v>75.600000000000009</v>
      </c>
      <c r="H190" s="501"/>
      <c r="I190" s="141">
        <f t="shared" si="3"/>
        <v>0</v>
      </c>
      <c r="J190"/>
      <c r="K190"/>
      <c r="L190"/>
      <c r="M190"/>
      <c r="S190" s="330"/>
    </row>
    <row r="191" spans="1:19" ht="22.5" x14ac:dyDescent="0.2">
      <c r="A191" s="135" t="s">
        <v>467</v>
      </c>
      <c r="B191" s="136" t="s">
        <v>294</v>
      </c>
      <c r="C191" s="142">
        <v>299</v>
      </c>
      <c r="D191" s="138" t="s">
        <v>597</v>
      </c>
      <c r="E191" s="139" t="s">
        <v>538</v>
      </c>
      <c r="F191" s="118">
        <v>0.33</v>
      </c>
      <c r="G191" s="140">
        <v>11.22</v>
      </c>
      <c r="H191" s="501"/>
      <c r="I191" s="141">
        <f t="shared" si="3"/>
        <v>0</v>
      </c>
      <c r="J191"/>
      <c r="K191"/>
      <c r="L191"/>
      <c r="M191"/>
      <c r="S191" s="330"/>
    </row>
    <row r="192" spans="1:19" ht="22.5" x14ac:dyDescent="0.2">
      <c r="A192" s="135" t="s">
        <v>467</v>
      </c>
      <c r="B192" s="136" t="s">
        <v>294</v>
      </c>
      <c r="C192" s="142">
        <v>9841</v>
      </c>
      <c r="D192" s="138" t="s">
        <v>732</v>
      </c>
      <c r="E192" s="139" t="s">
        <v>589</v>
      </c>
      <c r="F192" s="118">
        <v>1.1000000000000001</v>
      </c>
      <c r="G192" s="140">
        <v>37.400000000000006</v>
      </c>
      <c r="H192" s="501"/>
      <c r="I192" s="141">
        <f t="shared" si="3"/>
        <v>0</v>
      </c>
      <c r="J192"/>
      <c r="K192"/>
      <c r="L192"/>
      <c r="M192"/>
      <c r="S192" s="330"/>
    </row>
    <row r="193" spans="1:19" x14ac:dyDescent="0.2">
      <c r="A193" s="143" t="s">
        <v>468</v>
      </c>
      <c r="B193" s="136" t="s">
        <v>294</v>
      </c>
      <c r="C193" s="142">
        <v>3146</v>
      </c>
      <c r="D193" s="138" t="s">
        <v>639</v>
      </c>
      <c r="E193" s="139" t="s">
        <v>538</v>
      </c>
      <c r="F193" s="118">
        <v>3.32E-2</v>
      </c>
      <c r="G193" s="140">
        <v>0.29519447999999998</v>
      </c>
      <c r="H193" s="501"/>
      <c r="I193" s="141">
        <f t="shared" si="3"/>
        <v>0</v>
      </c>
      <c r="J193"/>
      <c r="K193"/>
      <c r="L193"/>
      <c r="M193"/>
      <c r="S193" s="330"/>
    </row>
    <row r="194" spans="1:19" x14ac:dyDescent="0.2">
      <c r="A194" s="143" t="s">
        <v>468</v>
      </c>
      <c r="B194" s="136" t="s">
        <v>294</v>
      </c>
      <c r="C194" s="142">
        <v>6148</v>
      </c>
      <c r="D194" s="138" t="e">
        <v>#N/A</v>
      </c>
      <c r="E194" s="139" t="e">
        <v>#N/A</v>
      </c>
      <c r="F194" s="118">
        <v>1</v>
      </c>
      <c r="G194" s="140">
        <v>8.8913999999999991</v>
      </c>
      <c r="H194" s="501"/>
      <c r="I194" s="141">
        <f t="shared" si="3"/>
        <v>0</v>
      </c>
      <c r="J194"/>
      <c r="K194"/>
      <c r="L194"/>
      <c r="M194"/>
      <c r="S194" s="330"/>
    </row>
    <row r="195" spans="1:19" x14ac:dyDescent="0.2">
      <c r="A195" s="143" t="s">
        <v>469</v>
      </c>
      <c r="B195" s="136" t="s">
        <v>294</v>
      </c>
      <c r="C195" s="142">
        <v>3146</v>
      </c>
      <c r="D195" s="138" t="s">
        <v>639</v>
      </c>
      <c r="E195" s="139" t="s">
        <v>538</v>
      </c>
      <c r="F195" s="118">
        <v>3.32E-2</v>
      </c>
      <c r="G195" s="140">
        <v>0.14759723999999999</v>
      </c>
      <c r="H195" s="501"/>
      <c r="I195" s="141">
        <f t="shared" ref="I195:I258" si="4">IFERROR(H195*G195,"")</f>
        <v>0</v>
      </c>
      <c r="J195"/>
      <c r="K195"/>
      <c r="L195"/>
      <c r="M195"/>
      <c r="S195" s="330"/>
    </row>
    <row r="196" spans="1:19" s="121" customFormat="1" ht="12.75" x14ac:dyDescent="0.2">
      <c r="A196" s="143" t="s">
        <v>469</v>
      </c>
      <c r="B196" s="136" t="s">
        <v>294</v>
      </c>
      <c r="C196" s="142">
        <v>6136</v>
      </c>
      <c r="D196" s="138" t="s">
        <v>697</v>
      </c>
      <c r="E196" s="139" t="s">
        <v>538</v>
      </c>
      <c r="F196" s="118">
        <v>1</v>
      </c>
      <c r="G196" s="140">
        <v>4.4456999999999995</v>
      </c>
      <c r="H196" s="501"/>
      <c r="I196" s="141">
        <f t="shared" si="4"/>
        <v>0</v>
      </c>
      <c r="S196" s="330"/>
    </row>
    <row r="197" spans="1:19" x14ac:dyDescent="0.2">
      <c r="A197" s="135" t="s">
        <v>470</v>
      </c>
      <c r="B197" s="136" t="s">
        <v>294</v>
      </c>
      <c r="C197" s="142">
        <v>34653</v>
      </c>
      <c r="D197" s="138" t="s">
        <v>627</v>
      </c>
      <c r="E197" s="139" t="s">
        <v>538</v>
      </c>
      <c r="F197" s="118">
        <v>1</v>
      </c>
      <c r="G197" s="140">
        <v>3.5287200000000003</v>
      </c>
      <c r="H197" s="501"/>
      <c r="I197" s="141">
        <f t="shared" si="4"/>
        <v>0</v>
      </c>
      <c r="J197"/>
      <c r="K197"/>
      <c r="L197"/>
      <c r="M197"/>
      <c r="S197" s="330"/>
    </row>
    <row r="198" spans="1:19" ht="22.5" x14ac:dyDescent="0.2">
      <c r="A198" s="135" t="s">
        <v>470</v>
      </c>
      <c r="B198" s="136" t="s">
        <v>294</v>
      </c>
      <c r="C198" s="142">
        <v>1570</v>
      </c>
      <c r="D198" s="138" t="s">
        <v>716</v>
      </c>
      <c r="E198" s="139" t="s">
        <v>538</v>
      </c>
      <c r="F198" s="118">
        <v>1</v>
      </c>
      <c r="G198" s="140">
        <v>3.5287200000000003</v>
      </c>
      <c r="H198" s="501"/>
      <c r="I198" s="141">
        <f t="shared" si="4"/>
        <v>0</v>
      </c>
      <c r="J198"/>
      <c r="K198"/>
      <c r="L198"/>
      <c r="M198"/>
      <c r="S198" s="330"/>
    </row>
    <row r="199" spans="1:19" x14ac:dyDescent="0.2">
      <c r="A199" s="135" t="s">
        <v>471</v>
      </c>
      <c r="B199" s="136" t="s">
        <v>294</v>
      </c>
      <c r="C199" s="142">
        <v>34653</v>
      </c>
      <c r="D199" s="138" t="s">
        <v>627</v>
      </c>
      <c r="E199" s="139" t="s">
        <v>538</v>
      </c>
      <c r="F199" s="118">
        <v>1</v>
      </c>
      <c r="G199" s="140">
        <v>0</v>
      </c>
      <c r="H199" s="501"/>
      <c r="I199" s="141">
        <f t="shared" si="4"/>
        <v>0</v>
      </c>
      <c r="J199"/>
      <c r="K199"/>
      <c r="L199"/>
      <c r="M199"/>
      <c r="S199" s="330"/>
    </row>
    <row r="200" spans="1:19" ht="22.5" x14ac:dyDescent="0.2">
      <c r="A200" s="135" t="s">
        <v>471</v>
      </c>
      <c r="B200" s="136" t="s">
        <v>294</v>
      </c>
      <c r="C200" s="142">
        <v>1571</v>
      </c>
      <c r="D200" s="138" t="s">
        <v>718</v>
      </c>
      <c r="E200" s="139" t="s">
        <v>538</v>
      </c>
      <c r="F200" s="118">
        <v>1</v>
      </c>
      <c r="G200" s="140">
        <v>0</v>
      </c>
      <c r="H200" s="501"/>
      <c r="I200" s="141">
        <f t="shared" si="4"/>
        <v>0</v>
      </c>
      <c r="J200"/>
      <c r="K200"/>
      <c r="L200"/>
      <c r="M200"/>
      <c r="S200" s="330"/>
    </row>
    <row r="201" spans="1:19" x14ac:dyDescent="0.2">
      <c r="A201" s="135" t="s">
        <v>472</v>
      </c>
      <c r="B201" s="136" t="s">
        <v>294</v>
      </c>
      <c r="C201" s="142">
        <v>34653</v>
      </c>
      <c r="D201" s="138" t="s">
        <v>627</v>
      </c>
      <c r="E201" s="139" t="s">
        <v>538</v>
      </c>
      <c r="F201" s="118">
        <v>1</v>
      </c>
      <c r="G201" s="140">
        <v>0</v>
      </c>
      <c r="H201" s="501"/>
      <c r="I201" s="141">
        <f t="shared" si="4"/>
        <v>0</v>
      </c>
      <c r="J201"/>
      <c r="K201"/>
      <c r="L201"/>
      <c r="M201"/>
      <c r="S201" s="330"/>
    </row>
    <row r="202" spans="1:19" ht="22.5" x14ac:dyDescent="0.2">
      <c r="A202" s="135" t="s">
        <v>472</v>
      </c>
      <c r="B202" s="136" t="s">
        <v>294</v>
      </c>
      <c r="C202" s="142">
        <v>1573</v>
      </c>
      <c r="D202" s="138" t="s">
        <v>719</v>
      </c>
      <c r="E202" s="139" t="s">
        <v>538</v>
      </c>
      <c r="F202" s="118">
        <v>1</v>
      </c>
      <c r="G202" s="140">
        <v>0</v>
      </c>
      <c r="H202" s="501"/>
      <c r="I202" s="141">
        <f t="shared" si="4"/>
        <v>0</v>
      </c>
      <c r="J202"/>
      <c r="K202"/>
      <c r="L202"/>
      <c r="M202"/>
      <c r="S202" s="330"/>
    </row>
    <row r="203" spans="1:19" x14ac:dyDescent="0.2">
      <c r="A203" s="135" t="s">
        <v>473</v>
      </c>
      <c r="B203" s="136" t="s">
        <v>294</v>
      </c>
      <c r="C203" s="142">
        <v>34686</v>
      </c>
      <c r="D203" s="138" t="s">
        <v>626</v>
      </c>
      <c r="E203" s="139" t="s">
        <v>538</v>
      </c>
      <c r="F203" s="118">
        <v>1</v>
      </c>
      <c r="G203" s="140">
        <v>0</v>
      </c>
      <c r="H203" s="501"/>
      <c r="I203" s="141">
        <f t="shared" si="4"/>
        <v>0</v>
      </c>
      <c r="J203"/>
      <c r="K203"/>
      <c r="L203"/>
      <c r="M203"/>
      <c r="S203" s="330"/>
    </row>
    <row r="204" spans="1:19" ht="22.5" x14ac:dyDescent="0.2">
      <c r="A204" s="135" t="s">
        <v>473</v>
      </c>
      <c r="B204" s="136" t="s">
        <v>294</v>
      </c>
      <c r="C204" s="142">
        <v>1574</v>
      </c>
      <c r="D204" s="138" t="s">
        <v>714</v>
      </c>
      <c r="E204" s="139" t="s">
        <v>538</v>
      </c>
      <c r="F204" s="118">
        <v>1</v>
      </c>
      <c r="G204" s="140">
        <v>0</v>
      </c>
      <c r="H204" s="501"/>
      <c r="I204" s="141">
        <f t="shared" si="4"/>
        <v>0</v>
      </c>
      <c r="J204"/>
      <c r="K204"/>
      <c r="L204"/>
      <c r="M204"/>
      <c r="S204" s="330"/>
    </row>
    <row r="205" spans="1:19" x14ac:dyDescent="0.2">
      <c r="A205" s="135" t="s">
        <v>474</v>
      </c>
      <c r="B205" s="136" t="s">
        <v>294</v>
      </c>
      <c r="C205" s="142">
        <v>2388</v>
      </c>
      <c r="D205" s="138" t="s">
        <v>628</v>
      </c>
      <c r="E205" s="139" t="s">
        <v>538</v>
      </c>
      <c r="F205" s="118">
        <v>1</v>
      </c>
      <c r="G205" s="140">
        <v>3.1366400000000003</v>
      </c>
      <c r="H205" s="501"/>
      <c r="I205" s="141">
        <f t="shared" si="4"/>
        <v>0</v>
      </c>
      <c r="J205"/>
      <c r="K205"/>
      <c r="L205"/>
      <c r="M205"/>
      <c r="S205" s="330"/>
    </row>
    <row r="206" spans="1:19" ht="22.5" x14ac:dyDescent="0.2">
      <c r="A206" s="135" t="s">
        <v>474</v>
      </c>
      <c r="B206" s="136" t="s">
        <v>294</v>
      </c>
      <c r="C206" s="142">
        <v>1571</v>
      </c>
      <c r="D206" s="138" t="s">
        <v>718</v>
      </c>
      <c r="E206" s="139" t="s">
        <v>538</v>
      </c>
      <c r="F206" s="118">
        <v>2</v>
      </c>
      <c r="G206" s="140">
        <v>6.2732800000000006</v>
      </c>
      <c r="H206" s="501"/>
      <c r="I206" s="141">
        <f t="shared" si="4"/>
        <v>0</v>
      </c>
      <c r="J206"/>
      <c r="K206"/>
      <c r="L206"/>
      <c r="M206"/>
      <c r="S206" s="330"/>
    </row>
    <row r="207" spans="1:19" x14ac:dyDescent="0.2">
      <c r="A207" s="135" t="s">
        <v>475</v>
      </c>
      <c r="B207" s="136" t="s">
        <v>294</v>
      </c>
      <c r="C207" s="142">
        <v>2373</v>
      </c>
      <c r="D207" s="138" t="s">
        <v>629</v>
      </c>
      <c r="E207" s="139" t="s">
        <v>538</v>
      </c>
      <c r="F207" s="118">
        <v>1</v>
      </c>
      <c r="G207" s="140">
        <v>0.94099200000000005</v>
      </c>
      <c r="H207" s="501"/>
      <c r="I207" s="141">
        <f t="shared" si="4"/>
        <v>0</v>
      </c>
      <c r="J207"/>
      <c r="K207"/>
      <c r="L207"/>
      <c r="M207"/>
      <c r="S207" s="330"/>
    </row>
    <row r="208" spans="1:19" ht="22.5" x14ac:dyDescent="0.2">
      <c r="A208" s="135" t="s">
        <v>475</v>
      </c>
      <c r="B208" s="136" t="s">
        <v>294</v>
      </c>
      <c r="C208" s="142">
        <v>1576</v>
      </c>
      <c r="D208" s="138" t="s">
        <v>717</v>
      </c>
      <c r="E208" s="139" t="s">
        <v>538</v>
      </c>
      <c r="F208" s="118">
        <v>3</v>
      </c>
      <c r="G208" s="140">
        <v>2.8229760000000002</v>
      </c>
      <c r="H208" s="501"/>
      <c r="I208" s="141">
        <f t="shared" si="4"/>
        <v>0</v>
      </c>
      <c r="J208"/>
      <c r="K208"/>
      <c r="L208"/>
      <c r="M208"/>
      <c r="S208" s="330"/>
    </row>
    <row r="209" spans="1:19" x14ac:dyDescent="0.2">
      <c r="A209" s="135" t="s">
        <v>476</v>
      </c>
      <c r="B209" s="136" t="s">
        <v>294</v>
      </c>
      <c r="C209" s="142">
        <v>2377</v>
      </c>
      <c r="D209" s="138" t="s">
        <v>625</v>
      </c>
      <c r="E209" s="139" t="s">
        <v>538</v>
      </c>
      <c r="F209" s="118">
        <v>1</v>
      </c>
      <c r="G209" s="140">
        <v>0.23524800000000001</v>
      </c>
      <c r="H209" s="501"/>
      <c r="I209" s="141">
        <f t="shared" si="4"/>
        <v>0</v>
      </c>
      <c r="J209"/>
      <c r="K209"/>
      <c r="L209"/>
      <c r="M209"/>
      <c r="S209" s="330"/>
    </row>
    <row r="210" spans="1:19" ht="22.5" x14ac:dyDescent="0.2">
      <c r="A210" s="135" t="s">
        <v>476</v>
      </c>
      <c r="B210" s="136" t="s">
        <v>294</v>
      </c>
      <c r="C210" s="142">
        <v>1580</v>
      </c>
      <c r="D210" s="138" t="s">
        <v>720</v>
      </c>
      <c r="E210" s="139" t="s">
        <v>538</v>
      </c>
      <c r="F210" s="118">
        <v>3</v>
      </c>
      <c r="G210" s="140">
        <v>0.70574400000000004</v>
      </c>
      <c r="H210" s="501"/>
      <c r="I210" s="141">
        <f t="shared" si="4"/>
        <v>0</v>
      </c>
      <c r="J210"/>
      <c r="K210"/>
      <c r="L210"/>
      <c r="M210"/>
      <c r="S210" s="330"/>
    </row>
    <row r="211" spans="1:19" ht="22.5" x14ac:dyDescent="0.2">
      <c r="A211" s="135" t="s">
        <v>477</v>
      </c>
      <c r="B211" s="136" t="s">
        <v>294</v>
      </c>
      <c r="C211" s="142">
        <v>38780</v>
      </c>
      <c r="D211" s="138" t="s">
        <v>664</v>
      </c>
      <c r="E211" s="139" t="s">
        <v>538</v>
      </c>
      <c r="F211" s="118">
        <v>1</v>
      </c>
      <c r="G211" s="140">
        <v>0</v>
      </c>
      <c r="H211" s="501"/>
      <c r="I211" s="141">
        <f t="shared" si="4"/>
        <v>0</v>
      </c>
      <c r="J211" s="25" t="s">
        <v>478</v>
      </c>
      <c r="K211" s="25" t="s">
        <v>479</v>
      </c>
      <c r="L211"/>
      <c r="M211"/>
      <c r="S211" s="330"/>
    </row>
    <row r="212" spans="1:19" x14ac:dyDescent="0.2">
      <c r="A212" s="135" t="s">
        <v>477</v>
      </c>
      <c r="B212" s="136" t="s">
        <v>294</v>
      </c>
      <c r="C212" s="142">
        <v>12295</v>
      </c>
      <c r="D212" s="138" t="s">
        <v>699</v>
      </c>
      <c r="E212" s="139" t="s">
        <v>538</v>
      </c>
      <c r="F212" s="118">
        <v>0.1</v>
      </c>
      <c r="G212" s="140">
        <v>0</v>
      </c>
      <c r="H212" s="501"/>
      <c r="I212" s="141">
        <f t="shared" si="4"/>
        <v>0</v>
      </c>
      <c r="J212" s="25">
        <v>1</v>
      </c>
      <c r="K212" s="25">
        <v>0.1</v>
      </c>
      <c r="L212"/>
      <c r="M212"/>
      <c r="S212" s="330"/>
    </row>
    <row r="213" spans="1:19" x14ac:dyDescent="0.2">
      <c r="A213" s="135" t="s">
        <v>480</v>
      </c>
      <c r="B213" s="136" t="s">
        <v>294</v>
      </c>
      <c r="C213" s="142">
        <v>3753</v>
      </c>
      <c r="D213" s="138" t="s">
        <v>665</v>
      </c>
      <c r="E213" s="139" t="s">
        <v>538</v>
      </c>
      <c r="F213" s="118">
        <v>1</v>
      </c>
      <c r="G213" s="140">
        <v>0</v>
      </c>
      <c r="H213" s="501"/>
      <c r="I213" s="141">
        <f t="shared" si="4"/>
        <v>0</v>
      </c>
      <c r="J213" s="144">
        <v>1</v>
      </c>
      <c r="K213"/>
      <c r="L213"/>
      <c r="M213"/>
      <c r="S213" s="330"/>
    </row>
    <row r="214" spans="1:19" s="121" customFormat="1" ht="12.75" x14ac:dyDescent="0.2">
      <c r="A214" s="135" t="s">
        <v>480</v>
      </c>
      <c r="B214" s="136" t="s">
        <v>294</v>
      </c>
      <c r="C214" s="142">
        <v>1087</v>
      </c>
      <c r="D214" s="138" t="s">
        <v>692</v>
      </c>
      <c r="E214" s="139" t="s">
        <v>538</v>
      </c>
      <c r="F214" s="118">
        <v>0.2</v>
      </c>
      <c r="G214" s="140">
        <v>0</v>
      </c>
      <c r="H214" s="501"/>
      <c r="I214" s="141">
        <f t="shared" si="4"/>
        <v>0</v>
      </c>
      <c r="J214" s="118">
        <v>1</v>
      </c>
      <c r="K214" s="121">
        <v>0.2</v>
      </c>
      <c r="S214" s="330"/>
    </row>
    <row r="215" spans="1:19" s="121" customFormat="1" ht="12.75" x14ac:dyDescent="0.2">
      <c r="A215" s="135" t="s">
        <v>480</v>
      </c>
      <c r="B215" s="136" t="s">
        <v>294</v>
      </c>
      <c r="C215" s="142">
        <v>12295</v>
      </c>
      <c r="D215" s="138" t="s">
        <v>699</v>
      </c>
      <c r="E215" s="139" t="s">
        <v>538</v>
      </c>
      <c r="F215" s="118">
        <v>0.2</v>
      </c>
      <c r="G215" s="140">
        <v>0</v>
      </c>
      <c r="H215" s="501"/>
      <c r="I215" s="141">
        <f t="shared" si="4"/>
        <v>0</v>
      </c>
      <c r="J215" s="118">
        <v>2</v>
      </c>
      <c r="K215" s="121">
        <v>0.1</v>
      </c>
      <c r="S215" s="330"/>
    </row>
    <row r="216" spans="1:19" s="121" customFormat="1" ht="12.75" x14ac:dyDescent="0.2">
      <c r="A216" s="135" t="s">
        <v>481</v>
      </c>
      <c r="B216" s="136" t="s">
        <v>294</v>
      </c>
      <c r="C216" s="142">
        <v>38779</v>
      </c>
      <c r="D216" s="138" t="s">
        <v>667</v>
      </c>
      <c r="E216" s="139" t="s">
        <v>538</v>
      </c>
      <c r="F216" s="118">
        <v>1</v>
      </c>
      <c r="G216" s="140">
        <v>0</v>
      </c>
      <c r="H216" s="501"/>
      <c r="I216" s="141">
        <f t="shared" si="4"/>
        <v>0</v>
      </c>
      <c r="J216" s="118">
        <v>1</v>
      </c>
      <c r="S216" s="330"/>
    </row>
    <row r="217" spans="1:19" s="121" customFormat="1" ht="12.75" x14ac:dyDescent="0.2">
      <c r="A217" s="135" t="s">
        <v>481</v>
      </c>
      <c r="B217" s="136" t="s">
        <v>294</v>
      </c>
      <c r="C217" s="142">
        <v>1087</v>
      </c>
      <c r="D217" s="138" t="s">
        <v>692</v>
      </c>
      <c r="E217" s="139" t="s">
        <v>538</v>
      </c>
      <c r="F217" s="118">
        <v>0.2</v>
      </c>
      <c r="G217" s="140">
        <v>0</v>
      </c>
      <c r="H217" s="501"/>
      <c r="I217" s="141">
        <f t="shared" si="4"/>
        <v>0</v>
      </c>
      <c r="J217" s="145">
        <v>1</v>
      </c>
      <c r="K217" s="121">
        <v>0.2</v>
      </c>
      <c r="L217" s="121">
        <v>1088</v>
      </c>
      <c r="M217" s="121" t="s">
        <v>482</v>
      </c>
      <c r="S217" s="330"/>
    </row>
    <row r="218" spans="1:19" s="121" customFormat="1" ht="12.75" x14ac:dyDescent="0.2">
      <c r="A218" s="135" t="s">
        <v>481</v>
      </c>
      <c r="B218" s="136" t="s">
        <v>294</v>
      </c>
      <c r="C218" s="142">
        <v>12295</v>
      </c>
      <c r="D218" s="138" t="s">
        <v>699</v>
      </c>
      <c r="E218" s="139" t="s">
        <v>538</v>
      </c>
      <c r="F218" s="118">
        <v>0.2</v>
      </c>
      <c r="G218" s="140">
        <v>0</v>
      </c>
      <c r="H218" s="501"/>
      <c r="I218" s="141">
        <f t="shared" si="4"/>
        <v>0</v>
      </c>
      <c r="J218" s="145">
        <v>2</v>
      </c>
      <c r="K218" s="121">
        <v>0.1</v>
      </c>
      <c r="L218" s="121">
        <v>1079</v>
      </c>
      <c r="M218" s="121" t="s">
        <v>483</v>
      </c>
      <c r="S218" s="330"/>
    </row>
    <row r="219" spans="1:19" s="121" customFormat="1" ht="12.75" x14ac:dyDescent="0.2">
      <c r="A219" s="135" t="s">
        <v>484</v>
      </c>
      <c r="B219" s="136" t="s">
        <v>294</v>
      </c>
      <c r="C219" s="142">
        <v>38778</v>
      </c>
      <c r="D219" s="138" t="s">
        <v>666</v>
      </c>
      <c r="E219" s="139" t="s">
        <v>538</v>
      </c>
      <c r="F219" s="118">
        <v>1</v>
      </c>
      <c r="G219" s="140">
        <v>0</v>
      </c>
      <c r="H219" s="501"/>
      <c r="I219" s="141">
        <f t="shared" si="4"/>
        <v>0</v>
      </c>
      <c r="J219" s="118">
        <v>1</v>
      </c>
      <c r="L219" s="121">
        <v>1086</v>
      </c>
      <c r="M219" s="121" t="s">
        <v>485</v>
      </c>
      <c r="S219" s="330"/>
    </row>
    <row r="220" spans="1:19" s="121" customFormat="1" ht="12.75" x14ac:dyDescent="0.2">
      <c r="A220" s="135" t="s">
        <v>484</v>
      </c>
      <c r="B220" s="136" t="s">
        <v>294</v>
      </c>
      <c r="C220" s="142">
        <v>1088</v>
      </c>
      <c r="D220" s="138" t="s">
        <v>482</v>
      </c>
      <c r="E220" s="139" t="s">
        <v>538</v>
      </c>
      <c r="F220" s="118">
        <v>0.2</v>
      </c>
      <c r="G220" s="140">
        <v>0</v>
      </c>
      <c r="H220" s="501"/>
      <c r="I220" s="141">
        <f t="shared" si="4"/>
        <v>0</v>
      </c>
      <c r="J220" s="118">
        <v>1</v>
      </c>
      <c r="K220" s="121">
        <v>0.2</v>
      </c>
      <c r="S220" s="330"/>
    </row>
    <row r="221" spans="1:19" s="121" customFormat="1" ht="12.75" x14ac:dyDescent="0.2">
      <c r="A221" s="135" t="s">
        <v>484</v>
      </c>
      <c r="B221" s="136" t="s">
        <v>294</v>
      </c>
      <c r="C221" s="142">
        <v>12295</v>
      </c>
      <c r="D221" s="138" t="s">
        <v>699</v>
      </c>
      <c r="E221" s="139" t="s">
        <v>538</v>
      </c>
      <c r="F221" s="118">
        <v>0.2</v>
      </c>
      <c r="G221" s="140">
        <v>0</v>
      </c>
      <c r="H221" s="501"/>
      <c r="I221" s="141">
        <f t="shared" si="4"/>
        <v>0</v>
      </c>
      <c r="J221" s="118">
        <v>2</v>
      </c>
      <c r="K221" s="121">
        <v>0.1</v>
      </c>
      <c r="S221" s="330"/>
    </row>
    <row r="222" spans="1:19" s="121" customFormat="1" ht="12.75" x14ac:dyDescent="0.2">
      <c r="A222" s="135" t="s">
        <v>486</v>
      </c>
      <c r="B222" s="136" t="s">
        <v>294</v>
      </c>
      <c r="C222" s="142">
        <v>39386</v>
      </c>
      <c r="D222" s="138" t="s">
        <v>669</v>
      </c>
      <c r="E222" s="139" t="s">
        <v>538</v>
      </c>
      <c r="F222" s="118">
        <v>1</v>
      </c>
      <c r="G222" s="140">
        <v>222</v>
      </c>
      <c r="H222" s="501"/>
      <c r="I222" s="141">
        <f t="shared" si="4"/>
        <v>0</v>
      </c>
      <c r="J222" s="118">
        <v>1</v>
      </c>
      <c r="S222" s="330"/>
    </row>
    <row r="223" spans="1:19" s="121" customFormat="1" ht="12.75" x14ac:dyDescent="0.2">
      <c r="A223" s="135" t="s">
        <v>486</v>
      </c>
      <c r="B223" s="136" t="s">
        <v>294</v>
      </c>
      <c r="C223" s="142">
        <v>12295</v>
      </c>
      <c r="D223" s="138" t="s">
        <v>699</v>
      </c>
      <c r="E223" s="139" t="s">
        <v>538</v>
      </c>
      <c r="F223" s="118">
        <v>0.2</v>
      </c>
      <c r="G223" s="140">
        <v>44.400000000000006</v>
      </c>
      <c r="H223" s="501"/>
      <c r="I223" s="141">
        <f t="shared" si="4"/>
        <v>0</v>
      </c>
      <c r="J223" s="118">
        <v>2</v>
      </c>
      <c r="K223" s="121">
        <v>0.1</v>
      </c>
      <c r="S223" s="330"/>
    </row>
    <row r="224" spans="1:19" s="121" customFormat="1" ht="12.75" x14ac:dyDescent="0.2">
      <c r="A224" s="135" t="s">
        <v>487</v>
      </c>
      <c r="B224" s="136" t="s">
        <v>294</v>
      </c>
      <c r="C224" s="142">
        <v>39387</v>
      </c>
      <c r="D224" s="138" t="s">
        <v>668</v>
      </c>
      <c r="E224" s="139" t="s">
        <v>538</v>
      </c>
      <c r="F224" s="118">
        <v>1</v>
      </c>
      <c r="G224" s="140">
        <v>222</v>
      </c>
      <c r="H224" s="501"/>
      <c r="I224" s="141">
        <f t="shared" si="4"/>
        <v>0</v>
      </c>
      <c r="J224" s="118">
        <v>1</v>
      </c>
      <c r="S224" s="330"/>
    </row>
    <row r="225" spans="1:19" s="121" customFormat="1" ht="12.75" x14ac:dyDescent="0.2">
      <c r="A225" s="135" t="s">
        <v>487</v>
      </c>
      <c r="B225" s="136" t="s">
        <v>294</v>
      </c>
      <c r="C225" s="142">
        <v>12295</v>
      </c>
      <c r="D225" s="138" t="s">
        <v>699</v>
      </c>
      <c r="E225" s="139" t="s">
        <v>538</v>
      </c>
      <c r="F225" s="118">
        <v>0.2</v>
      </c>
      <c r="G225" s="140">
        <v>44.400000000000006</v>
      </c>
      <c r="H225" s="501"/>
      <c r="I225" s="141">
        <f t="shared" si="4"/>
        <v>0</v>
      </c>
      <c r="J225" s="118">
        <v>2</v>
      </c>
      <c r="K225" s="121">
        <v>0.1</v>
      </c>
      <c r="S225" s="330"/>
    </row>
    <row r="226" spans="1:19" s="121" customFormat="1" ht="23.25" customHeight="1" x14ac:dyDescent="0.2">
      <c r="A226" s="135" t="s">
        <v>488</v>
      </c>
      <c r="B226" s="136" t="s">
        <v>294</v>
      </c>
      <c r="C226" s="142">
        <v>38193</v>
      </c>
      <c r="D226" s="138" t="s">
        <v>671</v>
      </c>
      <c r="E226" s="139" t="s">
        <v>538</v>
      </c>
      <c r="F226" s="118">
        <v>1</v>
      </c>
      <c r="G226" s="140">
        <v>55.5</v>
      </c>
      <c r="H226" s="501"/>
      <c r="I226" s="141">
        <f t="shared" si="4"/>
        <v>0</v>
      </c>
      <c r="J226" s="118">
        <v>1</v>
      </c>
      <c r="S226" s="330"/>
    </row>
    <row r="227" spans="1:19" s="121" customFormat="1" ht="12.75" x14ac:dyDescent="0.2">
      <c r="A227" s="135" t="s">
        <v>488</v>
      </c>
      <c r="B227" s="136" t="s">
        <v>294</v>
      </c>
      <c r="C227" s="142">
        <v>12295</v>
      </c>
      <c r="D227" s="138" t="s">
        <v>699</v>
      </c>
      <c r="E227" s="139" t="s">
        <v>538</v>
      </c>
      <c r="F227" s="118">
        <v>0.1</v>
      </c>
      <c r="G227" s="140">
        <v>5.5500000000000007</v>
      </c>
      <c r="H227" s="501"/>
      <c r="I227" s="141">
        <f t="shared" si="4"/>
        <v>0</v>
      </c>
      <c r="J227" s="145">
        <v>1</v>
      </c>
      <c r="K227" s="121">
        <v>0.1</v>
      </c>
      <c r="S227" s="330"/>
    </row>
    <row r="228" spans="1:19" s="121" customFormat="1" ht="29.25" customHeight="1" x14ac:dyDescent="0.2">
      <c r="A228" s="135" t="s">
        <v>489</v>
      </c>
      <c r="B228" s="136" t="s">
        <v>294</v>
      </c>
      <c r="C228" s="142">
        <v>38194</v>
      </c>
      <c r="D228" s="138" t="s">
        <v>670</v>
      </c>
      <c r="E228" s="139" t="s">
        <v>538</v>
      </c>
      <c r="F228" s="118">
        <v>1</v>
      </c>
      <c r="G228" s="140">
        <v>55.5</v>
      </c>
      <c r="H228" s="501"/>
      <c r="I228" s="141">
        <f t="shared" si="4"/>
        <v>0</v>
      </c>
      <c r="J228" s="118">
        <v>1</v>
      </c>
      <c r="S228" s="330"/>
    </row>
    <row r="229" spans="1:19" s="121" customFormat="1" ht="12.75" x14ac:dyDescent="0.2">
      <c r="A229" s="135" t="s">
        <v>489</v>
      </c>
      <c r="B229" s="136" t="s">
        <v>294</v>
      </c>
      <c r="C229" s="142">
        <v>12295</v>
      </c>
      <c r="D229" s="138" t="s">
        <v>699</v>
      </c>
      <c r="E229" s="139" t="s">
        <v>538</v>
      </c>
      <c r="F229" s="118">
        <v>0.1</v>
      </c>
      <c r="G229" s="140">
        <v>5.5500000000000007</v>
      </c>
      <c r="H229" s="501"/>
      <c r="I229" s="141">
        <f t="shared" si="4"/>
        <v>0</v>
      </c>
      <c r="J229" s="145">
        <v>1</v>
      </c>
      <c r="K229" s="121">
        <v>0.1</v>
      </c>
      <c r="S229" s="330"/>
    </row>
    <row r="230" spans="1:19" s="121" customFormat="1" ht="21" customHeight="1" x14ac:dyDescent="0.2">
      <c r="A230" s="135" t="s">
        <v>490</v>
      </c>
      <c r="B230" s="136" t="s">
        <v>294</v>
      </c>
      <c r="C230" s="142">
        <v>3749</v>
      </c>
      <c r="D230" s="138" t="s">
        <v>672</v>
      </c>
      <c r="E230" s="139" t="s">
        <v>538</v>
      </c>
      <c r="F230" s="118">
        <v>1</v>
      </c>
      <c r="G230" s="140">
        <v>1</v>
      </c>
      <c r="H230" s="501"/>
      <c r="I230" s="141">
        <f t="shared" si="4"/>
        <v>0</v>
      </c>
      <c r="J230" s="118">
        <v>1</v>
      </c>
      <c r="S230" s="330"/>
    </row>
    <row r="231" spans="1:19" ht="45" x14ac:dyDescent="0.2">
      <c r="A231" s="135" t="s">
        <v>490</v>
      </c>
      <c r="B231" s="136" t="s">
        <v>294</v>
      </c>
      <c r="C231" s="142">
        <v>13390</v>
      </c>
      <c r="D231" s="138" t="s">
        <v>696</v>
      </c>
      <c r="E231" s="139" t="s">
        <v>538</v>
      </c>
      <c r="F231" s="118">
        <v>1</v>
      </c>
      <c r="G231" s="140">
        <v>1</v>
      </c>
      <c r="H231" s="501"/>
      <c r="I231" s="141">
        <f t="shared" si="4"/>
        <v>0</v>
      </c>
      <c r="J231"/>
      <c r="K231"/>
      <c r="L231"/>
      <c r="M231"/>
      <c r="S231" s="330"/>
    </row>
    <row r="232" spans="1:19" ht="22.5" x14ac:dyDescent="0.2">
      <c r="A232" s="135" t="s">
        <v>490</v>
      </c>
      <c r="B232" s="136" t="s">
        <v>294</v>
      </c>
      <c r="C232" s="142">
        <v>39374</v>
      </c>
      <c r="D232" s="138" t="s">
        <v>693</v>
      </c>
      <c r="E232" s="139" t="s">
        <v>538</v>
      </c>
      <c r="F232" s="118">
        <v>1</v>
      </c>
      <c r="G232" s="140">
        <v>1</v>
      </c>
      <c r="H232" s="501"/>
      <c r="I232" s="141">
        <f t="shared" si="4"/>
        <v>0</v>
      </c>
      <c r="J232"/>
      <c r="K232"/>
      <c r="L232"/>
      <c r="M232"/>
      <c r="S232" s="330"/>
    </row>
    <row r="233" spans="1:19" ht="33.75" x14ac:dyDescent="0.2">
      <c r="A233" s="135" t="s">
        <v>491</v>
      </c>
      <c r="B233" s="136" t="s">
        <v>294</v>
      </c>
      <c r="C233" s="142">
        <v>38775</v>
      </c>
      <c r="D233" s="138" t="s">
        <v>682</v>
      </c>
      <c r="E233" s="139" t="s">
        <v>538</v>
      </c>
      <c r="F233" s="118">
        <v>1</v>
      </c>
      <c r="G233" s="140">
        <v>4.71</v>
      </c>
      <c r="H233" s="501"/>
      <c r="I233" s="141">
        <f t="shared" si="4"/>
        <v>0</v>
      </c>
      <c r="J233"/>
      <c r="K233"/>
      <c r="L233"/>
      <c r="M233"/>
      <c r="S233" s="330"/>
    </row>
    <row r="234" spans="1:19" ht="24" customHeight="1" x14ac:dyDescent="0.2">
      <c r="A234" s="135" t="s">
        <v>491</v>
      </c>
      <c r="B234" s="136" t="s">
        <v>294</v>
      </c>
      <c r="C234" s="142">
        <v>38193</v>
      </c>
      <c r="D234" s="138" t="s">
        <v>671</v>
      </c>
      <c r="E234" s="139" t="s">
        <v>538</v>
      </c>
      <c r="F234" s="118">
        <v>1</v>
      </c>
      <c r="G234" s="140">
        <v>4.71</v>
      </c>
      <c r="H234" s="501"/>
      <c r="I234" s="141">
        <f t="shared" si="4"/>
        <v>0</v>
      </c>
      <c r="J234"/>
      <c r="K234"/>
      <c r="L234"/>
      <c r="M234"/>
      <c r="S234" s="330"/>
    </row>
    <row r="235" spans="1:19" ht="22.5" x14ac:dyDescent="0.2">
      <c r="A235" s="135" t="s">
        <v>492</v>
      </c>
      <c r="B235" s="136" t="s">
        <v>294</v>
      </c>
      <c r="C235" s="142">
        <v>21127</v>
      </c>
      <c r="D235" s="138" t="s">
        <v>638</v>
      </c>
      <c r="E235" s="139" t="s">
        <v>538</v>
      </c>
      <c r="F235" s="118">
        <v>2.8000000000000001E-2</v>
      </c>
      <c r="G235" s="140">
        <v>2.8000000000000001E-2</v>
      </c>
      <c r="H235" s="501"/>
      <c r="I235" s="141">
        <f t="shared" si="4"/>
        <v>0</v>
      </c>
      <c r="J235"/>
      <c r="K235"/>
      <c r="L235"/>
      <c r="M235"/>
      <c r="S235" s="330"/>
    </row>
    <row r="236" spans="1:19" x14ac:dyDescent="0.2">
      <c r="A236" s="135" t="s">
        <v>492</v>
      </c>
      <c r="B236" s="136" t="s">
        <v>294</v>
      </c>
      <c r="C236" s="142">
        <v>12317</v>
      </c>
      <c r="D236" s="138" t="s">
        <v>694</v>
      </c>
      <c r="E236" s="139" t="s">
        <v>538</v>
      </c>
      <c r="F236" s="118">
        <v>1</v>
      </c>
      <c r="G236" s="140">
        <v>1</v>
      </c>
      <c r="H236" s="501"/>
      <c r="I236" s="141">
        <f t="shared" si="4"/>
        <v>0</v>
      </c>
      <c r="J236"/>
      <c r="K236"/>
      <c r="L236"/>
      <c r="M236"/>
      <c r="S236" s="330"/>
    </row>
    <row r="237" spans="1:19" ht="22.5" x14ac:dyDescent="0.2">
      <c r="A237" s="135" t="s">
        <v>493</v>
      </c>
      <c r="B237" s="136" t="s">
        <v>294</v>
      </c>
      <c r="C237" s="142">
        <v>38094</v>
      </c>
      <c r="D237" s="138" t="s">
        <v>636</v>
      </c>
      <c r="E237" s="139" t="s">
        <v>538</v>
      </c>
      <c r="F237" s="118">
        <v>1</v>
      </c>
      <c r="G237" s="140">
        <v>2.0083199999999999</v>
      </c>
      <c r="H237" s="501"/>
      <c r="I237" s="141">
        <f t="shared" si="4"/>
        <v>0</v>
      </c>
      <c r="J237"/>
      <c r="K237"/>
      <c r="L237"/>
      <c r="M237"/>
      <c r="S237" s="330"/>
    </row>
    <row r="238" spans="1:19" ht="22.5" x14ac:dyDescent="0.2">
      <c r="A238" s="135" t="s">
        <v>493</v>
      </c>
      <c r="B238" s="136" t="s">
        <v>294</v>
      </c>
      <c r="C238" s="142">
        <v>38099</v>
      </c>
      <c r="D238" s="138" t="s">
        <v>700</v>
      </c>
      <c r="E238" s="139" t="s">
        <v>538</v>
      </c>
      <c r="F238" s="118">
        <v>1</v>
      </c>
      <c r="G238" s="140">
        <v>2.0083199999999999</v>
      </c>
      <c r="H238" s="501"/>
      <c r="I238" s="141">
        <f t="shared" si="4"/>
        <v>0</v>
      </c>
      <c r="J238"/>
      <c r="K238"/>
      <c r="L238"/>
      <c r="M238"/>
      <c r="S238" s="330"/>
    </row>
    <row r="239" spans="1:19" x14ac:dyDescent="0.2">
      <c r="A239" s="135" t="s">
        <v>493</v>
      </c>
      <c r="B239" s="136" t="s">
        <v>294</v>
      </c>
      <c r="C239" s="142">
        <v>38112</v>
      </c>
      <c r="D239" s="138" t="s">
        <v>642</v>
      </c>
      <c r="E239" s="139" t="s">
        <v>538</v>
      </c>
      <c r="F239" s="118">
        <v>1</v>
      </c>
      <c r="G239" s="140">
        <v>2.0083199999999999</v>
      </c>
      <c r="H239" s="501"/>
      <c r="I239" s="141">
        <f t="shared" si="4"/>
        <v>0</v>
      </c>
      <c r="J239"/>
      <c r="K239"/>
      <c r="L239"/>
      <c r="M239"/>
      <c r="S239" s="330"/>
    </row>
    <row r="240" spans="1:19" ht="22.5" x14ac:dyDescent="0.2">
      <c r="A240" s="135" t="s">
        <v>494</v>
      </c>
      <c r="B240" s="136" t="s">
        <v>294</v>
      </c>
      <c r="C240" s="142">
        <v>38094</v>
      </c>
      <c r="D240" s="138" t="s">
        <v>636</v>
      </c>
      <c r="E240" s="139" t="s">
        <v>538</v>
      </c>
      <c r="F240" s="118">
        <v>1</v>
      </c>
      <c r="G240" s="140">
        <v>1.3388800000000001</v>
      </c>
      <c r="H240" s="501"/>
      <c r="I240" s="141">
        <f t="shared" si="4"/>
        <v>0</v>
      </c>
      <c r="J240"/>
      <c r="K240"/>
      <c r="L240"/>
      <c r="M240"/>
      <c r="S240" s="330"/>
    </row>
    <row r="241" spans="1:19" ht="22.5" x14ac:dyDescent="0.2">
      <c r="A241" s="135" t="s">
        <v>494</v>
      </c>
      <c r="B241" s="136" t="s">
        <v>294</v>
      </c>
      <c r="C241" s="142">
        <v>38099</v>
      </c>
      <c r="D241" s="138" t="s">
        <v>700</v>
      </c>
      <c r="E241" s="139" t="s">
        <v>538</v>
      </c>
      <c r="F241" s="118">
        <v>1</v>
      </c>
      <c r="G241" s="140">
        <v>1.3388800000000001</v>
      </c>
      <c r="H241" s="501"/>
      <c r="I241" s="141">
        <f t="shared" si="4"/>
        <v>0</v>
      </c>
      <c r="J241"/>
      <c r="K241"/>
      <c r="L241"/>
      <c r="M241"/>
      <c r="S241" s="330"/>
    </row>
    <row r="242" spans="1:19" x14ac:dyDescent="0.2">
      <c r="A242" s="135" t="s">
        <v>494</v>
      </c>
      <c r="B242" s="136" t="s">
        <v>294</v>
      </c>
      <c r="C242" s="142">
        <v>38112</v>
      </c>
      <c r="D242" s="138" t="s">
        <v>642</v>
      </c>
      <c r="E242" s="139" t="s">
        <v>538</v>
      </c>
      <c r="F242" s="118">
        <v>1</v>
      </c>
      <c r="G242" s="140">
        <v>1.3388800000000001</v>
      </c>
      <c r="H242" s="501"/>
      <c r="I242" s="141">
        <f t="shared" si="4"/>
        <v>0</v>
      </c>
      <c r="J242"/>
      <c r="K242"/>
      <c r="L242"/>
      <c r="M242"/>
      <c r="S242" s="330"/>
    </row>
    <row r="243" spans="1:19" x14ac:dyDescent="0.2">
      <c r="A243" s="135" t="s">
        <v>494</v>
      </c>
      <c r="B243" s="136" t="s">
        <v>294</v>
      </c>
      <c r="C243" s="142">
        <v>38101</v>
      </c>
      <c r="D243" s="138" t="s">
        <v>724</v>
      </c>
      <c r="E243" s="139" t="s">
        <v>538</v>
      </c>
      <c r="F243" s="118">
        <v>1</v>
      </c>
      <c r="G243" s="140">
        <v>1.3388800000000001</v>
      </c>
      <c r="H243" s="501"/>
      <c r="I243" s="141">
        <f t="shared" si="4"/>
        <v>0</v>
      </c>
      <c r="J243"/>
      <c r="K243"/>
      <c r="L243"/>
      <c r="M243"/>
      <c r="S243" s="330"/>
    </row>
    <row r="244" spans="1:19" ht="22.5" x14ac:dyDescent="0.2">
      <c r="A244" s="135" t="s">
        <v>495</v>
      </c>
      <c r="B244" s="136" t="s">
        <v>294</v>
      </c>
      <c r="C244" s="142">
        <v>38094</v>
      </c>
      <c r="D244" s="138" t="s">
        <v>636</v>
      </c>
      <c r="E244" s="139" t="s">
        <v>538</v>
      </c>
      <c r="F244" s="118">
        <v>1</v>
      </c>
      <c r="G244" s="140">
        <v>4.1308800000000003</v>
      </c>
      <c r="H244" s="501"/>
      <c r="I244" s="141">
        <f t="shared" si="4"/>
        <v>0</v>
      </c>
      <c r="J244"/>
      <c r="K244"/>
      <c r="L244"/>
      <c r="M244"/>
      <c r="S244" s="330"/>
    </row>
    <row r="245" spans="1:19" ht="22.5" x14ac:dyDescent="0.2">
      <c r="A245" s="135" t="s">
        <v>495</v>
      </c>
      <c r="B245" s="136" t="s">
        <v>294</v>
      </c>
      <c r="C245" s="142">
        <v>38099</v>
      </c>
      <c r="D245" s="138" t="s">
        <v>700</v>
      </c>
      <c r="E245" s="139" t="s">
        <v>538</v>
      </c>
      <c r="F245" s="118">
        <v>1</v>
      </c>
      <c r="G245" s="140">
        <v>4.1308800000000003</v>
      </c>
      <c r="H245" s="501"/>
      <c r="I245" s="141">
        <f t="shared" si="4"/>
        <v>0</v>
      </c>
      <c r="J245"/>
      <c r="K245"/>
      <c r="L245"/>
      <c r="M245"/>
      <c r="S245" s="330"/>
    </row>
    <row r="246" spans="1:19" x14ac:dyDescent="0.2">
      <c r="A246" s="135" t="s">
        <v>495</v>
      </c>
      <c r="B246" s="136" t="s">
        <v>294</v>
      </c>
      <c r="C246" s="142">
        <v>38101</v>
      </c>
      <c r="D246" s="138" t="s">
        <v>724</v>
      </c>
      <c r="E246" s="139" t="s">
        <v>538</v>
      </c>
      <c r="F246" s="118">
        <v>1</v>
      </c>
      <c r="G246" s="140">
        <v>4.1308800000000003</v>
      </c>
      <c r="H246" s="501"/>
      <c r="I246" s="141">
        <f t="shared" si="4"/>
        <v>0</v>
      </c>
      <c r="J246"/>
      <c r="K246"/>
      <c r="L246"/>
      <c r="M246"/>
      <c r="S246" s="330"/>
    </row>
    <row r="247" spans="1:19" ht="22.5" x14ac:dyDescent="0.2">
      <c r="A247" s="135" t="s">
        <v>496</v>
      </c>
      <c r="B247" s="136" t="s">
        <v>294</v>
      </c>
      <c r="C247" s="142">
        <v>38094</v>
      </c>
      <c r="D247" s="138" t="s">
        <v>636</v>
      </c>
      <c r="E247" s="139" t="s">
        <v>538</v>
      </c>
      <c r="F247" s="118">
        <v>1</v>
      </c>
      <c r="G247" s="140">
        <v>0.51636000000000004</v>
      </c>
      <c r="H247" s="501"/>
      <c r="I247" s="141">
        <f t="shared" si="4"/>
        <v>0</v>
      </c>
      <c r="J247"/>
      <c r="K247"/>
      <c r="L247"/>
      <c r="M247"/>
      <c r="S247" s="330"/>
    </row>
    <row r="248" spans="1:19" ht="22.5" x14ac:dyDescent="0.2">
      <c r="A248" s="135" t="s">
        <v>496</v>
      </c>
      <c r="B248" s="136" t="s">
        <v>294</v>
      </c>
      <c r="C248" s="142">
        <v>38099</v>
      </c>
      <c r="D248" s="138" t="s">
        <v>700</v>
      </c>
      <c r="E248" s="139" t="s">
        <v>538</v>
      </c>
      <c r="F248" s="118">
        <v>1</v>
      </c>
      <c r="G248" s="140">
        <v>0.51636000000000004</v>
      </c>
      <c r="H248" s="501"/>
      <c r="I248" s="141">
        <f t="shared" si="4"/>
        <v>0</v>
      </c>
      <c r="J248"/>
      <c r="K248"/>
      <c r="L248"/>
      <c r="M248"/>
      <c r="S248" s="330"/>
    </row>
    <row r="249" spans="1:19" x14ac:dyDescent="0.2">
      <c r="A249" s="135" t="s">
        <v>496</v>
      </c>
      <c r="B249" s="136" t="s">
        <v>294</v>
      </c>
      <c r="C249" s="142">
        <v>38102</v>
      </c>
      <c r="D249" s="138" t="s">
        <v>727</v>
      </c>
      <c r="E249" s="139" t="s">
        <v>538</v>
      </c>
      <c r="F249" s="118">
        <v>1</v>
      </c>
      <c r="G249" s="140">
        <v>0.51636000000000004</v>
      </c>
      <c r="H249" s="501"/>
      <c r="I249" s="141">
        <f t="shared" si="4"/>
        <v>0</v>
      </c>
      <c r="J249"/>
      <c r="K249"/>
      <c r="L249"/>
      <c r="M249"/>
      <c r="S249" s="330"/>
    </row>
    <row r="250" spans="1:19" ht="22.5" x14ac:dyDescent="0.2">
      <c r="A250" s="135" t="s">
        <v>497</v>
      </c>
      <c r="B250" s="136" t="s">
        <v>294</v>
      </c>
      <c r="C250" s="142">
        <v>38062</v>
      </c>
      <c r="D250" s="138" t="s">
        <v>643</v>
      </c>
      <c r="E250" s="139" t="s">
        <v>538</v>
      </c>
      <c r="F250" s="118">
        <v>1</v>
      </c>
      <c r="G250" s="140">
        <v>1.3388800000000001</v>
      </c>
      <c r="H250" s="501"/>
      <c r="I250" s="141">
        <f t="shared" si="4"/>
        <v>0</v>
      </c>
      <c r="J250"/>
      <c r="K250"/>
      <c r="L250"/>
      <c r="M250"/>
      <c r="S250" s="330"/>
    </row>
    <row r="251" spans="1:19" ht="22.5" x14ac:dyDescent="0.2">
      <c r="A251" s="135" t="s">
        <v>498</v>
      </c>
      <c r="B251" s="136" t="s">
        <v>294</v>
      </c>
      <c r="C251" s="142">
        <v>38077</v>
      </c>
      <c r="D251" s="138" t="s">
        <v>641</v>
      </c>
      <c r="E251" s="139" t="s">
        <v>538</v>
      </c>
      <c r="F251" s="118">
        <v>1</v>
      </c>
      <c r="G251" s="140">
        <v>1.3388800000000001</v>
      </c>
      <c r="H251" s="501"/>
      <c r="I251" s="141">
        <f t="shared" si="4"/>
        <v>0</v>
      </c>
      <c r="J251"/>
      <c r="K251"/>
      <c r="L251"/>
      <c r="M251"/>
      <c r="S251" s="330"/>
    </row>
    <row r="252" spans="1:19" ht="22.5" x14ac:dyDescent="0.2">
      <c r="A252" s="135" t="s">
        <v>499</v>
      </c>
      <c r="B252" s="136" t="s">
        <v>294</v>
      </c>
      <c r="C252" s="142">
        <v>12128</v>
      </c>
      <c r="D252" s="138" t="s">
        <v>644</v>
      </c>
      <c r="E252" s="139" t="s">
        <v>538</v>
      </c>
      <c r="F252" s="118">
        <v>1</v>
      </c>
      <c r="G252" s="140">
        <v>0.66944000000000004</v>
      </c>
      <c r="H252" s="501"/>
      <c r="I252" s="141">
        <f t="shared" si="4"/>
        <v>0</v>
      </c>
      <c r="J252"/>
      <c r="K252"/>
      <c r="L252"/>
      <c r="M252"/>
      <c r="S252" s="330"/>
    </row>
    <row r="253" spans="1:19" ht="22.5" x14ac:dyDescent="0.2">
      <c r="A253" s="135" t="s">
        <v>500</v>
      </c>
      <c r="B253" s="136" t="s">
        <v>294</v>
      </c>
      <c r="C253" s="142">
        <v>38095</v>
      </c>
      <c r="D253" s="138" t="s">
        <v>635</v>
      </c>
      <c r="E253" s="139" t="s">
        <v>538</v>
      </c>
      <c r="F253" s="118">
        <v>1</v>
      </c>
      <c r="G253" s="140">
        <v>4.8003200000000001</v>
      </c>
      <c r="H253" s="501"/>
      <c r="I253" s="141">
        <f t="shared" si="4"/>
        <v>0</v>
      </c>
      <c r="J253"/>
      <c r="K253"/>
      <c r="L253"/>
      <c r="M253"/>
      <c r="S253" s="330"/>
    </row>
    <row r="254" spans="1:19" ht="22.5" x14ac:dyDescent="0.2">
      <c r="A254" s="135" t="s">
        <v>501</v>
      </c>
      <c r="B254" s="136" t="s">
        <v>294</v>
      </c>
      <c r="C254" s="142">
        <v>38091</v>
      </c>
      <c r="D254" s="138" t="s">
        <v>634</v>
      </c>
      <c r="E254" s="139" t="s">
        <v>538</v>
      </c>
      <c r="F254" s="118">
        <v>1</v>
      </c>
      <c r="G254" s="140">
        <v>4.8003200000000001</v>
      </c>
      <c r="H254" s="501"/>
      <c r="I254" s="141">
        <f t="shared" si="4"/>
        <v>0</v>
      </c>
      <c r="J254"/>
      <c r="K254"/>
      <c r="L254"/>
      <c r="M254"/>
      <c r="S254" s="330"/>
    </row>
    <row r="255" spans="1:19" ht="22.5" x14ac:dyDescent="0.2">
      <c r="A255" s="135" t="s">
        <v>502</v>
      </c>
      <c r="B255" s="136" t="s">
        <v>294</v>
      </c>
      <c r="C255" s="142">
        <v>12147</v>
      </c>
      <c r="D255" s="138" t="s">
        <v>726</v>
      </c>
      <c r="E255" s="139" t="s">
        <v>538</v>
      </c>
      <c r="F255" s="118">
        <v>1</v>
      </c>
      <c r="G255" s="140">
        <v>1.5490799999999998</v>
      </c>
      <c r="H255" s="501"/>
      <c r="I255" s="141">
        <f t="shared" si="4"/>
        <v>0</v>
      </c>
      <c r="J255"/>
      <c r="K255"/>
      <c r="L255"/>
      <c r="M255"/>
      <c r="S255" s="330"/>
    </row>
    <row r="256" spans="1:19" ht="22.5" x14ac:dyDescent="0.2">
      <c r="A256" s="135" t="s">
        <v>503</v>
      </c>
      <c r="B256" s="136" t="s">
        <v>294</v>
      </c>
      <c r="C256" s="142">
        <v>7528</v>
      </c>
      <c r="D256" s="138" t="s">
        <v>725</v>
      </c>
      <c r="E256" s="139" t="s">
        <v>538</v>
      </c>
      <c r="F256" s="118">
        <v>1</v>
      </c>
      <c r="G256" s="140">
        <v>4.1308800000000003</v>
      </c>
      <c r="H256" s="501"/>
      <c r="I256" s="141">
        <f t="shared" si="4"/>
        <v>0</v>
      </c>
      <c r="J256"/>
      <c r="K256"/>
      <c r="L256"/>
      <c r="M256"/>
      <c r="S256" s="330"/>
    </row>
    <row r="257" spans="1:19" ht="22.5" x14ac:dyDescent="0.2">
      <c r="A257" s="135" t="s">
        <v>504</v>
      </c>
      <c r="B257" s="136" t="s">
        <v>294</v>
      </c>
      <c r="C257" s="142">
        <v>38774</v>
      </c>
      <c r="D257" s="138" t="s">
        <v>674</v>
      </c>
      <c r="E257" s="139" t="s">
        <v>538</v>
      </c>
      <c r="F257" s="118">
        <v>1</v>
      </c>
      <c r="G257" s="140">
        <v>42</v>
      </c>
      <c r="H257" s="501"/>
      <c r="I257" s="141">
        <f t="shared" si="4"/>
        <v>0</v>
      </c>
      <c r="J257"/>
      <c r="K257"/>
      <c r="L257"/>
      <c r="M257"/>
      <c r="S257" s="330"/>
    </row>
    <row r="258" spans="1:19" ht="33.75" x14ac:dyDescent="0.2">
      <c r="A258" s="135" t="s">
        <v>505</v>
      </c>
      <c r="B258" s="136" t="s">
        <v>294</v>
      </c>
      <c r="C258" s="142">
        <v>3788</v>
      </c>
      <c r="D258" s="138" t="s">
        <v>675</v>
      </c>
      <c r="E258" s="139" t="s">
        <v>538</v>
      </c>
      <c r="F258" s="118">
        <v>1</v>
      </c>
      <c r="G258" s="140">
        <v>9.42</v>
      </c>
      <c r="H258" s="501"/>
      <c r="I258" s="141">
        <f t="shared" si="4"/>
        <v>0</v>
      </c>
      <c r="J258"/>
      <c r="K258"/>
      <c r="L258"/>
      <c r="M258"/>
      <c r="S258" s="330"/>
    </row>
    <row r="259" spans="1:19" ht="33.75" x14ac:dyDescent="0.2">
      <c r="A259" s="135" t="s">
        <v>506</v>
      </c>
      <c r="B259" s="136" t="s">
        <v>294</v>
      </c>
      <c r="C259" s="142">
        <v>3780</v>
      </c>
      <c r="D259" s="138" t="s">
        <v>676</v>
      </c>
      <c r="E259" s="139" t="s">
        <v>538</v>
      </c>
      <c r="F259" s="118">
        <v>1</v>
      </c>
      <c r="G259" s="140">
        <v>9.42</v>
      </c>
      <c r="H259" s="501"/>
      <c r="I259" s="141">
        <f t="shared" ref="I259:I320" si="5">IFERROR(H259*G259,"")</f>
        <v>0</v>
      </c>
      <c r="J259"/>
      <c r="K259"/>
      <c r="L259"/>
      <c r="M259"/>
      <c r="S259" s="330"/>
    </row>
    <row r="260" spans="1:19" ht="33.75" x14ac:dyDescent="0.2">
      <c r="A260" s="135" t="s">
        <v>507</v>
      </c>
      <c r="B260" s="136" t="s">
        <v>294</v>
      </c>
      <c r="C260" s="142">
        <v>3811</v>
      </c>
      <c r="D260" s="138" t="s">
        <v>677</v>
      </c>
      <c r="E260" s="139" t="s">
        <v>538</v>
      </c>
      <c r="F260" s="118">
        <v>1</v>
      </c>
      <c r="G260" s="140">
        <v>14.13</v>
      </c>
      <c r="H260" s="501"/>
      <c r="I260" s="141">
        <f t="shared" si="5"/>
        <v>0</v>
      </c>
      <c r="J260"/>
      <c r="K260"/>
      <c r="L260"/>
      <c r="M260"/>
      <c r="S260" s="330"/>
    </row>
    <row r="261" spans="1:19" ht="33.75" x14ac:dyDescent="0.2">
      <c r="A261" s="135" t="s">
        <v>508</v>
      </c>
      <c r="B261" s="136" t="s">
        <v>294</v>
      </c>
      <c r="C261" s="142">
        <v>3799</v>
      </c>
      <c r="D261" s="138" t="s">
        <v>678</v>
      </c>
      <c r="E261" s="139" t="s">
        <v>538</v>
      </c>
      <c r="F261" s="118">
        <v>1</v>
      </c>
      <c r="G261" s="140">
        <v>14.13</v>
      </c>
      <c r="H261" s="501"/>
      <c r="I261" s="141">
        <f t="shared" si="5"/>
        <v>0</v>
      </c>
      <c r="J261"/>
      <c r="K261"/>
      <c r="L261"/>
      <c r="M261"/>
      <c r="S261" s="330"/>
    </row>
    <row r="262" spans="1:19" ht="22.5" x14ac:dyDescent="0.2">
      <c r="A262" s="135" t="s">
        <v>509</v>
      </c>
      <c r="B262" s="136" t="s">
        <v>294</v>
      </c>
      <c r="C262" s="142">
        <v>39385</v>
      </c>
      <c r="D262" s="138" t="s">
        <v>679</v>
      </c>
      <c r="E262" s="139" t="s">
        <v>538</v>
      </c>
      <c r="F262" s="118">
        <v>1</v>
      </c>
      <c r="G262" s="140">
        <v>14.13</v>
      </c>
      <c r="H262" s="501"/>
      <c r="I262" s="141">
        <f t="shared" si="5"/>
        <v>0</v>
      </c>
      <c r="J262"/>
      <c r="K262"/>
      <c r="L262"/>
      <c r="M262"/>
      <c r="S262" s="330"/>
    </row>
    <row r="263" spans="1:19" x14ac:dyDescent="0.2">
      <c r="A263" s="135" t="s">
        <v>510</v>
      </c>
      <c r="B263" s="136" t="s">
        <v>294</v>
      </c>
      <c r="C263" s="142">
        <v>39390</v>
      </c>
      <c r="D263" s="138" t="s">
        <v>680</v>
      </c>
      <c r="E263" s="139" t="s">
        <v>538</v>
      </c>
      <c r="F263" s="118">
        <v>1</v>
      </c>
      <c r="G263" s="140">
        <v>14.13</v>
      </c>
      <c r="H263" s="501"/>
      <c r="I263" s="141">
        <f t="shared" si="5"/>
        <v>0</v>
      </c>
      <c r="J263"/>
      <c r="K263"/>
      <c r="L263"/>
      <c r="M263"/>
      <c r="S263" s="330"/>
    </row>
    <row r="264" spans="1:19" x14ac:dyDescent="0.2">
      <c r="A264" s="135" t="s">
        <v>511</v>
      </c>
      <c r="B264" s="136" t="s">
        <v>294</v>
      </c>
      <c r="C264" s="142">
        <v>39391</v>
      </c>
      <c r="D264" s="138" t="s">
        <v>681</v>
      </c>
      <c r="E264" s="139" t="s">
        <v>538</v>
      </c>
      <c r="F264" s="118">
        <v>1</v>
      </c>
      <c r="G264" s="140">
        <v>14.13</v>
      </c>
      <c r="H264" s="501"/>
      <c r="I264" s="141">
        <f t="shared" si="5"/>
        <v>0</v>
      </c>
      <c r="J264"/>
      <c r="K264"/>
      <c r="L264"/>
      <c r="M264"/>
      <c r="S264" s="330"/>
    </row>
    <row r="265" spans="1:19" x14ac:dyDescent="0.2">
      <c r="A265" s="135" t="s">
        <v>512</v>
      </c>
      <c r="B265" s="136" t="s">
        <v>294</v>
      </c>
      <c r="C265" s="142">
        <v>1088</v>
      </c>
      <c r="D265" s="138" t="s">
        <v>482</v>
      </c>
      <c r="E265" s="139" t="s">
        <v>538</v>
      </c>
      <c r="F265" s="118">
        <v>0.15</v>
      </c>
      <c r="G265" s="140">
        <v>0</v>
      </c>
      <c r="H265" s="501"/>
      <c r="I265" s="141">
        <f t="shared" si="5"/>
        <v>0</v>
      </c>
      <c r="J265" s="145">
        <v>1</v>
      </c>
      <c r="K265" s="145">
        <v>0.15</v>
      </c>
      <c r="L265"/>
      <c r="M265"/>
      <c r="S265" s="330"/>
    </row>
    <row r="266" spans="1:19" ht="22.5" x14ac:dyDescent="0.2">
      <c r="A266" s="135" t="s">
        <v>513</v>
      </c>
      <c r="B266" s="136" t="s">
        <v>294</v>
      </c>
      <c r="C266" s="142">
        <v>1079</v>
      </c>
      <c r="D266" s="138" t="s">
        <v>483</v>
      </c>
      <c r="E266" s="139" t="s">
        <v>538</v>
      </c>
      <c r="F266" s="118">
        <v>0.15</v>
      </c>
      <c r="G266" s="140">
        <v>0</v>
      </c>
      <c r="H266" s="501"/>
      <c r="I266" s="141">
        <f t="shared" si="5"/>
        <v>0</v>
      </c>
      <c r="J266" s="145">
        <v>1</v>
      </c>
      <c r="K266" s="145">
        <v>0.15</v>
      </c>
      <c r="L266"/>
      <c r="M266"/>
      <c r="S266" s="330"/>
    </row>
    <row r="267" spans="1:19" ht="22.5" x14ac:dyDescent="0.2">
      <c r="A267" s="135" t="s">
        <v>514</v>
      </c>
      <c r="B267" s="136" t="s">
        <v>294</v>
      </c>
      <c r="C267" s="142">
        <v>1086</v>
      </c>
      <c r="D267" s="138" t="s">
        <v>485</v>
      </c>
      <c r="E267" s="139" t="s">
        <v>538</v>
      </c>
      <c r="F267" s="118">
        <v>0.15</v>
      </c>
      <c r="G267" s="140">
        <v>0</v>
      </c>
      <c r="H267" s="501"/>
      <c r="I267" s="141">
        <f t="shared" si="5"/>
        <v>0</v>
      </c>
      <c r="J267" s="145">
        <v>1</v>
      </c>
      <c r="K267" s="145">
        <v>0.15</v>
      </c>
      <c r="L267"/>
      <c r="M267"/>
      <c r="S267" s="330"/>
    </row>
    <row r="268" spans="1:19" ht="22.5" x14ac:dyDescent="0.2">
      <c r="A268" s="135" t="s">
        <v>515</v>
      </c>
      <c r="B268" s="136" t="s">
        <v>294</v>
      </c>
      <c r="C268" s="142">
        <v>392</v>
      </c>
      <c r="D268" s="138" t="s">
        <v>588</v>
      </c>
      <c r="E268" s="139" t="s">
        <v>538</v>
      </c>
      <c r="F268" s="118">
        <v>0.65</v>
      </c>
      <c r="G268" s="140">
        <v>3.25</v>
      </c>
      <c r="H268" s="501"/>
      <c r="I268" s="141">
        <f t="shared" si="5"/>
        <v>0</v>
      </c>
      <c r="J268"/>
      <c r="K268"/>
      <c r="L268"/>
      <c r="M268"/>
      <c r="S268" s="330"/>
    </row>
    <row r="269" spans="1:19" x14ac:dyDescent="0.2">
      <c r="A269" s="135"/>
      <c r="B269" s="136" t="s">
        <v>294</v>
      </c>
      <c r="C269" s="142">
        <v>2684</v>
      </c>
      <c r="D269" s="138" t="s">
        <v>630</v>
      </c>
      <c r="E269" s="139" t="s">
        <v>589</v>
      </c>
      <c r="F269" s="118">
        <v>1.0169999999999999</v>
      </c>
      <c r="G269" s="140" t="s">
        <v>739</v>
      </c>
      <c r="H269" s="501"/>
      <c r="I269" s="141" t="str">
        <f t="shared" si="5"/>
        <v/>
      </c>
      <c r="J269"/>
      <c r="K269"/>
      <c r="L269"/>
      <c r="M269"/>
      <c r="S269" s="330"/>
    </row>
    <row r="270" spans="1:19" x14ac:dyDescent="0.2">
      <c r="A270" s="135" t="s">
        <v>516</v>
      </c>
      <c r="B270" s="136" t="s">
        <v>294</v>
      </c>
      <c r="C270" s="142">
        <v>2682</v>
      </c>
      <c r="D270" s="138" t="s">
        <v>631</v>
      </c>
      <c r="E270" s="139" t="s">
        <v>589</v>
      </c>
      <c r="F270" s="118">
        <v>1.1000000000000001</v>
      </c>
      <c r="G270" s="140">
        <v>11</v>
      </c>
      <c r="H270" s="501"/>
      <c r="I270" s="141">
        <f t="shared" si="5"/>
        <v>0</v>
      </c>
      <c r="J270"/>
      <c r="K270"/>
      <c r="L270"/>
      <c r="M270"/>
      <c r="S270" s="330"/>
    </row>
    <row r="271" spans="1:19" ht="22.5" x14ac:dyDescent="0.2">
      <c r="A271" s="135" t="s">
        <v>517</v>
      </c>
      <c r="B271" s="136" t="s">
        <v>294</v>
      </c>
      <c r="C271" s="142">
        <v>2637</v>
      </c>
      <c r="D271" s="138" t="s">
        <v>687</v>
      </c>
      <c r="E271" s="139" t="s">
        <v>538</v>
      </c>
      <c r="F271" s="118">
        <v>1</v>
      </c>
      <c r="G271" s="140">
        <v>19</v>
      </c>
      <c r="H271" s="501"/>
      <c r="I271" s="141">
        <f t="shared" si="5"/>
        <v>0</v>
      </c>
      <c r="J271"/>
      <c r="K271"/>
      <c r="L271"/>
      <c r="M271"/>
      <c r="S271" s="330"/>
    </row>
    <row r="272" spans="1:19" ht="22.5" x14ac:dyDescent="0.2">
      <c r="A272" s="135" t="s">
        <v>517</v>
      </c>
      <c r="B272" s="136" t="s">
        <v>294</v>
      </c>
      <c r="C272" s="142">
        <v>392</v>
      </c>
      <c r="D272" s="138" t="s">
        <v>588</v>
      </c>
      <c r="E272" s="139" t="s">
        <v>538</v>
      </c>
      <c r="F272" s="118">
        <v>0.33300000000000002</v>
      </c>
      <c r="G272" s="140">
        <v>6.327</v>
      </c>
      <c r="H272" s="501"/>
      <c r="I272" s="141">
        <f t="shared" si="5"/>
        <v>0</v>
      </c>
      <c r="J272"/>
      <c r="K272"/>
      <c r="L272"/>
      <c r="M272"/>
      <c r="S272" s="330"/>
    </row>
    <row r="273" spans="1:19" ht="22.5" x14ac:dyDescent="0.2">
      <c r="A273" s="135" t="s">
        <v>517</v>
      </c>
      <c r="B273" s="136" t="s">
        <v>294</v>
      </c>
      <c r="C273" s="142">
        <v>21128</v>
      </c>
      <c r="D273" s="138" t="s">
        <v>633</v>
      </c>
      <c r="E273" s="139" t="s">
        <v>589</v>
      </c>
      <c r="F273" s="118">
        <v>1</v>
      </c>
      <c r="G273" s="140">
        <v>19</v>
      </c>
      <c r="H273" s="501"/>
      <c r="I273" s="141">
        <f t="shared" si="5"/>
        <v>0</v>
      </c>
      <c r="J273"/>
      <c r="K273"/>
      <c r="L273"/>
      <c r="M273"/>
      <c r="S273" s="330"/>
    </row>
    <row r="274" spans="1:19" ht="22.5" x14ac:dyDescent="0.2">
      <c r="A274" s="135" t="s">
        <v>518</v>
      </c>
      <c r="B274" s="136" t="s">
        <v>294</v>
      </c>
      <c r="C274" s="142">
        <v>392</v>
      </c>
      <c r="D274" s="138" t="s">
        <v>588</v>
      </c>
      <c r="E274" s="139" t="s">
        <v>538</v>
      </c>
      <c r="F274" s="118">
        <v>0.33300000000000002</v>
      </c>
      <c r="G274" s="140">
        <v>38.961000000000006</v>
      </c>
      <c r="H274" s="501"/>
      <c r="I274" s="141">
        <f t="shared" si="5"/>
        <v>0</v>
      </c>
      <c r="J274"/>
      <c r="K274"/>
      <c r="L274"/>
      <c r="M274"/>
      <c r="S274" s="330"/>
    </row>
    <row r="275" spans="1:19" x14ac:dyDescent="0.2">
      <c r="A275" s="135" t="s">
        <v>518</v>
      </c>
      <c r="B275" s="136" t="s">
        <v>294</v>
      </c>
      <c r="C275" s="142">
        <v>2678</v>
      </c>
      <c r="D275" s="138" t="s">
        <v>632</v>
      </c>
      <c r="E275" s="139" t="s">
        <v>589</v>
      </c>
      <c r="F275" s="118">
        <v>1.048</v>
      </c>
      <c r="G275" s="140">
        <v>122.616</v>
      </c>
      <c r="H275" s="501"/>
      <c r="I275" s="141">
        <f t="shared" si="5"/>
        <v>0</v>
      </c>
      <c r="J275"/>
      <c r="K275"/>
      <c r="L275"/>
      <c r="M275"/>
      <c r="S275" s="330"/>
    </row>
    <row r="276" spans="1:19" ht="22.5" x14ac:dyDescent="0.2">
      <c r="A276" s="135" t="s">
        <v>519</v>
      </c>
      <c r="B276" s="136" t="s">
        <v>294</v>
      </c>
      <c r="C276" s="142">
        <v>11950</v>
      </c>
      <c r="D276" s="138" t="s">
        <v>600</v>
      </c>
      <c r="E276" s="139" t="s">
        <v>538</v>
      </c>
      <c r="F276" s="118">
        <v>2</v>
      </c>
      <c r="G276" s="140">
        <v>18</v>
      </c>
      <c r="H276" s="501"/>
      <c r="I276" s="141">
        <f t="shared" si="5"/>
        <v>0</v>
      </c>
      <c r="J276"/>
      <c r="K276"/>
      <c r="L276"/>
      <c r="M276"/>
      <c r="S276" s="330"/>
    </row>
    <row r="277" spans="1:19" x14ac:dyDescent="0.2">
      <c r="A277" s="135" t="s">
        <v>519</v>
      </c>
      <c r="B277" s="136" t="s">
        <v>294</v>
      </c>
      <c r="C277" s="142">
        <v>12020</v>
      </c>
      <c r="D277" s="138" t="s">
        <v>622</v>
      </c>
      <c r="E277" s="139" t="s">
        <v>538</v>
      </c>
      <c r="F277" s="118">
        <v>1</v>
      </c>
      <c r="G277" s="140">
        <v>9</v>
      </c>
      <c r="H277" s="501"/>
      <c r="I277" s="141">
        <f t="shared" si="5"/>
        <v>0</v>
      </c>
      <c r="J277"/>
      <c r="K277"/>
      <c r="L277"/>
      <c r="M277"/>
      <c r="S277" s="330"/>
    </row>
    <row r="278" spans="1:19" ht="22.5" x14ac:dyDescent="0.2">
      <c r="A278" s="135" t="s">
        <v>520</v>
      </c>
      <c r="B278" s="136" t="s">
        <v>294</v>
      </c>
      <c r="C278" s="142">
        <v>11950</v>
      </c>
      <c r="D278" s="138" t="s">
        <v>600</v>
      </c>
      <c r="E278" s="139" t="s">
        <v>538</v>
      </c>
      <c r="F278" s="118">
        <v>2</v>
      </c>
      <c r="G278" s="140">
        <v>32</v>
      </c>
      <c r="H278" s="501"/>
      <c r="I278" s="141">
        <f t="shared" si="5"/>
        <v>0</v>
      </c>
      <c r="J278"/>
      <c r="K278"/>
      <c r="L278"/>
      <c r="M278"/>
      <c r="S278" s="330"/>
    </row>
    <row r="279" spans="1:19" ht="22.5" x14ac:dyDescent="0.2">
      <c r="A279" s="135" t="s">
        <v>520</v>
      </c>
      <c r="B279" s="136" t="s">
        <v>294</v>
      </c>
      <c r="C279" s="142">
        <v>2586</v>
      </c>
      <c r="D279" s="138" t="s">
        <v>620</v>
      </c>
      <c r="E279" s="139" t="s">
        <v>538</v>
      </c>
      <c r="F279" s="118">
        <v>1</v>
      </c>
      <c r="G279" s="140">
        <v>16</v>
      </c>
      <c r="H279" s="501"/>
      <c r="I279" s="141">
        <f t="shared" si="5"/>
        <v>0</v>
      </c>
      <c r="J279"/>
      <c r="K279"/>
      <c r="L279"/>
      <c r="M279"/>
      <c r="S279" s="330"/>
    </row>
    <row r="280" spans="1:19" x14ac:dyDescent="0.2">
      <c r="A280" s="135" t="s">
        <v>521</v>
      </c>
      <c r="B280" s="136" t="s">
        <v>294</v>
      </c>
      <c r="C280" s="142">
        <v>12016</v>
      </c>
      <c r="D280" s="138" t="s">
        <v>621</v>
      </c>
      <c r="E280" s="139" t="s">
        <v>538</v>
      </c>
      <c r="F280" s="118">
        <v>1</v>
      </c>
      <c r="G280" s="140">
        <v>2</v>
      </c>
      <c r="H280" s="501"/>
      <c r="I280" s="141">
        <f t="shared" si="5"/>
        <v>0</v>
      </c>
      <c r="J280"/>
      <c r="K280"/>
      <c r="L280"/>
      <c r="M280"/>
      <c r="S280" s="330"/>
    </row>
    <row r="281" spans="1:19" ht="22.5" x14ac:dyDescent="0.2">
      <c r="A281" s="135" t="s">
        <v>522</v>
      </c>
      <c r="B281" s="136" t="s">
        <v>294</v>
      </c>
      <c r="C281" s="142">
        <v>11950</v>
      </c>
      <c r="D281" s="138" t="s">
        <v>600</v>
      </c>
      <c r="E281" s="139" t="s">
        <v>538</v>
      </c>
      <c r="F281" s="118">
        <v>2</v>
      </c>
      <c r="G281" s="140">
        <v>48</v>
      </c>
      <c r="H281" s="501"/>
      <c r="I281" s="141">
        <f t="shared" si="5"/>
        <v>0</v>
      </c>
      <c r="J281"/>
      <c r="K281"/>
      <c r="L281"/>
      <c r="M281"/>
      <c r="S281" s="330"/>
    </row>
    <row r="282" spans="1:19" ht="22.5" x14ac:dyDescent="0.2">
      <c r="A282" s="135" t="s">
        <v>522</v>
      </c>
      <c r="B282" s="136" t="s">
        <v>294</v>
      </c>
      <c r="C282" s="142">
        <v>2559</v>
      </c>
      <c r="D282" s="138" t="s">
        <v>619</v>
      </c>
      <c r="E282" s="139" t="s">
        <v>538</v>
      </c>
      <c r="F282" s="118">
        <v>1</v>
      </c>
      <c r="G282" s="140">
        <v>24</v>
      </c>
      <c r="H282" s="501"/>
      <c r="I282" s="141">
        <f t="shared" si="5"/>
        <v>0</v>
      </c>
      <c r="J282"/>
      <c r="K282"/>
      <c r="L282"/>
      <c r="M282"/>
      <c r="S282" s="330"/>
    </row>
    <row r="283" spans="1:19" ht="34.5" customHeight="1" x14ac:dyDescent="0.2">
      <c r="A283" s="135" t="s">
        <v>523</v>
      </c>
      <c r="B283" s="136" t="s">
        <v>294</v>
      </c>
      <c r="C283" s="142">
        <v>1014</v>
      </c>
      <c r="D283" s="138" t="s">
        <v>606</v>
      </c>
      <c r="E283" s="139" t="s">
        <v>589</v>
      </c>
      <c r="F283" s="118">
        <v>1.19</v>
      </c>
      <c r="G283" s="140">
        <v>1113.8399999999999</v>
      </c>
      <c r="H283" s="501"/>
      <c r="I283" s="141">
        <f t="shared" si="5"/>
        <v>0</v>
      </c>
      <c r="J283"/>
      <c r="K283"/>
      <c r="L283"/>
      <c r="M283"/>
      <c r="S283" s="330"/>
    </row>
    <row r="284" spans="1:19" ht="22.5" x14ac:dyDescent="0.2">
      <c r="A284" s="135" t="s">
        <v>523</v>
      </c>
      <c r="B284" s="136" t="s">
        <v>294</v>
      </c>
      <c r="C284" s="142">
        <v>21127</v>
      </c>
      <c r="D284" s="138" t="s">
        <v>638</v>
      </c>
      <c r="E284" s="139" t="s">
        <v>538</v>
      </c>
      <c r="F284" s="118">
        <v>8.9999999999999993E-3</v>
      </c>
      <c r="G284" s="140">
        <v>8.4239999999999995</v>
      </c>
      <c r="H284" s="501"/>
      <c r="I284" s="141">
        <f t="shared" si="5"/>
        <v>0</v>
      </c>
      <c r="J284"/>
      <c r="K284"/>
      <c r="L284"/>
      <c r="M284"/>
      <c r="S284" s="330"/>
    </row>
    <row r="285" spans="1:19" ht="22.5" x14ac:dyDescent="0.2">
      <c r="A285" s="135" t="s">
        <v>524</v>
      </c>
      <c r="B285" s="136" t="s">
        <v>294</v>
      </c>
      <c r="C285" s="142">
        <v>981</v>
      </c>
      <c r="D285" s="138" t="s">
        <v>608</v>
      </c>
      <c r="E285" s="139" t="s">
        <v>589</v>
      </c>
      <c r="F285" s="118">
        <v>1.19</v>
      </c>
      <c r="G285" s="140">
        <v>85.679999999999993</v>
      </c>
      <c r="H285" s="501"/>
      <c r="I285" s="141">
        <f t="shared" si="5"/>
        <v>0</v>
      </c>
      <c r="J285"/>
      <c r="K285"/>
      <c r="L285"/>
      <c r="M285"/>
      <c r="S285" s="330"/>
    </row>
    <row r="286" spans="1:19" ht="22.5" x14ac:dyDescent="0.2">
      <c r="A286" s="135" t="s">
        <v>524</v>
      </c>
      <c r="B286" s="136" t="s">
        <v>294</v>
      </c>
      <c r="C286" s="142">
        <v>21127</v>
      </c>
      <c r="D286" s="138" t="s">
        <v>638</v>
      </c>
      <c r="E286" s="139" t="s">
        <v>538</v>
      </c>
      <c r="F286" s="118">
        <v>8.9999999999999993E-3</v>
      </c>
      <c r="G286" s="140">
        <v>0.64799999999999991</v>
      </c>
      <c r="H286" s="501"/>
      <c r="I286" s="141">
        <f t="shared" si="5"/>
        <v>0</v>
      </c>
      <c r="J286"/>
      <c r="K286"/>
      <c r="L286"/>
      <c r="M286"/>
      <c r="S286" s="330"/>
    </row>
    <row r="287" spans="1:19" ht="22.5" x14ac:dyDescent="0.2">
      <c r="A287" s="135" t="s">
        <v>525</v>
      </c>
      <c r="B287" s="136" t="s">
        <v>294</v>
      </c>
      <c r="C287" s="142">
        <v>982</v>
      </c>
      <c r="D287" s="138" t="s">
        <v>610</v>
      </c>
      <c r="E287" s="139" t="s">
        <v>589</v>
      </c>
      <c r="F287" s="118">
        <v>1.19</v>
      </c>
      <c r="G287" s="140">
        <v>29.75</v>
      </c>
      <c r="H287" s="501"/>
      <c r="I287" s="141">
        <f t="shared" si="5"/>
        <v>0</v>
      </c>
      <c r="J287"/>
      <c r="K287"/>
      <c r="L287"/>
      <c r="M287"/>
      <c r="S287" s="330"/>
    </row>
    <row r="288" spans="1:19" ht="22.5" x14ac:dyDescent="0.2">
      <c r="A288" s="135" t="s">
        <v>525</v>
      </c>
      <c r="B288" s="136" t="s">
        <v>294</v>
      </c>
      <c r="C288" s="142">
        <v>21127</v>
      </c>
      <c r="D288" s="138" t="s">
        <v>638</v>
      </c>
      <c r="E288" s="139" t="s">
        <v>538</v>
      </c>
      <c r="F288" s="118">
        <v>8.9999999999999993E-3</v>
      </c>
      <c r="G288" s="140">
        <v>0.22499999999999998</v>
      </c>
      <c r="H288" s="501"/>
      <c r="I288" s="141">
        <f t="shared" si="5"/>
        <v>0</v>
      </c>
      <c r="J288"/>
      <c r="K288"/>
      <c r="L288"/>
      <c r="M288"/>
      <c r="S288" s="330"/>
    </row>
    <row r="289" spans="1:19" ht="33.75" x14ac:dyDescent="0.2">
      <c r="A289" s="135" t="s">
        <v>526</v>
      </c>
      <c r="B289" s="136" t="s">
        <v>294</v>
      </c>
      <c r="C289" s="142">
        <v>1020</v>
      </c>
      <c r="D289" s="138" t="s">
        <v>602</v>
      </c>
      <c r="E289" s="139" t="s">
        <v>589</v>
      </c>
      <c r="F289" s="118">
        <v>1.19</v>
      </c>
      <c r="G289" s="140">
        <v>5.9499999999999993</v>
      </c>
      <c r="H289" s="501"/>
      <c r="I289" s="141">
        <f t="shared" si="5"/>
        <v>0</v>
      </c>
      <c r="J289"/>
      <c r="K289"/>
      <c r="L289"/>
      <c r="M289"/>
      <c r="S289" s="330"/>
    </row>
    <row r="290" spans="1:19" ht="22.5" x14ac:dyDescent="0.2">
      <c r="A290" s="135" t="s">
        <v>526</v>
      </c>
      <c r="B290" s="136" t="s">
        <v>294</v>
      </c>
      <c r="C290" s="142">
        <v>21127</v>
      </c>
      <c r="D290" s="138" t="s">
        <v>638</v>
      </c>
      <c r="E290" s="139" t="s">
        <v>538</v>
      </c>
      <c r="F290" s="118">
        <v>8.9999999999999993E-3</v>
      </c>
      <c r="G290" s="140">
        <v>4.4999999999999998E-2</v>
      </c>
      <c r="H290" s="501"/>
      <c r="I290" s="141">
        <f t="shared" si="5"/>
        <v>0</v>
      </c>
      <c r="J290"/>
      <c r="K290"/>
      <c r="L290"/>
      <c r="M290"/>
      <c r="S290" s="330"/>
    </row>
    <row r="291" spans="1:19" ht="33.75" x14ac:dyDescent="0.2">
      <c r="A291" s="135" t="s">
        <v>527</v>
      </c>
      <c r="B291" s="136" t="s">
        <v>294</v>
      </c>
      <c r="C291" s="142">
        <v>995</v>
      </c>
      <c r="D291" s="138" t="s">
        <v>603</v>
      </c>
      <c r="E291" s="139" t="s">
        <v>589</v>
      </c>
      <c r="F291" s="118">
        <v>1.19</v>
      </c>
      <c r="G291" s="140">
        <v>8.33</v>
      </c>
      <c r="H291" s="501"/>
      <c r="I291" s="141">
        <f t="shared" si="5"/>
        <v>0</v>
      </c>
      <c r="J291"/>
      <c r="K291"/>
      <c r="L291"/>
      <c r="M291"/>
      <c r="S291" s="330"/>
    </row>
    <row r="292" spans="1:19" ht="22.5" x14ac:dyDescent="0.2">
      <c r="A292" s="135" t="s">
        <v>527</v>
      </c>
      <c r="B292" s="136" t="s">
        <v>294</v>
      </c>
      <c r="C292" s="142">
        <v>21127</v>
      </c>
      <c r="D292" s="138" t="s">
        <v>638</v>
      </c>
      <c r="E292" s="139" t="s">
        <v>538</v>
      </c>
      <c r="F292" s="118">
        <v>8.9999999999999993E-3</v>
      </c>
      <c r="G292" s="140">
        <v>6.3E-2</v>
      </c>
      <c r="H292" s="501"/>
      <c r="I292" s="141">
        <f t="shared" si="5"/>
        <v>0</v>
      </c>
      <c r="J292"/>
      <c r="K292"/>
      <c r="L292"/>
      <c r="M292"/>
      <c r="S292" s="330"/>
    </row>
    <row r="293" spans="1:19" ht="22.5" x14ac:dyDescent="0.2">
      <c r="A293" s="135" t="s">
        <v>528</v>
      </c>
      <c r="B293" s="136" t="s">
        <v>294</v>
      </c>
      <c r="C293" s="142">
        <v>39232</v>
      </c>
      <c r="D293" s="138" t="s">
        <v>607</v>
      </c>
      <c r="E293" s="139" t="s">
        <v>589</v>
      </c>
      <c r="F293" s="118">
        <v>1.0149999999999999</v>
      </c>
      <c r="G293" s="140">
        <v>14.209999999999999</v>
      </c>
      <c r="H293" s="501"/>
      <c r="I293" s="141">
        <f t="shared" si="5"/>
        <v>0</v>
      </c>
      <c r="J293"/>
      <c r="K293"/>
      <c r="L293"/>
      <c r="M293"/>
      <c r="S293" s="330"/>
    </row>
    <row r="294" spans="1:19" ht="22.5" x14ac:dyDescent="0.2">
      <c r="A294" s="135" t="s">
        <v>528</v>
      </c>
      <c r="B294" s="136" t="s">
        <v>294</v>
      </c>
      <c r="C294" s="142">
        <v>21127</v>
      </c>
      <c r="D294" s="138" t="s">
        <v>638</v>
      </c>
      <c r="E294" s="139" t="s">
        <v>538</v>
      </c>
      <c r="F294" s="118">
        <v>8.9999999999999993E-3</v>
      </c>
      <c r="G294" s="140">
        <v>0.126</v>
      </c>
      <c r="H294" s="501"/>
      <c r="I294" s="141">
        <f t="shared" si="5"/>
        <v>0</v>
      </c>
      <c r="J294"/>
      <c r="K294"/>
      <c r="L294"/>
      <c r="M294"/>
      <c r="S294" s="330"/>
    </row>
    <row r="295" spans="1:19" ht="22.5" x14ac:dyDescent="0.2">
      <c r="A295" s="135" t="s">
        <v>529</v>
      </c>
      <c r="B295" s="136" t="s">
        <v>294</v>
      </c>
      <c r="C295" s="142">
        <v>39234</v>
      </c>
      <c r="D295" s="138" t="s">
        <v>609</v>
      </c>
      <c r="E295" s="139" t="s">
        <v>589</v>
      </c>
      <c r="F295" s="118">
        <v>1.0149999999999999</v>
      </c>
      <c r="G295" s="140">
        <v>9.1349999999999998</v>
      </c>
      <c r="H295" s="501"/>
      <c r="I295" s="141">
        <f t="shared" si="5"/>
        <v>0</v>
      </c>
      <c r="J295"/>
      <c r="K295"/>
      <c r="L295"/>
      <c r="M295"/>
      <c r="S295" s="330"/>
    </row>
    <row r="296" spans="1:19" ht="22.5" x14ac:dyDescent="0.2">
      <c r="A296" s="135" t="s">
        <v>529</v>
      </c>
      <c r="B296" s="136" t="s">
        <v>294</v>
      </c>
      <c r="C296" s="142">
        <v>21127</v>
      </c>
      <c r="D296" s="138" t="s">
        <v>638</v>
      </c>
      <c r="E296" s="139" t="s">
        <v>538</v>
      </c>
      <c r="F296" s="118">
        <v>8.9999999999999993E-3</v>
      </c>
      <c r="G296" s="140">
        <v>8.0999999999999989E-2</v>
      </c>
      <c r="H296" s="501"/>
      <c r="I296" s="141">
        <f t="shared" si="5"/>
        <v>0</v>
      </c>
      <c r="J296"/>
      <c r="K296"/>
      <c r="L296"/>
      <c r="M296"/>
      <c r="S296" s="330"/>
    </row>
    <row r="297" spans="1:19" ht="33.75" x14ac:dyDescent="0.2">
      <c r="A297" s="135" t="s">
        <v>530</v>
      </c>
      <c r="B297" s="136" t="s">
        <v>294</v>
      </c>
      <c r="C297" s="142">
        <v>1018</v>
      </c>
      <c r="D297" s="138" t="s">
        <v>604</v>
      </c>
      <c r="E297" s="139" t="s">
        <v>589</v>
      </c>
      <c r="F297" s="118">
        <v>1.0149999999999999</v>
      </c>
      <c r="G297" s="140">
        <v>8.1199999999999992</v>
      </c>
      <c r="H297" s="501"/>
      <c r="I297" s="141">
        <f t="shared" si="5"/>
        <v>0</v>
      </c>
      <c r="J297"/>
      <c r="K297"/>
      <c r="L297"/>
      <c r="M297"/>
      <c r="S297" s="330"/>
    </row>
    <row r="298" spans="1:19" ht="22.5" x14ac:dyDescent="0.2">
      <c r="A298" s="135" t="s">
        <v>530</v>
      </c>
      <c r="B298" s="136" t="s">
        <v>294</v>
      </c>
      <c r="C298" s="142">
        <v>21127</v>
      </c>
      <c r="D298" s="138" t="s">
        <v>638</v>
      </c>
      <c r="E298" s="139" t="s">
        <v>538</v>
      </c>
      <c r="F298" s="118">
        <v>8.9999999999999993E-3</v>
      </c>
      <c r="G298" s="140">
        <v>7.1999999999999995E-2</v>
      </c>
      <c r="H298" s="501"/>
      <c r="I298" s="141">
        <f t="shared" si="5"/>
        <v>0</v>
      </c>
      <c r="J298"/>
      <c r="K298"/>
      <c r="L298"/>
      <c r="M298"/>
      <c r="S298" s="330"/>
    </row>
    <row r="299" spans="1:19" ht="37.5" customHeight="1" x14ac:dyDescent="0.2">
      <c r="A299" s="135" t="s">
        <v>531</v>
      </c>
      <c r="B299" s="136" t="s">
        <v>294</v>
      </c>
      <c r="C299" s="142">
        <v>998</v>
      </c>
      <c r="D299" s="138" t="s">
        <v>605</v>
      </c>
      <c r="E299" s="139" t="s">
        <v>589</v>
      </c>
      <c r="F299" s="118">
        <v>1.0149999999999999</v>
      </c>
      <c r="G299" s="140">
        <v>35.524999999999999</v>
      </c>
      <c r="H299" s="501"/>
      <c r="I299" s="141">
        <f t="shared" si="5"/>
        <v>0</v>
      </c>
      <c r="J299" s="146"/>
      <c r="K299"/>
      <c r="L299"/>
      <c r="M299"/>
      <c r="S299" s="330"/>
    </row>
    <row r="300" spans="1:19" ht="22.5" x14ac:dyDescent="0.2">
      <c r="A300" s="135" t="s">
        <v>531</v>
      </c>
      <c r="B300" s="136" t="s">
        <v>294</v>
      </c>
      <c r="C300" s="142">
        <v>21127</v>
      </c>
      <c r="D300" s="138" t="s">
        <v>638</v>
      </c>
      <c r="E300" s="139" t="s">
        <v>538</v>
      </c>
      <c r="F300" s="118">
        <v>8.9999999999999993E-3</v>
      </c>
      <c r="G300" s="140">
        <v>0.315</v>
      </c>
      <c r="H300" s="501"/>
      <c r="I300" s="141">
        <f t="shared" si="5"/>
        <v>0</v>
      </c>
      <c r="J300"/>
      <c r="K300"/>
      <c r="L300"/>
      <c r="M300"/>
      <c r="S300" s="330"/>
    </row>
    <row r="301" spans="1:19" ht="22.5" x14ac:dyDescent="0.2">
      <c r="A301" s="135" t="s">
        <v>532</v>
      </c>
      <c r="B301" s="136" t="s">
        <v>294</v>
      </c>
      <c r="C301" s="142">
        <v>4356</v>
      </c>
      <c r="D301" s="138" t="s">
        <v>689</v>
      </c>
      <c r="E301" s="139" t="s">
        <v>538</v>
      </c>
      <c r="F301" s="118">
        <v>1</v>
      </c>
      <c r="G301" s="140">
        <v>5</v>
      </c>
      <c r="H301" s="501"/>
      <c r="I301" s="141">
        <f t="shared" si="5"/>
        <v>0</v>
      </c>
      <c r="J301"/>
      <c r="K301"/>
      <c r="L301"/>
      <c r="M301"/>
      <c r="S301" s="330"/>
    </row>
    <row r="302" spans="1:19" ht="22.5" x14ac:dyDescent="0.2">
      <c r="A302" s="135" t="s">
        <v>532</v>
      </c>
      <c r="B302" s="136" t="s">
        <v>294</v>
      </c>
      <c r="C302" s="142">
        <v>7572</v>
      </c>
      <c r="D302" s="138" t="s">
        <v>701</v>
      </c>
      <c r="E302" s="139" t="s">
        <v>538</v>
      </c>
      <c r="F302" s="118">
        <v>1</v>
      </c>
      <c r="G302" s="140">
        <v>5</v>
      </c>
      <c r="H302" s="501"/>
      <c r="I302" s="141">
        <f t="shared" si="5"/>
        <v>0</v>
      </c>
      <c r="J302"/>
      <c r="K302"/>
      <c r="L302"/>
      <c r="M302"/>
      <c r="S302" s="330"/>
    </row>
    <row r="303" spans="1:19" x14ac:dyDescent="0.2">
      <c r="A303" s="135" t="s">
        <v>532</v>
      </c>
      <c r="B303" s="136" t="s">
        <v>294</v>
      </c>
      <c r="C303" s="142">
        <v>867</v>
      </c>
      <c r="D303" s="138" t="s">
        <v>601</v>
      </c>
      <c r="E303" s="139" t="s">
        <v>589</v>
      </c>
      <c r="F303" s="118">
        <v>1.05</v>
      </c>
      <c r="G303" s="140">
        <v>5.25</v>
      </c>
      <c r="H303" s="501"/>
      <c r="I303" s="141">
        <f t="shared" si="5"/>
        <v>0</v>
      </c>
      <c r="J303"/>
      <c r="K303"/>
      <c r="L303"/>
      <c r="M303"/>
      <c r="S303" s="330"/>
    </row>
    <row r="304" spans="1:19" ht="22.5" x14ac:dyDescent="0.2">
      <c r="A304" s="135" t="s">
        <v>533</v>
      </c>
      <c r="B304" s="136" t="s">
        <v>294</v>
      </c>
      <c r="C304" s="142">
        <v>1586</v>
      </c>
      <c r="D304" s="138" t="s">
        <v>721</v>
      </c>
      <c r="E304" s="139" t="s">
        <v>538</v>
      </c>
      <c r="F304" s="118">
        <v>1</v>
      </c>
      <c r="G304" s="140">
        <v>1</v>
      </c>
      <c r="H304" s="501"/>
      <c r="I304" s="141">
        <f t="shared" si="5"/>
        <v>0</v>
      </c>
      <c r="J304"/>
      <c r="K304"/>
      <c r="L304"/>
      <c r="M304"/>
      <c r="S304" s="330"/>
    </row>
    <row r="305" spans="1:19" x14ac:dyDescent="0.2">
      <c r="A305" s="135" t="s">
        <v>534</v>
      </c>
      <c r="B305" s="136" t="s">
        <v>294</v>
      </c>
      <c r="C305" s="142">
        <v>34686</v>
      </c>
      <c r="D305" s="138" t="s">
        <v>626</v>
      </c>
      <c r="E305" s="139" t="s">
        <v>538</v>
      </c>
      <c r="F305" s="118">
        <v>1</v>
      </c>
      <c r="G305" s="140">
        <v>0</v>
      </c>
      <c r="H305" s="501"/>
      <c r="I305" s="141">
        <f t="shared" si="5"/>
        <v>0</v>
      </c>
      <c r="J305"/>
      <c r="K305"/>
      <c r="L305"/>
      <c r="M305"/>
      <c r="S305" s="330"/>
    </row>
    <row r="306" spans="1:19" ht="22.5" x14ac:dyDescent="0.2">
      <c r="A306" s="135" t="s">
        <v>534</v>
      </c>
      <c r="B306" s="136" t="s">
        <v>294</v>
      </c>
      <c r="C306" s="142">
        <v>1575</v>
      </c>
      <c r="D306" s="138" t="s">
        <v>715</v>
      </c>
      <c r="E306" s="139" t="s">
        <v>538</v>
      </c>
      <c r="F306" s="118">
        <v>1</v>
      </c>
      <c r="G306" s="140">
        <v>0</v>
      </c>
      <c r="H306" s="501"/>
      <c r="I306" s="141">
        <f t="shared" si="5"/>
        <v>0</v>
      </c>
      <c r="J306"/>
      <c r="K306"/>
      <c r="L306"/>
      <c r="M306"/>
      <c r="S306" s="330"/>
    </row>
    <row r="307" spans="1:19" ht="22.5" x14ac:dyDescent="0.2">
      <c r="A307" s="135">
        <v>276</v>
      </c>
      <c r="B307" s="65" t="s">
        <v>333</v>
      </c>
      <c r="C307" s="65">
        <v>1</v>
      </c>
      <c r="D307" s="138" t="s">
        <v>740</v>
      </c>
      <c r="E307" s="118" t="s">
        <v>741</v>
      </c>
      <c r="F307" s="118">
        <v>1</v>
      </c>
      <c r="G307" s="140">
        <v>46</v>
      </c>
      <c r="H307" s="501"/>
      <c r="I307" s="141">
        <f t="shared" si="5"/>
        <v>0</v>
      </c>
      <c r="J307"/>
      <c r="K307"/>
      <c r="L307"/>
      <c r="M307"/>
    </row>
    <row r="308" spans="1:19" ht="22.5" x14ac:dyDescent="0.2">
      <c r="A308" s="135">
        <v>277</v>
      </c>
      <c r="B308" s="65" t="s">
        <v>333</v>
      </c>
      <c r="C308" s="65">
        <v>2</v>
      </c>
      <c r="D308" s="138" t="s">
        <v>742</v>
      </c>
      <c r="E308" s="118" t="s">
        <v>741</v>
      </c>
      <c r="F308" s="118">
        <v>1</v>
      </c>
      <c r="G308" s="140">
        <v>0</v>
      </c>
      <c r="H308" s="501"/>
      <c r="I308" s="141">
        <f t="shared" si="5"/>
        <v>0</v>
      </c>
      <c r="J308"/>
      <c r="K308"/>
      <c r="L308"/>
      <c r="M308"/>
    </row>
    <row r="309" spans="1:19" ht="30.75" customHeight="1" x14ac:dyDescent="0.2">
      <c r="A309" s="135">
        <v>278</v>
      </c>
      <c r="B309" s="65" t="s">
        <v>333</v>
      </c>
      <c r="C309" s="65">
        <v>3</v>
      </c>
      <c r="D309" s="138" t="s">
        <v>743</v>
      </c>
      <c r="E309" s="118" t="s">
        <v>741</v>
      </c>
      <c r="F309" s="118">
        <v>1</v>
      </c>
      <c r="G309" s="140">
        <v>5</v>
      </c>
      <c r="H309" s="501"/>
      <c r="I309" s="141">
        <f t="shared" si="5"/>
        <v>0</v>
      </c>
      <c r="J309"/>
      <c r="K309"/>
      <c r="L309"/>
      <c r="M309"/>
    </row>
    <row r="310" spans="1:19" ht="25.5" customHeight="1" x14ac:dyDescent="0.2">
      <c r="A310" s="135">
        <v>279</v>
      </c>
      <c r="B310" s="65" t="s">
        <v>333</v>
      </c>
      <c r="C310" s="65">
        <v>4</v>
      </c>
      <c r="D310" s="138" t="s">
        <v>744</v>
      </c>
      <c r="E310" s="118" t="s">
        <v>741</v>
      </c>
      <c r="F310" s="118">
        <v>1</v>
      </c>
      <c r="G310" s="140">
        <v>97</v>
      </c>
      <c r="H310" s="501"/>
      <c r="I310" s="141">
        <f t="shared" si="5"/>
        <v>0</v>
      </c>
      <c r="J310"/>
      <c r="K310"/>
      <c r="L310"/>
      <c r="M310"/>
    </row>
    <row r="311" spans="1:19" ht="24.75" customHeight="1" x14ac:dyDescent="0.2">
      <c r="A311" s="135">
        <v>280</v>
      </c>
      <c r="B311" s="65" t="s">
        <v>333</v>
      </c>
      <c r="C311" s="65">
        <v>5</v>
      </c>
      <c r="D311" s="138" t="s">
        <v>745</v>
      </c>
      <c r="E311" s="118" t="s">
        <v>741</v>
      </c>
      <c r="F311" s="118">
        <v>1</v>
      </c>
      <c r="G311" s="140">
        <v>0</v>
      </c>
      <c r="H311" s="501"/>
      <c r="I311" s="141">
        <f t="shared" si="5"/>
        <v>0</v>
      </c>
      <c r="J311"/>
      <c r="K311"/>
      <c r="L311"/>
      <c r="M311"/>
    </row>
    <row r="312" spans="1:19" ht="30" customHeight="1" x14ac:dyDescent="0.2">
      <c r="A312" s="135">
        <v>281</v>
      </c>
      <c r="B312" s="65" t="s">
        <v>333</v>
      </c>
      <c r="C312" s="65">
        <v>6</v>
      </c>
      <c r="D312" s="138" t="s">
        <v>746</v>
      </c>
      <c r="E312" s="118" t="s">
        <v>741</v>
      </c>
      <c r="F312" s="118">
        <v>1</v>
      </c>
      <c r="G312" s="140">
        <v>0</v>
      </c>
      <c r="H312" s="501"/>
      <c r="I312" s="141">
        <f t="shared" si="5"/>
        <v>0</v>
      </c>
      <c r="J312"/>
      <c r="K312"/>
      <c r="L312"/>
      <c r="M312"/>
    </row>
    <row r="313" spans="1:19" ht="30" customHeight="1" x14ac:dyDescent="0.2">
      <c r="A313" s="135">
        <v>282</v>
      </c>
      <c r="B313" s="65" t="s">
        <v>333</v>
      </c>
      <c r="C313" s="65">
        <v>7</v>
      </c>
      <c r="D313" s="138" t="s">
        <v>747</v>
      </c>
      <c r="E313" s="118" t="s">
        <v>741</v>
      </c>
      <c r="F313" s="118">
        <v>1</v>
      </c>
      <c r="G313" s="140">
        <v>0</v>
      </c>
      <c r="H313" s="501"/>
      <c r="I313" s="141">
        <f t="shared" si="5"/>
        <v>0</v>
      </c>
      <c r="J313"/>
      <c r="K313"/>
      <c r="L313"/>
      <c r="M313"/>
    </row>
    <row r="314" spans="1:19" ht="30" customHeight="1" x14ac:dyDescent="0.2">
      <c r="A314" s="135">
        <v>283</v>
      </c>
      <c r="B314" s="65" t="s">
        <v>333</v>
      </c>
      <c r="C314" s="65">
        <v>8</v>
      </c>
      <c r="D314" s="138" t="s">
        <v>748</v>
      </c>
      <c r="E314" s="118" t="s">
        <v>741</v>
      </c>
      <c r="F314" s="118">
        <v>1</v>
      </c>
      <c r="G314" s="140">
        <v>0</v>
      </c>
      <c r="H314" s="501"/>
      <c r="I314" s="141">
        <f t="shared" si="5"/>
        <v>0</v>
      </c>
      <c r="J314"/>
      <c r="K314"/>
      <c r="L314"/>
      <c r="M314"/>
    </row>
    <row r="315" spans="1:19" ht="30" customHeight="1" x14ac:dyDescent="0.2">
      <c r="A315" s="135">
        <v>284</v>
      </c>
      <c r="B315" s="65" t="s">
        <v>333</v>
      </c>
      <c r="C315" s="65">
        <v>9</v>
      </c>
      <c r="D315" s="138" t="s">
        <v>749</v>
      </c>
      <c r="E315" s="118" t="s">
        <v>741</v>
      </c>
      <c r="F315" s="118">
        <v>1</v>
      </c>
      <c r="G315" s="140">
        <v>0</v>
      </c>
      <c r="H315" s="501"/>
      <c r="I315" s="141">
        <f t="shared" si="5"/>
        <v>0</v>
      </c>
      <c r="J315"/>
      <c r="K315"/>
      <c r="L315"/>
      <c r="M315"/>
    </row>
    <row r="316" spans="1:19" x14ac:dyDescent="0.2">
      <c r="A316" s="135">
        <v>285</v>
      </c>
      <c r="B316" s="65" t="s">
        <v>333</v>
      </c>
      <c r="C316" s="65">
        <v>10</v>
      </c>
      <c r="D316" s="138" t="s">
        <v>750</v>
      </c>
      <c r="E316" s="118" t="s">
        <v>741</v>
      </c>
      <c r="F316" s="118">
        <v>1</v>
      </c>
      <c r="G316" s="140">
        <v>0</v>
      </c>
      <c r="H316" s="501"/>
      <c r="I316" s="141">
        <f t="shared" si="5"/>
        <v>0</v>
      </c>
      <c r="J316"/>
      <c r="K316"/>
      <c r="L316"/>
      <c r="M316"/>
    </row>
    <row r="317" spans="1:19" ht="22.5" x14ac:dyDescent="0.2">
      <c r="A317" s="135">
        <v>286</v>
      </c>
      <c r="B317" s="65" t="s">
        <v>333</v>
      </c>
      <c r="C317" s="65">
        <v>11</v>
      </c>
      <c r="D317" s="138" t="s">
        <v>751</v>
      </c>
      <c r="E317" s="118" t="s">
        <v>741</v>
      </c>
      <c r="F317" s="118">
        <v>1</v>
      </c>
      <c r="G317" s="140">
        <v>0</v>
      </c>
      <c r="H317" s="501"/>
      <c r="I317" s="141">
        <f t="shared" si="5"/>
        <v>0</v>
      </c>
      <c r="J317"/>
      <c r="K317"/>
      <c r="L317"/>
      <c r="M317"/>
    </row>
    <row r="318" spans="1:19" ht="22.5" x14ac:dyDescent="0.2">
      <c r="A318" s="135">
        <v>287</v>
      </c>
      <c r="B318" s="65" t="s">
        <v>333</v>
      </c>
      <c r="C318" s="65">
        <v>12</v>
      </c>
      <c r="D318" s="138" t="s">
        <v>752</v>
      </c>
      <c r="E318" s="118" t="s">
        <v>741</v>
      </c>
      <c r="F318" s="118">
        <v>1</v>
      </c>
      <c r="G318" s="140">
        <v>0</v>
      </c>
      <c r="H318" s="501"/>
      <c r="I318" s="141">
        <f t="shared" si="5"/>
        <v>0</v>
      </c>
      <c r="J318"/>
      <c r="K318"/>
      <c r="L318"/>
      <c r="M318"/>
    </row>
    <row r="319" spans="1:19" ht="22.5" x14ac:dyDescent="0.2">
      <c r="A319" s="135">
        <v>288</v>
      </c>
      <c r="B319" s="65" t="s">
        <v>333</v>
      </c>
      <c r="C319" s="65">
        <v>13</v>
      </c>
      <c r="D319" s="138" t="s">
        <v>753</v>
      </c>
      <c r="E319" s="118" t="s">
        <v>741</v>
      </c>
      <c r="F319" s="118">
        <v>1</v>
      </c>
      <c r="G319" s="140">
        <v>0</v>
      </c>
      <c r="H319" s="501"/>
      <c r="I319" s="141">
        <f t="shared" si="5"/>
        <v>0</v>
      </c>
      <c r="J319"/>
      <c r="K319"/>
      <c r="L319"/>
      <c r="M319"/>
    </row>
    <row r="320" spans="1:19" ht="22.5" x14ac:dyDescent="0.2">
      <c r="A320" s="135">
        <v>289</v>
      </c>
      <c r="B320" s="65" t="s">
        <v>333</v>
      </c>
      <c r="C320" s="65">
        <v>14</v>
      </c>
      <c r="D320" s="138" t="s">
        <v>754</v>
      </c>
      <c r="E320" s="118" t="s">
        <v>741</v>
      </c>
      <c r="F320" s="118">
        <v>1</v>
      </c>
      <c r="G320" s="140">
        <v>41</v>
      </c>
      <c r="H320" s="501"/>
      <c r="I320" s="141">
        <f t="shared" si="5"/>
        <v>0</v>
      </c>
      <c r="J320"/>
      <c r="K320"/>
      <c r="L320"/>
      <c r="M320"/>
    </row>
    <row r="321" spans="1:16" x14ac:dyDescent="0.2">
      <c r="A321" s="135"/>
      <c r="B321" s="65"/>
      <c r="C321" s="65"/>
      <c r="D321" s="138"/>
      <c r="E321" s="118"/>
      <c r="F321" s="118"/>
      <c r="G321" s="140"/>
      <c r="H321" s="141"/>
      <c r="I321" s="141"/>
    </row>
    <row r="322" spans="1:16" x14ac:dyDescent="0.2">
      <c r="A322"/>
      <c r="B322"/>
      <c r="C322"/>
      <c r="D322"/>
      <c r="E322"/>
      <c r="F322"/>
      <c r="G322"/>
      <c r="H322" s="147"/>
      <c r="I322" s="147"/>
    </row>
    <row r="323" spans="1:16" x14ac:dyDescent="0.2">
      <c r="A323" s="474" t="s">
        <v>535</v>
      </c>
      <c r="B323" s="474"/>
      <c r="C323" s="474"/>
      <c r="D323" s="474"/>
      <c r="E323" s="474"/>
      <c r="F323" s="474"/>
      <c r="G323" s="474"/>
      <c r="H323" s="474"/>
      <c r="I323" s="148">
        <f>SUM(I4:I321)</f>
        <v>0</v>
      </c>
    </row>
    <row r="324" spans="1:16" s="25" customFormat="1" ht="11.25" x14ac:dyDescent="0.2">
      <c r="A324" s="149"/>
      <c r="B324" s="149"/>
      <c r="C324" s="149"/>
      <c r="D324" s="150"/>
      <c r="E324" s="149"/>
      <c r="F324" s="149"/>
      <c r="G324" s="149"/>
      <c r="H324" s="149"/>
      <c r="I324" s="151"/>
    </row>
    <row r="325" spans="1:16" x14ac:dyDescent="0.2">
      <c r="A325" s="474" t="s">
        <v>536</v>
      </c>
      <c r="B325" s="474"/>
      <c r="C325" s="474"/>
      <c r="D325" s="474"/>
      <c r="E325" s="474"/>
      <c r="F325" s="474"/>
      <c r="G325" s="474"/>
      <c r="H325" s="474"/>
      <c r="I325" s="148">
        <f>I323/12</f>
        <v>0</v>
      </c>
    </row>
    <row r="326" spans="1:16" x14ac:dyDescent="0.2">
      <c r="A326"/>
      <c r="B326"/>
      <c r="C326"/>
      <c r="D326"/>
      <c r="E326"/>
      <c r="F326"/>
      <c r="G326"/>
      <c r="H326"/>
      <c r="I326"/>
    </row>
    <row r="327" spans="1:16" x14ac:dyDescent="0.2">
      <c r="A327" s="474" t="s">
        <v>337</v>
      </c>
      <c r="B327" s="474"/>
      <c r="C327" s="474"/>
      <c r="D327" s="474"/>
      <c r="E327" s="474"/>
      <c r="F327" s="474"/>
      <c r="G327" s="474"/>
      <c r="H327" s="474"/>
      <c r="I327" s="152">
        <f>'V - BDI'!C18</f>
        <v>4.7120418848167533E-2</v>
      </c>
    </row>
    <row r="328" spans="1:16" x14ac:dyDescent="0.2">
      <c r="A328"/>
      <c r="B328"/>
      <c r="C328"/>
      <c r="D328"/>
      <c r="E328"/>
      <c r="F328"/>
      <c r="G328"/>
      <c r="H328"/>
      <c r="I328"/>
      <c r="P328" s="331"/>
    </row>
    <row r="329" spans="1:16" x14ac:dyDescent="0.2">
      <c r="A329" s="474" t="s">
        <v>537</v>
      </c>
      <c r="B329" s="474"/>
      <c r="C329" s="474"/>
      <c r="D329" s="474"/>
      <c r="E329" s="474"/>
      <c r="F329" s="474"/>
      <c r="G329" s="474"/>
      <c r="H329" s="474"/>
      <c r="I329" s="153">
        <f>I325*(1+I327)</f>
        <v>0</v>
      </c>
      <c r="P329" s="332"/>
    </row>
    <row r="330" spans="1:16" x14ac:dyDescent="0.2">
      <c r="P330" s="332"/>
    </row>
    <row r="331" spans="1:16" x14ac:dyDescent="0.2">
      <c r="P331" s="331"/>
    </row>
  </sheetData>
  <mergeCells count="6">
    <mergeCell ref="A329:H329"/>
    <mergeCell ref="A1:I1"/>
    <mergeCell ref="H2:I2"/>
    <mergeCell ref="A323:H323"/>
    <mergeCell ref="A325:H325"/>
    <mergeCell ref="A327:H327"/>
  </mergeCells>
  <printOptions horizontalCentered="1"/>
  <pageMargins left="0.39370078740157483" right="0.39370078740157483" top="0.59055118110236227" bottom="0.39370078740157483" header="0" footer="0"/>
  <pageSetup paperSize="9" scale="66" firstPageNumber="0" fitToHeight="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AD47"/>
    <pageSetUpPr fitToPage="1"/>
  </sheetPr>
  <dimension ref="A1:AMI25"/>
  <sheetViews>
    <sheetView view="pageBreakPreview" topLeftCell="A22" zoomScaleNormal="100" zoomScaleSheetLayoutView="100" zoomScalePageLayoutView="115" workbookViewId="0">
      <selection activeCell="C17" sqref="C17"/>
    </sheetView>
  </sheetViews>
  <sheetFormatPr defaultRowHeight="14.25" x14ac:dyDescent="0.2"/>
  <cols>
    <col min="1" max="1" width="10.875" style="25"/>
    <col min="2" max="2" width="25.875" style="61"/>
    <col min="3" max="3" width="10.875" style="25"/>
    <col min="4" max="4" width="14" style="25"/>
    <col min="5" max="1023" width="10.875" style="25"/>
    <col min="1024" max="1025" width="8.875"/>
  </cols>
  <sheetData>
    <row r="1" spans="1:4" ht="54" customHeight="1" x14ac:dyDescent="0.2">
      <c r="A1" s="388" t="s">
        <v>541</v>
      </c>
      <c r="B1" s="388"/>
      <c r="C1" s="388"/>
      <c r="D1" s="388"/>
    </row>
    <row r="2" spans="1:4" x14ac:dyDescent="0.2">
      <c r="A2"/>
      <c r="B2"/>
      <c r="C2"/>
      <c r="D2"/>
    </row>
    <row r="3" spans="1:4" s="154" customFormat="1" ht="22.9" customHeight="1" x14ac:dyDescent="0.2">
      <c r="A3" s="2" t="s">
        <v>309</v>
      </c>
      <c r="B3" s="2" t="s">
        <v>91</v>
      </c>
      <c r="C3" s="2" t="s">
        <v>53</v>
      </c>
      <c r="D3" s="2" t="s">
        <v>542</v>
      </c>
    </row>
    <row r="4" spans="1:4" x14ac:dyDescent="0.2">
      <c r="A4" s="157" t="s">
        <v>55</v>
      </c>
      <c r="B4" s="158" t="s">
        <v>543</v>
      </c>
      <c r="C4" s="159">
        <f>SUM(C5:C7)</f>
        <v>0</v>
      </c>
      <c r="D4" s="159">
        <f>SUM(D5:D7)</f>
        <v>0</v>
      </c>
    </row>
    <row r="5" spans="1:4" x14ac:dyDescent="0.2">
      <c r="A5" s="160" t="s">
        <v>544</v>
      </c>
      <c r="B5" s="161" t="s">
        <v>545</v>
      </c>
      <c r="C5" s="162"/>
      <c r="D5" s="162"/>
    </row>
    <row r="6" spans="1:4" x14ac:dyDescent="0.2">
      <c r="A6" s="160" t="s">
        <v>546</v>
      </c>
      <c r="B6" s="161" t="s">
        <v>547</v>
      </c>
      <c r="C6" s="162"/>
      <c r="D6" s="162"/>
    </row>
    <row r="7" spans="1:4" x14ac:dyDescent="0.2">
      <c r="A7" s="160" t="s">
        <v>548</v>
      </c>
      <c r="B7" s="161" t="s">
        <v>549</v>
      </c>
      <c r="C7" s="162"/>
      <c r="D7" s="162"/>
    </row>
    <row r="8" spans="1:4" x14ac:dyDescent="0.2">
      <c r="A8" s="163" t="s">
        <v>57</v>
      </c>
      <c r="B8" s="164" t="s">
        <v>550</v>
      </c>
      <c r="C8" s="165"/>
      <c r="D8" s="165"/>
    </row>
    <row r="9" spans="1:4" x14ac:dyDescent="0.2">
      <c r="A9" s="166" t="s">
        <v>59</v>
      </c>
      <c r="B9" s="167" t="s">
        <v>551</v>
      </c>
      <c r="C9" s="168">
        <f>SUM(C10:C16)</f>
        <v>4.4999999999999998E-2</v>
      </c>
      <c r="D9" s="168">
        <f>SUM(D10:D16)</f>
        <v>4.4999999999999998E-2</v>
      </c>
    </row>
    <row r="10" spans="1:4" x14ac:dyDescent="0.2">
      <c r="A10" s="169" t="s">
        <v>552</v>
      </c>
      <c r="B10" s="170" t="s">
        <v>553</v>
      </c>
      <c r="C10" s="162"/>
      <c r="D10" s="162"/>
    </row>
    <row r="11" spans="1:4" x14ac:dyDescent="0.2">
      <c r="A11" s="169" t="s">
        <v>554</v>
      </c>
      <c r="B11" s="170" t="s">
        <v>555</v>
      </c>
      <c r="C11" s="171"/>
      <c r="D11" s="171"/>
    </row>
    <row r="12" spans="1:4" x14ac:dyDescent="0.2">
      <c r="A12" s="169" t="s">
        <v>556</v>
      </c>
      <c r="B12" s="170" t="s">
        <v>557</v>
      </c>
      <c r="C12" s="171"/>
      <c r="D12" s="171"/>
    </row>
    <row r="13" spans="1:4" ht="54" x14ac:dyDescent="0.2">
      <c r="A13" s="169" t="s">
        <v>558</v>
      </c>
      <c r="B13" s="170" t="s">
        <v>559</v>
      </c>
      <c r="C13" s="172">
        <f>IF('II - Planilha Consolidada'!G49="DESONERADO",0.045,0)</f>
        <v>4.4999999999999998E-2</v>
      </c>
      <c r="D13" s="172">
        <f>C13</f>
        <v>4.4999999999999998E-2</v>
      </c>
    </row>
    <row r="14" spans="1:4" x14ac:dyDescent="0.2">
      <c r="A14" s="169" t="s">
        <v>560</v>
      </c>
      <c r="B14" s="170" t="s">
        <v>561</v>
      </c>
      <c r="C14" s="162">
        <v>0</v>
      </c>
      <c r="D14" s="162">
        <v>0</v>
      </c>
    </row>
    <row r="15" spans="1:4" x14ac:dyDescent="0.2">
      <c r="A15" s="169" t="s">
        <v>562</v>
      </c>
      <c r="B15" s="170" t="s">
        <v>563</v>
      </c>
      <c r="C15" s="124"/>
      <c r="D15" s="124"/>
    </row>
    <row r="16" spans="1:4" x14ac:dyDescent="0.2">
      <c r="A16" s="169" t="s">
        <v>564</v>
      </c>
      <c r="B16" s="170" t="s">
        <v>565</v>
      </c>
      <c r="C16" s="162"/>
      <c r="D16" s="162">
        <v>0</v>
      </c>
    </row>
    <row r="17" spans="1:4" x14ac:dyDescent="0.2">
      <c r="A17" s="502"/>
      <c r="B17" s="503" t="s">
        <v>841</v>
      </c>
      <c r="C17" s="504">
        <f>'V-A - ISS'!F75</f>
        <v>2.4791861927509928E-2</v>
      </c>
      <c r="D17" s="504">
        <v>0</v>
      </c>
    </row>
    <row r="18" spans="1:4" x14ac:dyDescent="0.2">
      <c r="A18" s="438" t="s">
        <v>337</v>
      </c>
      <c r="B18" s="438"/>
      <c r="C18" s="173">
        <f>((1+(C5+C7))*(1+C6)*(1+C8))/(1-C11-C12-C13-C14-C16)-1</f>
        <v>4.7120418848167533E-2</v>
      </c>
      <c r="D18"/>
    </row>
    <row r="19" spans="1:4" x14ac:dyDescent="0.2">
      <c r="A19" s="438" t="s">
        <v>566</v>
      </c>
      <c r="B19" s="438"/>
      <c r="C19" s="438"/>
      <c r="D19" s="173">
        <f>((1+(D5+D7))*(1+D6)*(1+D8))/(1-D11-D12-D13-D14-D16)-1</f>
        <v>4.7120418848167533E-2</v>
      </c>
    </row>
    <row r="20" spans="1:4" x14ac:dyDescent="0.2">
      <c r="A20"/>
      <c r="B20"/>
      <c r="C20"/>
      <c r="D20"/>
    </row>
    <row r="21" spans="1:4" x14ac:dyDescent="0.2">
      <c r="A21" s="477" t="s">
        <v>567</v>
      </c>
      <c r="B21" s="477"/>
      <c r="C21" s="477"/>
      <c r="D21" s="477"/>
    </row>
    <row r="22" spans="1:4" ht="396.75" customHeight="1" x14ac:dyDescent="0.2">
      <c r="A22" s="479" t="s">
        <v>568</v>
      </c>
      <c r="B22" s="479"/>
      <c r="C22" s="479"/>
      <c r="D22" s="479"/>
    </row>
    <row r="23" spans="1:4" x14ac:dyDescent="0.2">
      <c r="A23"/>
      <c r="B23"/>
      <c r="C23"/>
      <c r="D23"/>
    </row>
    <row r="24" spans="1:4" x14ac:dyDescent="0.2">
      <c r="A24" s="477" t="s">
        <v>569</v>
      </c>
      <c r="B24" s="477"/>
      <c r="C24" s="477"/>
      <c r="D24" s="477"/>
    </row>
    <row r="25" spans="1:4" ht="197.1" customHeight="1" x14ac:dyDescent="0.2">
      <c r="A25" s="478"/>
      <c r="B25" s="478"/>
      <c r="C25" s="478"/>
      <c r="D25" s="478"/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79" firstPageNumber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AMD84"/>
  <sheetViews>
    <sheetView view="pageBreakPreview" topLeftCell="A15" zoomScaleNormal="150" workbookViewId="0">
      <selection activeCell="I76" sqref="I76"/>
    </sheetView>
  </sheetViews>
  <sheetFormatPr defaultRowHeight="14.25" x14ac:dyDescent="0.2"/>
  <cols>
    <col min="1" max="1" width="13.25" style="62"/>
    <col min="2" max="2" width="22.75" style="62" customWidth="1"/>
    <col min="3" max="3" width="9" style="62" customWidth="1"/>
    <col min="4" max="4" width="10.5" style="62" customWidth="1"/>
    <col min="5" max="5" width="9" style="174" customWidth="1"/>
    <col min="6" max="6" width="9" style="62" customWidth="1"/>
    <col min="7" max="7" width="12" style="62" customWidth="1"/>
    <col min="8" max="1018" width="13.25" style="62"/>
    <col min="1019" max="1025" width="8.875"/>
  </cols>
  <sheetData>
    <row r="1" spans="1:7" ht="62.25" customHeight="1" x14ac:dyDescent="0.2">
      <c r="A1" s="440" t="s">
        <v>570</v>
      </c>
      <c r="B1" s="441"/>
      <c r="C1" s="441"/>
      <c r="D1" s="441"/>
      <c r="E1" s="441"/>
      <c r="F1" s="441"/>
      <c r="G1" s="441"/>
    </row>
    <row r="2" spans="1:7" x14ac:dyDescent="0.2">
      <c r="A2"/>
      <c r="B2"/>
      <c r="C2"/>
      <c r="D2"/>
      <c r="E2"/>
      <c r="F2"/>
      <c r="G2"/>
    </row>
    <row r="3" spans="1:7" ht="33.75" x14ac:dyDescent="0.2">
      <c r="A3" s="2" t="s">
        <v>315</v>
      </c>
      <c r="B3" s="2" t="s">
        <v>571</v>
      </c>
      <c r="C3" s="2" t="s">
        <v>310</v>
      </c>
      <c r="D3" s="2" t="s">
        <v>572</v>
      </c>
      <c r="E3" s="175" t="s">
        <v>573</v>
      </c>
      <c r="F3" s="2" t="s">
        <v>574</v>
      </c>
      <c r="G3" s="178" t="s">
        <v>575</v>
      </c>
    </row>
    <row r="4" spans="1:7" ht="65.25" customHeight="1" x14ac:dyDescent="0.2">
      <c r="A4" s="125" t="s">
        <v>755</v>
      </c>
      <c r="B4" s="125" t="s">
        <v>756</v>
      </c>
      <c r="C4" s="155">
        <v>3075.88</v>
      </c>
      <c r="D4" s="195">
        <f>IFERROR(C4/$C$73,"")</f>
        <v>0.19400234376084052</v>
      </c>
      <c r="E4" s="176">
        <v>0.05</v>
      </c>
      <c r="F4" s="197">
        <f t="shared" ref="F4:F35" si="0">IFERROR(D4*E4,"")</f>
        <v>9.7001171880420275E-3</v>
      </c>
      <c r="G4" s="196" t="s">
        <v>805</v>
      </c>
    </row>
    <row r="5" spans="1:7" ht="45" x14ac:dyDescent="0.2">
      <c r="A5" s="125" t="s">
        <v>757</v>
      </c>
      <c r="B5" s="125" t="s">
        <v>758</v>
      </c>
      <c r="C5" s="155">
        <v>419.69</v>
      </c>
      <c r="D5" s="195">
        <f t="shared" ref="D5:D68" si="1">IFERROR(C5/$C$73,"")</f>
        <v>2.6470747770715099E-2</v>
      </c>
      <c r="E5" s="176">
        <v>0.05</v>
      </c>
      <c r="F5" s="197">
        <f t="shared" si="0"/>
        <v>1.3235373885357551E-3</v>
      </c>
      <c r="G5" s="196" t="s">
        <v>806</v>
      </c>
    </row>
    <row r="6" spans="1:7" ht="45" x14ac:dyDescent="0.2">
      <c r="A6" s="125" t="s">
        <v>759</v>
      </c>
      <c r="B6" s="125" t="s">
        <v>760</v>
      </c>
      <c r="C6" s="155">
        <v>2131.04</v>
      </c>
      <c r="D6" s="195">
        <f t="shared" si="1"/>
        <v>0.13440925999977293</v>
      </c>
      <c r="E6" s="176">
        <v>0.05</v>
      </c>
      <c r="F6" s="197">
        <f t="shared" si="0"/>
        <v>6.7204629999886474E-3</v>
      </c>
      <c r="G6" s="196" t="s">
        <v>808</v>
      </c>
    </row>
    <row r="7" spans="1:7" ht="45" x14ac:dyDescent="0.2">
      <c r="A7" s="125" t="s">
        <v>761</v>
      </c>
      <c r="B7" s="125" t="s">
        <v>762</v>
      </c>
      <c r="C7" s="155">
        <v>1310</v>
      </c>
      <c r="D7" s="195">
        <f t="shared" si="1"/>
        <v>8.2624507564242125E-2</v>
      </c>
      <c r="E7" s="176">
        <v>0.05</v>
      </c>
      <c r="F7" s="197">
        <f t="shared" si="0"/>
        <v>4.1312253782121063E-3</v>
      </c>
      <c r="G7" s="196" t="s">
        <v>807</v>
      </c>
    </row>
    <row r="8" spans="1:7" ht="33.75" x14ac:dyDescent="0.2">
      <c r="A8" s="125" t="s">
        <v>763</v>
      </c>
      <c r="B8" s="125" t="s">
        <v>764</v>
      </c>
      <c r="C8" s="155">
        <v>824</v>
      </c>
      <c r="D8" s="195">
        <f t="shared" si="1"/>
        <v>5.1971445979340086E-2</v>
      </c>
      <c r="E8" s="176">
        <v>0.05</v>
      </c>
      <c r="F8" s="197">
        <f t="shared" si="0"/>
        <v>2.5985722989670043E-3</v>
      </c>
      <c r="G8" s="196" t="s">
        <v>811</v>
      </c>
    </row>
    <row r="9" spans="1:7" ht="33.75" x14ac:dyDescent="0.2">
      <c r="A9" s="125" t="s">
        <v>765</v>
      </c>
      <c r="B9" s="125" t="s">
        <v>766</v>
      </c>
      <c r="C9" s="155">
        <v>713.31</v>
      </c>
      <c r="D9" s="195">
        <f t="shared" si="1"/>
        <v>4.4989990450877516E-2</v>
      </c>
      <c r="E9" s="176">
        <v>0.05</v>
      </c>
      <c r="F9" s="197">
        <f t="shared" si="0"/>
        <v>2.2494995225438761E-3</v>
      </c>
      <c r="G9" s="196" t="s">
        <v>818</v>
      </c>
    </row>
    <row r="10" spans="1:7" ht="45" x14ac:dyDescent="0.2">
      <c r="A10" s="125" t="s">
        <v>767</v>
      </c>
      <c r="B10" s="125" t="s">
        <v>768</v>
      </c>
      <c r="C10" s="155">
        <v>330</v>
      </c>
      <c r="D10" s="195">
        <f t="shared" si="1"/>
        <v>2.0813807249007558E-2</v>
      </c>
      <c r="E10" s="176">
        <v>0.05</v>
      </c>
      <c r="F10" s="197">
        <f t="shared" si="0"/>
        <v>1.040690362450378E-3</v>
      </c>
      <c r="G10" s="196" t="s">
        <v>826</v>
      </c>
    </row>
    <row r="11" spans="1:7" ht="33.75" x14ac:dyDescent="0.2">
      <c r="A11" s="125" t="s">
        <v>769</v>
      </c>
      <c r="B11" s="125" t="s">
        <v>770</v>
      </c>
      <c r="C11" s="155">
        <v>1160.0999999999999</v>
      </c>
      <c r="D11" s="195">
        <f t="shared" si="1"/>
        <v>7.3169993301738387E-2</v>
      </c>
      <c r="E11" s="176">
        <v>0.05</v>
      </c>
      <c r="F11" s="197">
        <f t="shared" si="0"/>
        <v>3.6584996650869195E-3</v>
      </c>
      <c r="G11" s="196" t="s">
        <v>816</v>
      </c>
    </row>
    <row r="12" spans="1:7" ht="33.75" x14ac:dyDescent="0.2">
      <c r="A12" s="125" t="s">
        <v>771</v>
      </c>
      <c r="B12" s="125" t="s">
        <v>772</v>
      </c>
      <c r="C12" s="155">
        <v>880.8</v>
      </c>
      <c r="D12" s="195">
        <f t="shared" si="1"/>
        <v>5.5553943711896536E-2</v>
      </c>
      <c r="E12" s="176">
        <v>0.05</v>
      </c>
      <c r="F12" s="197">
        <f t="shared" si="0"/>
        <v>2.7776971855948268E-3</v>
      </c>
      <c r="G12" s="196" t="s">
        <v>815</v>
      </c>
    </row>
    <row r="13" spans="1:7" ht="33.75" x14ac:dyDescent="0.2">
      <c r="A13" s="125" t="s">
        <v>773</v>
      </c>
      <c r="B13" s="125" t="s">
        <v>774</v>
      </c>
      <c r="C13" s="155">
        <v>777.9</v>
      </c>
      <c r="D13" s="195">
        <f t="shared" si="1"/>
        <v>4.9063820178796909E-2</v>
      </c>
      <c r="E13" s="176">
        <v>0.05</v>
      </c>
      <c r="F13" s="197">
        <f t="shared" si="0"/>
        <v>2.4531910089398458E-3</v>
      </c>
      <c r="G13" s="196" t="s">
        <v>821</v>
      </c>
    </row>
    <row r="14" spans="1:7" ht="22.5" x14ac:dyDescent="0.2">
      <c r="A14" s="125" t="s">
        <v>775</v>
      </c>
      <c r="B14" s="125" t="s">
        <v>776</v>
      </c>
      <c r="C14" s="155">
        <v>920.96</v>
      </c>
      <c r="D14" s="195">
        <f t="shared" si="1"/>
        <v>5.8086920981957585E-2</v>
      </c>
      <c r="E14" s="176">
        <v>0.05</v>
      </c>
      <c r="F14" s="197">
        <f t="shared" si="0"/>
        <v>2.9043460490978793E-3</v>
      </c>
      <c r="G14" s="196" t="s">
        <v>825</v>
      </c>
    </row>
    <row r="15" spans="1:7" ht="45" x14ac:dyDescent="0.2">
      <c r="A15" s="125" t="s">
        <v>777</v>
      </c>
      <c r="B15" s="125" t="s">
        <v>778</v>
      </c>
      <c r="C15" s="155">
        <v>294</v>
      </c>
      <c r="D15" s="195">
        <f t="shared" si="1"/>
        <v>1.854321009457037E-2</v>
      </c>
      <c r="E15" s="176">
        <v>0.05</v>
      </c>
      <c r="F15" s="197">
        <f t="shared" si="0"/>
        <v>9.2716050472851854E-4</v>
      </c>
      <c r="G15" s="196" t="s">
        <v>810</v>
      </c>
    </row>
    <row r="16" spans="1:7" ht="22.5" x14ac:dyDescent="0.2">
      <c r="A16" s="125" t="s">
        <v>779</v>
      </c>
      <c r="B16" s="125" t="s">
        <v>780</v>
      </c>
      <c r="C16" s="155">
        <v>225.52</v>
      </c>
      <c r="D16" s="195">
        <f t="shared" si="1"/>
        <v>1.4224029729685408E-2</v>
      </c>
      <c r="E16" s="176">
        <v>0.05</v>
      </c>
      <c r="F16" s="197">
        <f t="shared" si="0"/>
        <v>7.1120148648427047E-4</v>
      </c>
      <c r="G16" s="196" t="s">
        <v>814</v>
      </c>
    </row>
    <row r="17" spans="1:7" ht="45" x14ac:dyDescent="0.2">
      <c r="A17" s="125" t="s">
        <v>781</v>
      </c>
      <c r="B17" s="125" t="s">
        <v>782</v>
      </c>
      <c r="C17" s="155">
        <v>248</v>
      </c>
      <c r="D17" s="195">
        <f t="shared" si="1"/>
        <v>1.5641891508345076E-2</v>
      </c>
      <c r="E17" s="176">
        <v>0.05</v>
      </c>
      <c r="F17" s="197">
        <f t="shared" si="0"/>
        <v>7.8209457541725388E-4</v>
      </c>
      <c r="G17" s="196" t="s">
        <v>819</v>
      </c>
    </row>
    <row r="18" spans="1:7" ht="33.75" x14ac:dyDescent="0.2">
      <c r="A18" s="125" t="s">
        <v>783</v>
      </c>
      <c r="B18" s="125" t="s">
        <v>784</v>
      </c>
      <c r="C18" s="155">
        <v>343.66</v>
      </c>
      <c r="D18" s="195">
        <f t="shared" si="1"/>
        <v>2.1675372724830114E-2</v>
      </c>
      <c r="E18" s="176">
        <v>0.05</v>
      </c>
      <c r="F18" s="197">
        <f t="shared" si="0"/>
        <v>1.0837686362415058E-3</v>
      </c>
      <c r="G18" s="196" t="s">
        <v>822</v>
      </c>
    </row>
    <row r="19" spans="1:7" ht="33.75" x14ac:dyDescent="0.2">
      <c r="A19" s="125" t="s">
        <v>785</v>
      </c>
      <c r="B19" s="125" t="s">
        <v>786</v>
      </c>
      <c r="C19" s="155">
        <v>220</v>
      </c>
      <c r="D19" s="195">
        <f t="shared" si="1"/>
        <v>1.3875871499338372E-2</v>
      </c>
      <c r="E19" s="176">
        <v>0.05</v>
      </c>
      <c r="F19" s="197">
        <f t="shared" si="0"/>
        <v>6.9379357496691864E-4</v>
      </c>
      <c r="G19" s="196" t="s">
        <v>812</v>
      </c>
    </row>
    <row r="20" spans="1:7" ht="33.75" x14ac:dyDescent="0.2">
      <c r="A20" s="125" t="s">
        <v>787</v>
      </c>
      <c r="B20" s="125" t="s">
        <v>788</v>
      </c>
      <c r="C20" s="155">
        <v>330</v>
      </c>
      <c r="D20" s="195">
        <f t="shared" si="1"/>
        <v>2.0813807249007558E-2</v>
      </c>
      <c r="E20" s="176">
        <v>0.05</v>
      </c>
      <c r="F20" s="197">
        <f t="shared" si="0"/>
        <v>1.040690362450378E-3</v>
      </c>
      <c r="G20" s="196" t="s">
        <v>820</v>
      </c>
    </row>
    <row r="21" spans="1:7" ht="33.75" x14ac:dyDescent="0.2">
      <c r="A21" s="125" t="s">
        <v>789</v>
      </c>
      <c r="B21" s="125" t="s">
        <v>790</v>
      </c>
      <c r="C21" s="155">
        <v>330</v>
      </c>
      <c r="D21" s="195">
        <f t="shared" si="1"/>
        <v>2.0813807249007558E-2</v>
      </c>
      <c r="E21" s="176">
        <v>0.03</v>
      </c>
      <c r="F21" s="197">
        <f t="shared" si="0"/>
        <v>6.2441421747022672E-4</v>
      </c>
      <c r="G21" s="196" t="s">
        <v>817</v>
      </c>
    </row>
    <row r="22" spans="1:7" ht="33.75" x14ac:dyDescent="0.2">
      <c r="A22" s="125" t="s">
        <v>791</v>
      </c>
      <c r="B22" s="125" t="s">
        <v>792</v>
      </c>
      <c r="C22" s="155">
        <v>330</v>
      </c>
      <c r="D22" s="195">
        <f t="shared" si="1"/>
        <v>2.0813807249007558E-2</v>
      </c>
      <c r="E22" s="176">
        <v>0.05</v>
      </c>
      <c r="F22" s="197">
        <f t="shared" si="0"/>
        <v>1.040690362450378E-3</v>
      </c>
      <c r="G22" s="196" t="s">
        <v>824</v>
      </c>
    </row>
    <row r="23" spans="1:7" ht="33.75" x14ac:dyDescent="0.2">
      <c r="A23" s="125" t="s">
        <v>793</v>
      </c>
      <c r="B23" s="125" t="s">
        <v>794</v>
      </c>
      <c r="C23" s="155">
        <v>330</v>
      </c>
      <c r="D23" s="195">
        <f t="shared" si="1"/>
        <v>2.0813807249007558E-2</v>
      </c>
      <c r="E23" s="176">
        <v>0.05</v>
      </c>
      <c r="F23" s="197">
        <f t="shared" si="0"/>
        <v>1.040690362450378E-3</v>
      </c>
      <c r="G23" s="196" t="s">
        <v>813</v>
      </c>
    </row>
    <row r="24" spans="1:7" ht="22.5" x14ac:dyDescent="0.2">
      <c r="A24" s="125" t="s">
        <v>795</v>
      </c>
      <c r="B24" s="125" t="s">
        <v>796</v>
      </c>
      <c r="C24" s="155">
        <v>330</v>
      </c>
      <c r="D24" s="195">
        <f t="shared" si="1"/>
        <v>2.0813807249007558E-2</v>
      </c>
      <c r="E24" s="176">
        <v>0.05</v>
      </c>
      <c r="F24" s="197">
        <f t="shared" si="0"/>
        <v>1.040690362450378E-3</v>
      </c>
      <c r="G24" s="196" t="s">
        <v>823</v>
      </c>
    </row>
    <row r="25" spans="1:7" ht="33.75" x14ac:dyDescent="0.2">
      <c r="A25" s="125" t="s">
        <v>797</v>
      </c>
      <c r="B25" s="125" t="s">
        <v>798</v>
      </c>
      <c r="C25" s="155">
        <v>330</v>
      </c>
      <c r="D25" s="195">
        <f t="shared" si="1"/>
        <v>2.0813807249007558E-2</v>
      </c>
      <c r="E25" s="176">
        <v>0.05</v>
      </c>
      <c r="F25" s="197">
        <f t="shared" si="0"/>
        <v>1.040690362450378E-3</v>
      </c>
      <c r="G25" s="196" t="s">
        <v>809</v>
      </c>
    </row>
    <row r="26" spans="1:7" hidden="1" x14ac:dyDescent="0.2">
      <c r="A26" s="125"/>
      <c r="B26" s="125"/>
      <c r="C26" s="155"/>
      <c r="D26" s="195">
        <f t="shared" si="1"/>
        <v>0</v>
      </c>
      <c r="E26" s="176"/>
      <c r="F26" s="197">
        <f t="shared" si="0"/>
        <v>0</v>
      </c>
      <c r="G26" s="196"/>
    </row>
    <row r="27" spans="1:7" hidden="1" x14ac:dyDescent="0.2">
      <c r="A27" s="125"/>
      <c r="B27" s="125"/>
      <c r="C27" s="155"/>
      <c r="D27" s="195">
        <f t="shared" si="1"/>
        <v>0</v>
      </c>
      <c r="E27" s="176"/>
      <c r="F27" s="197">
        <f t="shared" si="0"/>
        <v>0</v>
      </c>
      <c r="G27" s="196"/>
    </row>
    <row r="28" spans="1:7" hidden="1" x14ac:dyDescent="0.2">
      <c r="A28" s="125"/>
      <c r="B28" s="125"/>
      <c r="C28" s="155"/>
      <c r="D28" s="195">
        <f t="shared" si="1"/>
        <v>0</v>
      </c>
      <c r="E28" s="176"/>
      <c r="F28" s="197">
        <f t="shared" si="0"/>
        <v>0</v>
      </c>
      <c r="G28" s="196"/>
    </row>
    <row r="29" spans="1:7" hidden="1" x14ac:dyDescent="0.2">
      <c r="A29" s="125"/>
      <c r="B29" s="125"/>
      <c r="C29" s="155"/>
      <c r="D29" s="195">
        <f t="shared" si="1"/>
        <v>0</v>
      </c>
      <c r="E29" s="176"/>
      <c r="F29" s="197">
        <f t="shared" si="0"/>
        <v>0</v>
      </c>
      <c r="G29" s="196"/>
    </row>
    <row r="30" spans="1:7" hidden="1" x14ac:dyDescent="0.2">
      <c r="A30" s="125"/>
      <c r="B30" s="125"/>
      <c r="C30" s="155"/>
      <c r="D30" s="195">
        <f t="shared" si="1"/>
        <v>0</v>
      </c>
      <c r="E30" s="176"/>
      <c r="F30" s="197">
        <f t="shared" si="0"/>
        <v>0</v>
      </c>
      <c r="G30" s="196"/>
    </row>
    <row r="31" spans="1:7" hidden="1" x14ac:dyDescent="0.2">
      <c r="A31" s="125"/>
      <c r="B31" s="125"/>
      <c r="C31" s="155"/>
      <c r="D31" s="195">
        <f t="shared" si="1"/>
        <v>0</v>
      </c>
      <c r="E31" s="176"/>
      <c r="F31" s="197">
        <f t="shared" si="0"/>
        <v>0</v>
      </c>
      <c r="G31" s="196"/>
    </row>
    <row r="32" spans="1:7" hidden="1" x14ac:dyDescent="0.2">
      <c r="A32" s="125"/>
      <c r="B32" s="125"/>
      <c r="C32" s="155"/>
      <c r="D32" s="195">
        <f t="shared" si="1"/>
        <v>0</v>
      </c>
      <c r="E32" s="176"/>
      <c r="F32" s="197">
        <f t="shared" si="0"/>
        <v>0</v>
      </c>
      <c r="G32" s="196"/>
    </row>
    <row r="33" spans="1:7" hidden="1" x14ac:dyDescent="0.2">
      <c r="A33" s="125"/>
      <c r="B33" s="125"/>
      <c r="C33" s="155"/>
      <c r="D33" s="195">
        <f t="shared" si="1"/>
        <v>0</v>
      </c>
      <c r="E33" s="176"/>
      <c r="F33" s="197">
        <f t="shared" si="0"/>
        <v>0</v>
      </c>
      <c r="G33" s="196"/>
    </row>
    <row r="34" spans="1:7" hidden="1" x14ac:dyDescent="0.2">
      <c r="A34" s="125"/>
      <c r="B34" s="125"/>
      <c r="C34" s="155"/>
      <c r="D34" s="195">
        <f t="shared" si="1"/>
        <v>0</v>
      </c>
      <c r="E34" s="176"/>
      <c r="F34" s="197">
        <f t="shared" si="0"/>
        <v>0</v>
      </c>
      <c r="G34" s="196"/>
    </row>
    <row r="35" spans="1:7" hidden="1" x14ac:dyDescent="0.2">
      <c r="A35" s="125"/>
      <c r="B35" s="125"/>
      <c r="C35" s="155"/>
      <c r="D35" s="195">
        <f t="shared" si="1"/>
        <v>0</v>
      </c>
      <c r="E35" s="176"/>
      <c r="F35" s="197">
        <f t="shared" si="0"/>
        <v>0</v>
      </c>
      <c r="G35" s="196"/>
    </row>
    <row r="36" spans="1:7" hidden="1" x14ac:dyDescent="0.2">
      <c r="A36" s="125"/>
      <c r="B36" s="125"/>
      <c r="C36" s="155"/>
      <c r="D36" s="195">
        <f t="shared" si="1"/>
        <v>0</v>
      </c>
      <c r="E36" s="176"/>
      <c r="F36" s="197">
        <f t="shared" ref="F36:F66" si="2">IFERROR(D36*E36,"")</f>
        <v>0</v>
      </c>
      <c r="G36" s="196"/>
    </row>
    <row r="37" spans="1:7" hidden="1" x14ac:dyDescent="0.2">
      <c r="A37" s="125"/>
      <c r="B37" s="125"/>
      <c r="C37" s="155"/>
      <c r="D37" s="195">
        <f t="shared" si="1"/>
        <v>0</v>
      </c>
      <c r="E37" s="176"/>
      <c r="F37" s="197">
        <f t="shared" si="2"/>
        <v>0</v>
      </c>
      <c r="G37" s="196"/>
    </row>
    <row r="38" spans="1:7" hidden="1" x14ac:dyDescent="0.2">
      <c r="A38" s="125"/>
      <c r="B38" s="125"/>
      <c r="C38" s="155"/>
      <c r="D38" s="195">
        <f t="shared" si="1"/>
        <v>0</v>
      </c>
      <c r="E38" s="176"/>
      <c r="F38" s="197">
        <f t="shared" si="2"/>
        <v>0</v>
      </c>
      <c r="G38" s="196"/>
    </row>
    <row r="39" spans="1:7" hidden="1" x14ac:dyDescent="0.2">
      <c r="A39" s="125"/>
      <c r="B39" s="125"/>
      <c r="C39" s="155"/>
      <c r="D39" s="195">
        <f t="shared" si="1"/>
        <v>0</v>
      </c>
      <c r="E39" s="176"/>
      <c r="F39" s="197">
        <f t="shared" si="2"/>
        <v>0</v>
      </c>
      <c r="G39" s="196"/>
    </row>
    <row r="40" spans="1:7" hidden="1" x14ac:dyDescent="0.2">
      <c r="A40" s="125"/>
      <c r="B40" s="125"/>
      <c r="C40" s="155"/>
      <c r="D40" s="195">
        <f t="shared" si="1"/>
        <v>0</v>
      </c>
      <c r="E40" s="176"/>
      <c r="F40" s="197">
        <f t="shared" si="2"/>
        <v>0</v>
      </c>
      <c r="G40" s="196"/>
    </row>
    <row r="41" spans="1:7" hidden="1" x14ac:dyDescent="0.2">
      <c r="A41" s="125"/>
      <c r="B41" s="125"/>
      <c r="C41" s="155"/>
      <c r="D41" s="195">
        <f t="shared" si="1"/>
        <v>0</v>
      </c>
      <c r="E41" s="176"/>
      <c r="F41" s="197">
        <f t="shared" si="2"/>
        <v>0</v>
      </c>
      <c r="G41" s="196"/>
    </row>
    <row r="42" spans="1:7" hidden="1" x14ac:dyDescent="0.2">
      <c r="A42" s="125"/>
      <c r="B42" s="125"/>
      <c r="C42" s="155"/>
      <c r="D42" s="195">
        <f t="shared" si="1"/>
        <v>0</v>
      </c>
      <c r="E42" s="176"/>
      <c r="F42" s="197">
        <f t="shared" si="2"/>
        <v>0</v>
      </c>
      <c r="G42" s="196"/>
    </row>
    <row r="43" spans="1:7" hidden="1" x14ac:dyDescent="0.2">
      <c r="A43" s="125"/>
      <c r="B43" s="125"/>
      <c r="C43" s="155"/>
      <c r="D43" s="195">
        <f t="shared" si="1"/>
        <v>0</v>
      </c>
      <c r="E43" s="176"/>
      <c r="F43" s="197">
        <f t="shared" si="2"/>
        <v>0</v>
      </c>
      <c r="G43" s="196"/>
    </row>
    <row r="44" spans="1:7" hidden="1" x14ac:dyDescent="0.2">
      <c r="A44" s="125"/>
      <c r="B44" s="125"/>
      <c r="C44" s="155"/>
      <c r="D44" s="195">
        <f t="shared" si="1"/>
        <v>0</v>
      </c>
      <c r="E44" s="176"/>
      <c r="F44" s="197">
        <f t="shared" si="2"/>
        <v>0</v>
      </c>
      <c r="G44" s="196"/>
    </row>
    <row r="45" spans="1:7" hidden="1" x14ac:dyDescent="0.2">
      <c r="A45" s="125"/>
      <c r="B45" s="125"/>
      <c r="C45" s="155"/>
      <c r="D45" s="195">
        <f t="shared" si="1"/>
        <v>0</v>
      </c>
      <c r="E45" s="176"/>
      <c r="F45" s="197">
        <f t="shared" si="2"/>
        <v>0</v>
      </c>
      <c r="G45" s="196"/>
    </row>
    <row r="46" spans="1:7" hidden="1" x14ac:dyDescent="0.2">
      <c r="A46" s="125"/>
      <c r="B46" s="125"/>
      <c r="C46" s="155"/>
      <c r="D46" s="195">
        <f t="shared" si="1"/>
        <v>0</v>
      </c>
      <c r="E46" s="176"/>
      <c r="F46" s="197">
        <f t="shared" si="2"/>
        <v>0</v>
      </c>
      <c r="G46" s="196"/>
    </row>
    <row r="47" spans="1:7" hidden="1" x14ac:dyDescent="0.2">
      <c r="A47" s="125"/>
      <c r="B47" s="125"/>
      <c r="C47" s="155"/>
      <c r="D47" s="195">
        <f t="shared" si="1"/>
        <v>0</v>
      </c>
      <c r="E47" s="176"/>
      <c r="F47" s="197">
        <f t="shared" si="2"/>
        <v>0</v>
      </c>
      <c r="G47" s="196"/>
    </row>
    <row r="48" spans="1:7" hidden="1" x14ac:dyDescent="0.2">
      <c r="A48" s="125"/>
      <c r="B48" s="125"/>
      <c r="C48" s="155"/>
      <c r="D48" s="195">
        <f t="shared" si="1"/>
        <v>0</v>
      </c>
      <c r="E48" s="176"/>
      <c r="F48" s="197">
        <f t="shared" si="2"/>
        <v>0</v>
      </c>
      <c r="G48" s="196"/>
    </row>
    <row r="49" spans="1:7" hidden="1" x14ac:dyDescent="0.2">
      <c r="A49" s="125"/>
      <c r="B49" s="125"/>
      <c r="C49" s="155"/>
      <c r="D49" s="195">
        <f t="shared" si="1"/>
        <v>0</v>
      </c>
      <c r="E49" s="176"/>
      <c r="F49" s="197">
        <f t="shared" si="2"/>
        <v>0</v>
      </c>
      <c r="G49" s="196"/>
    </row>
    <row r="50" spans="1:7" hidden="1" x14ac:dyDescent="0.2">
      <c r="A50" s="125"/>
      <c r="B50" s="125"/>
      <c r="C50" s="155"/>
      <c r="D50" s="195">
        <f t="shared" si="1"/>
        <v>0</v>
      </c>
      <c r="E50" s="176"/>
      <c r="F50" s="197">
        <f t="shared" si="2"/>
        <v>0</v>
      </c>
      <c r="G50" s="196"/>
    </row>
    <row r="51" spans="1:7" hidden="1" x14ac:dyDescent="0.2">
      <c r="A51" s="125"/>
      <c r="B51" s="125"/>
      <c r="C51" s="155"/>
      <c r="D51" s="195">
        <f t="shared" si="1"/>
        <v>0</v>
      </c>
      <c r="E51" s="176"/>
      <c r="F51" s="197">
        <f t="shared" si="2"/>
        <v>0</v>
      </c>
      <c r="G51" s="196"/>
    </row>
    <row r="52" spans="1:7" hidden="1" x14ac:dyDescent="0.2">
      <c r="A52" s="125"/>
      <c r="B52" s="125"/>
      <c r="C52" s="155"/>
      <c r="D52" s="195">
        <f t="shared" si="1"/>
        <v>0</v>
      </c>
      <c r="E52" s="176"/>
      <c r="F52" s="197">
        <f t="shared" si="2"/>
        <v>0</v>
      </c>
      <c r="G52" s="196"/>
    </row>
    <row r="53" spans="1:7" hidden="1" x14ac:dyDescent="0.2">
      <c r="A53" s="125"/>
      <c r="B53" s="125"/>
      <c r="C53" s="155"/>
      <c r="D53" s="195">
        <f t="shared" si="1"/>
        <v>0</v>
      </c>
      <c r="E53" s="176"/>
      <c r="F53" s="197">
        <f t="shared" si="2"/>
        <v>0</v>
      </c>
      <c r="G53" s="196"/>
    </row>
    <row r="54" spans="1:7" hidden="1" x14ac:dyDescent="0.2">
      <c r="A54" s="125"/>
      <c r="B54" s="125"/>
      <c r="C54" s="155"/>
      <c r="D54" s="195">
        <f t="shared" si="1"/>
        <v>0</v>
      </c>
      <c r="E54" s="176"/>
      <c r="F54" s="197">
        <f t="shared" si="2"/>
        <v>0</v>
      </c>
      <c r="G54" s="196"/>
    </row>
    <row r="55" spans="1:7" hidden="1" x14ac:dyDescent="0.2">
      <c r="A55" s="125"/>
      <c r="B55" s="125"/>
      <c r="C55" s="155"/>
      <c r="D55" s="195">
        <f t="shared" si="1"/>
        <v>0</v>
      </c>
      <c r="E55" s="176"/>
      <c r="F55" s="197">
        <f t="shared" si="2"/>
        <v>0</v>
      </c>
      <c r="G55" s="196"/>
    </row>
    <row r="56" spans="1:7" hidden="1" x14ac:dyDescent="0.2">
      <c r="A56" s="125"/>
      <c r="B56" s="125"/>
      <c r="C56" s="155"/>
      <c r="D56" s="195">
        <f t="shared" si="1"/>
        <v>0</v>
      </c>
      <c r="E56" s="176"/>
      <c r="F56" s="197">
        <f t="shared" si="2"/>
        <v>0</v>
      </c>
      <c r="G56" s="196"/>
    </row>
    <row r="57" spans="1:7" hidden="1" x14ac:dyDescent="0.2">
      <c r="A57" s="125"/>
      <c r="B57" s="125"/>
      <c r="C57" s="155"/>
      <c r="D57" s="195">
        <f t="shared" si="1"/>
        <v>0</v>
      </c>
      <c r="E57" s="176"/>
      <c r="F57" s="197">
        <f t="shared" si="2"/>
        <v>0</v>
      </c>
      <c r="G57" s="196"/>
    </row>
    <row r="58" spans="1:7" hidden="1" x14ac:dyDescent="0.2">
      <c r="A58" s="125"/>
      <c r="B58" s="125"/>
      <c r="C58" s="155"/>
      <c r="D58" s="195">
        <f t="shared" si="1"/>
        <v>0</v>
      </c>
      <c r="E58" s="176"/>
      <c r="F58" s="197">
        <f t="shared" si="2"/>
        <v>0</v>
      </c>
      <c r="G58" s="196"/>
    </row>
    <row r="59" spans="1:7" hidden="1" x14ac:dyDescent="0.2">
      <c r="A59" s="125"/>
      <c r="B59" s="125"/>
      <c r="C59" s="155"/>
      <c r="D59" s="195">
        <f t="shared" si="1"/>
        <v>0</v>
      </c>
      <c r="E59" s="176"/>
      <c r="F59" s="197">
        <f t="shared" si="2"/>
        <v>0</v>
      </c>
      <c r="G59" s="196"/>
    </row>
    <row r="60" spans="1:7" hidden="1" x14ac:dyDescent="0.2">
      <c r="A60" s="125"/>
      <c r="B60" s="125"/>
      <c r="C60" s="155"/>
      <c r="D60" s="195">
        <f t="shared" si="1"/>
        <v>0</v>
      </c>
      <c r="E60" s="176"/>
      <c r="F60" s="197">
        <f t="shared" si="2"/>
        <v>0</v>
      </c>
      <c r="G60" s="196"/>
    </row>
    <row r="61" spans="1:7" hidden="1" x14ac:dyDescent="0.2">
      <c r="A61" s="125"/>
      <c r="B61" s="125"/>
      <c r="C61" s="155"/>
      <c r="D61" s="195">
        <f t="shared" si="1"/>
        <v>0</v>
      </c>
      <c r="E61" s="176"/>
      <c r="F61" s="197">
        <f t="shared" si="2"/>
        <v>0</v>
      </c>
      <c r="G61" s="196"/>
    </row>
    <row r="62" spans="1:7" hidden="1" x14ac:dyDescent="0.2">
      <c r="A62" s="125"/>
      <c r="B62" s="125"/>
      <c r="C62" s="155"/>
      <c r="D62" s="195">
        <f t="shared" si="1"/>
        <v>0</v>
      </c>
      <c r="E62" s="176"/>
      <c r="F62" s="197">
        <f t="shared" si="2"/>
        <v>0</v>
      </c>
      <c r="G62" s="196"/>
    </row>
    <row r="63" spans="1:7" hidden="1" x14ac:dyDescent="0.2">
      <c r="A63" s="125"/>
      <c r="B63" s="125"/>
      <c r="C63" s="155"/>
      <c r="D63" s="195">
        <f t="shared" si="1"/>
        <v>0</v>
      </c>
      <c r="E63" s="176"/>
      <c r="F63" s="197">
        <f t="shared" si="2"/>
        <v>0</v>
      </c>
      <c r="G63" s="196"/>
    </row>
    <row r="64" spans="1:7" hidden="1" x14ac:dyDescent="0.2">
      <c r="A64" s="125"/>
      <c r="B64" s="125"/>
      <c r="C64" s="155"/>
      <c r="D64" s="195">
        <f t="shared" si="1"/>
        <v>0</v>
      </c>
      <c r="E64" s="176"/>
      <c r="F64" s="197">
        <f t="shared" si="2"/>
        <v>0</v>
      </c>
      <c r="G64" s="196"/>
    </row>
    <row r="65" spans="1:7" hidden="1" x14ac:dyDescent="0.2">
      <c r="A65" s="125"/>
      <c r="B65" s="125"/>
      <c r="C65" s="155"/>
      <c r="D65" s="195">
        <f t="shared" si="1"/>
        <v>0</v>
      </c>
      <c r="E65" s="176"/>
      <c r="F65" s="197">
        <f t="shared" si="2"/>
        <v>0</v>
      </c>
      <c r="G65" s="196"/>
    </row>
    <row r="66" spans="1:7" hidden="1" x14ac:dyDescent="0.2">
      <c r="A66" s="125"/>
      <c r="B66" s="125"/>
      <c r="C66" s="155"/>
      <c r="D66" s="195">
        <f t="shared" si="1"/>
        <v>0</v>
      </c>
      <c r="E66" s="176"/>
      <c r="F66" s="197">
        <f t="shared" si="2"/>
        <v>0</v>
      </c>
      <c r="G66" s="196"/>
    </row>
    <row r="67" spans="1:7" hidden="1" x14ac:dyDescent="0.2">
      <c r="A67" s="125"/>
      <c r="B67" s="125"/>
      <c r="C67" s="155"/>
      <c r="D67" s="195">
        <f t="shared" si="1"/>
        <v>0</v>
      </c>
      <c r="E67" s="176"/>
      <c r="F67" s="197">
        <f t="shared" ref="F67:F72" si="3">IFERROR(D67*E67,"")</f>
        <v>0</v>
      </c>
      <c r="G67" s="196"/>
    </row>
    <row r="68" spans="1:7" hidden="1" x14ac:dyDescent="0.2">
      <c r="A68" s="125"/>
      <c r="B68" s="125"/>
      <c r="C68" s="155"/>
      <c r="D68" s="195">
        <f t="shared" si="1"/>
        <v>0</v>
      </c>
      <c r="E68" s="176"/>
      <c r="F68" s="197">
        <f t="shared" si="3"/>
        <v>0</v>
      </c>
      <c r="G68" s="196"/>
    </row>
    <row r="69" spans="1:7" hidden="1" x14ac:dyDescent="0.2">
      <c r="A69" s="125"/>
      <c r="B69" s="125"/>
      <c r="C69" s="155"/>
      <c r="D69" s="195">
        <f t="shared" ref="D69:D72" si="4">IFERROR(C69/$C$73,"")</f>
        <v>0</v>
      </c>
      <c r="E69" s="176"/>
      <c r="F69" s="197">
        <f t="shared" si="3"/>
        <v>0</v>
      </c>
      <c r="G69" s="196"/>
    </row>
    <row r="70" spans="1:7" hidden="1" x14ac:dyDescent="0.2">
      <c r="A70" s="125"/>
      <c r="B70" s="125"/>
      <c r="C70" s="155"/>
      <c r="D70" s="195">
        <f t="shared" si="4"/>
        <v>0</v>
      </c>
      <c r="E70" s="176"/>
      <c r="F70" s="197">
        <f t="shared" si="3"/>
        <v>0</v>
      </c>
      <c r="G70" s="196"/>
    </row>
    <row r="71" spans="1:7" hidden="1" x14ac:dyDescent="0.2">
      <c r="A71" s="125"/>
      <c r="B71" s="125"/>
      <c r="C71" s="155"/>
      <c r="D71" s="195">
        <f t="shared" si="4"/>
        <v>0</v>
      </c>
      <c r="E71" s="176"/>
      <c r="F71" s="197">
        <f t="shared" si="3"/>
        <v>0</v>
      </c>
      <c r="G71" s="196"/>
    </row>
    <row r="72" spans="1:7" hidden="1" x14ac:dyDescent="0.2">
      <c r="A72" s="125"/>
      <c r="B72" s="125"/>
      <c r="C72" s="155"/>
      <c r="D72" s="195">
        <f t="shared" si="4"/>
        <v>0</v>
      </c>
      <c r="E72" s="176"/>
      <c r="F72" s="197">
        <f t="shared" si="3"/>
        <v>0</v>
      </c>
      <c r="G72" s="196"/>
    </row>
    <row r="73" spans="1:7" s="13" customFormat="1" ht="27.2" customHeight="1" x14ac:dyDescent="0.2">
      <c r="A73" s="2" t="s">
        <v>308</v>
      </c>
      <c r="B73" s="2"/>
      <c r="C73" s="177">
        <f>SUM(C4:C72)</f>
        <v>15854.86</v>
      </c>
      <c r="D73" s="2"/>
      <c r="E73" s="178"/>
      <c r="F73" s="179">
        <f>IF(C4="",0,SUM(F4:F72))</f>
        <v>4.9583723855019857E-2</v>
      </c>
      <c r="G73" s="2"/>
    </row>
    <row r="74" spans="1:7" ht="45" x14ac:dyDescent="0.2">
      <c r="A74"/>
      <c r="B74"/>
      <c r="C74"/>
      <c r="D74"/>
      <c r="E74" s="180" t="s">
        <v>576</v>
      </c>
      <c r="F74" s="156">
        <f>D79</f>
        <v>0.5</v>
      </c>
    </row>
    <row r="75" spans="1:7" ht="22.5" x14ac:dyDescent="0.2">
      <c r="A75"/>
      <c r="B75"/>
      <c r="C75"/>
      <c r="D75"/>
      <c r="E75" s="181" t="s">
        <v>577</v>
      </c>
      <c r="F75" s="182">
        <f>F73*F74</f>
        <v>2.4791861927509928E-2</v>
      </c>
    </row>
    <row r="76" spans="1:7" ht="22.5" customHeight="1" x14ac:dyDescent="0.2">
      <c r="A76" s="480" t="s">
        <v>578</v>
      </c>
      <c r="B76" s="480"/>
      <c r="C76" s="11" t="s">
        <v>579</v>
      </c>
      <c r="D76" s="11" t="s">
        <v>580</v>
      </c>
    </row>
    <row r="77" spans="1:7" ht="33.75" customHeight="1" x14ac:dyDescent="0.2">
      <c r="A77" s="481" t="s">
        <v>581</v>
      </c>
      <c r="B77" s="107" t="s">
        <v>582</v>
      </c>
      <c r="C77" s="183">
        <f>'III-A - Mão de Obra (CCT)'!D121*'III - Parcela Fixa'!E7+'III - Parcela Fixa'!E8*'III-A - Mão de Obra (CCT)'!G121+'III-A - Mão de Obra (CCT)'!J121*'III - Parcela Fixa'!E9+'III-A - Mão de Obra (CCT)'!E121*'III - Parcela Fixa'!E11+'III-A - Mão de Obra (CCT)'!H121*'III - Parcela Fixa'!E12+'III-A - Mão de Obra (CCT)'!K121*'III - Parcela Fixa'!E13+'III-A - Mão de Obra (CCT)'!F121*'III - Parcela Fixa'!E15+'III-A - Mão de Obra (CCT)'!I121*'III - Parcela Fixa'!E16+'III-A - Mão de Obra (CCT)'!L121*'III - Parcela Fixa'!E17+'II - Planilha Consolidada'!I32*0.5/12</f>
        <v>8999.3965457151717</v>
      </c>
      <c r="D77" s="184">
        <f>C77/$C$84</f>
        <v>0.5</v>
      </c>
    </row>
    <row r="78" spans="1:7" x14ac:dyDescent="0.2">
      <c r="A78" s="481"/>
      <c r="B78" s="107" t="s">
        <v>583</v>
      </c>
      <c r="C78" s="183">
        <f>'III-A - Mão de Obra (CCT)'!N121*'III - Parcela Fixa'!E20+'III - Parcela Fixa'!E21*'III-A - Mão de Obra (CCT)'!O121+'III-A - Mão de Obra (CCT)'!M121*'III - Parcela Fixa'!E22</f>
        <v>0</v>
      </c>
      <c r="D78" s="184">
        <f>C78/$C$84</f>
        <v>0</v>
      </c>
    </row>
    <row r="79" spans="1:7" x14ac:dyDescent="0.2">
      <c r="A79" s="481"/>
      <c r="B79" s="185" t="s">
        <v>151</v>
      </c>
      <c r="C79" s="186">
        <f>C78+C77</f>
        <v>8999.3965457151717</v>
      </c>
      <c r="D79" s="187">
        <f>C79/C84</f>
        <v>0.5</v>
      </c>
    </row>
    <row r="80" spans="1:7" ht="22.5" customHeight="1" x14ac:dyDescent="0.2">
      <c r="A80" s="482" t="s">
        <v>584</v>
      </c>
      <c r="B80" s="15" t="s">
        <v>585</v>
      </c>
      <c r="C80" s="120">
        <f>'III-E - Materiais de Consumo'!I325</f>
        <v>0</v>
      </c>
      <c r="D80" s="184">
        <f>C80/$C$84</f>
        <v>0</v>
      </c>
    </row>
    <row r="81" spans="1:4" x14ac:dyDescent="0.2">
      <c r="A81" s="482"/>
      <c r="B81" s="15" t="s">
        <v>539</v>
      </c>
      <c r="C81" s="120">
        <f>'II - Planilha Consolidada'!I32*0.5/12</f>
        <v>8999.3965457151717</v>
      </c>
      <c r="D81" s="184">
        <f>C81/$C$84</f>
        <v>0.5</v>
      </c>
    </row>
    <row r="82" spans="1:4" x14ac:dyDescent="0.2">
      <c r="A82" s="482"/>
      <c r="B82" s="15" t="s">
        <v>586</v>
      </c>
      <c r="C82" s="120">
        <f>SUM('III-C - Desloc, Pern e Sistema'!H6:H9)</f>
        <v>0</v>
      </c>
      <c r="D82" s="184">
        <f>C82/$C$84</f>
        <v>0</v>
      </c>
    </row>
    <row r="83" spans="1:4" x14ac:dyDescent="0.2">
      <c r="A83" s="482"/>
      <c r="B83" s="10" t="s">
        <v>151</v>
      </c>
      <c r="C83" s="188">
        <f>SUM(C80:C82)</f>
        <v>8999.3965457151717</v>
      </c>
      <c r="D83" s="189">
        <f>C83/C84</f>
        <v>0.5</v>
      </c>
    </row>
    <row r="84" spans="1:4" ht="19.5" customHeight="1" x14ac:dyDescent="0.2">
      <c r="A84" s="480" t="s">
        <v>587</v>
      </c>
      <c r="B84" s="480"/>
      <c r="C84" s="190">
        <f>C83+C79</f>
        <v>17998.793091430343</v>
      </c>
      <c r="D84" s="191">
        <f>D83+D79</f>
        <v>1</v>
      </c>
    </row>
  </sheetData>
  <mergeCells count="5">
    <mergeCell ref="A76:B76"/>
    <mergeCell ref="A77:A79"/>
    <mergeCell ref="A80:A83"/>
    <mergeCell ref="A84:B84"/>
    <mergeCell ref="A1:G1"/>
  </mergeCells>
  <printOptions horizontalCentered="1"/>
  <pageMargins left="0.39370078740157483" right="0.39370078740157483" top="0.59055118110236227" bottom="0.39370078740157483" header="0" footer="0"/>
  <pageSetup paperSize="9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MH72"/>
  <sheetViews>
    <sheetView tabSelected="1" view="pageBreakPreview" topLeftCell="A25" zoomScale="85" zoomScaleNormal="100" zoomScaleSheetLayoutView="85" workbookViewId="0">
      <selection activeCell="A44" sqref="A44:A47"/>
    </sheetView>
  </sheetViews>
  <sheetFormatPr defaultColWidth="6.5" defaultRowHeight="14.25" x14ac:dyDescent="0.2"/>
  <cols>
    <col min="1" max="1" width="9" style="22" customWidth="1"/>
    <col min="2" max="2" width="9.125" style="23" customWidth="1"/>
    <col min="3" max="3" width="42" style="23" customWidth="1"/>
    <col min="4" max="5" width="9" style="23" customWidth="1"/>
    <col min="6" max="6" width="12.875" style="23" customWidth="1"/>
    <col min="7" max="7" width="21" style="23" customWidth="1"/>
    <col min="8" max="9" width="22.125" style="23" customWidth="1"/>
    <col min="10" max="10" width="14.375" style="23" bestFit="1" customWidth="1"/>
    <col min="11" max="11" width="8.375" style="23" bestFit="1" customWidth="1"/>
    <col min="12" max="1022" width="6.5" style="23"/>
  </cols>
  <sheetData>
    <row r="1" spans="1:12" ht="64.5" customHeight="1" x14ac:dyDescent="0.2">
      <c r="A1" s="376" t="s">
        <v>800</v>
      </c>
      <c r="B1" s="377"/>
      <c r="C1" s="377"/>
      <c r="D1" s="377"/>
      <c r="E1" s="377"/>
      <c r="F1" s="377"/>
      <c r="G1" s="377"/>
      <c r="H1" s="377"/>
      <c r="I1" s="378"/>
    </row>
    <row r="2" spans="1:12" ht="15" customHeight="1" x14ac:dyDescent="0.2">
      <c r="A2" s="379" t="s">
        <v>17</v>
      </c>
      <c r="B2" s="379"/>
      <c r="C2" s="379"/>
      <c r="D2" s="379"/>
      <c r="E2" s="379"/>
      <c r="F2" s="379"/>
      <c r="G2" s="379"/>
      <c r="H2" s="379"/>
      <c r="I2" s="379"/>
    </row>
    <row r="3" spans="1:12" ht="15" x14ac:dyDescent="0.2">
      <c r="A3" s="384"/>
      <c r="B3" s="385"/>
      <c r="C3" s="385"/>
      <c r="D3" s="385"/>
      <c r="E3" s="385"/>
      <c r="F3" s="385"/>
      <c r="G3" s="385"/>
      <c r="H3" s="385"/>
      <c r="I3" s="386"/>
    </row>
    <row r="4" spans="1:12" ht="14.25" customHeight="1" x14ac:dyDescent="0.2">
      <c r="A4" s="222"/>
      <c r="B4" s="380" t="s">
        <v>18</v>
      </c>
      <c r="C4" s="380"/>
      <c r="D4" s="380"/>
      <c r="E4" s="380"/>
      <c r="F4" s="380"/>
      <c r="G4" s="380"/>
      <c r="H4" s="380"/>
      <c r="I4" s="380"/>
    </row>
    <row r="5" spans="1:12" ht="38.25" customHeight="1" x14ac:dyDescent="0.2">
      <c r="A5" s="371" t="s">
        <v>19</v>
      </c>
      <c r="B5" s="223"/>
      <c r="C5" s="224" t="s">
        <v>20</v>
      </c>
      <c r="D5" s="223" t="s">
        <v>21</v>
      </c>
      <c r="E5" s="225" t="s">
        <v>22</v>
      </c>
      <c r="F5" s="225" t="s">
        <v>23</v>
      </c>
      <c r="G5" s="223" t="s">
        <v>24</v>
      </c>
      <c r="H5" s="223" t="s">
        <v>25</v>
      </c>
      <c r="I5" s="223" t="s">
        <v>26</v>
      </c>
    </row>
    <row r="6" spans="1:12" ht="14.25" customHeight="1" x14ac:dyDescent="0.2">
      <c r="A6" s="371"/>
      <c r="B6" s="226" t="s">
        <v>27</v>
      </c>
      <c r="C6" s="226" t="s">
        <v>28</v>
      </c>
      <c r="D6" s="227"/>
      <c r="E6" s="228"/>
      <c r="F6" s="229"/>
      <c r="G6" s="230">
        <f>SUM(G9:G20)</f>
        <v>0</v>
      </c>
      <c r="H6" s="230">
        <f>SUM(H9:H20)</f>
        <v>0</v>
      </c>
      <c r="I6" s="227"/>
    </row>
    <row r="7" spans="1:12" ht="14.25" customHeight="1" x14ac:dyDescent="0.2">
      <c r="A7" s="371"/>
      <c r="B7" s="246" t="s">
        <v>27</v>
      </c>
      <c r="C7" s="246" t="s">
        <v>29</v>
      </c>
      <c r="D7" s="247"/>
      <c r="E7" s="245"/>
      <c r="F7" s="248"/>
      <c r="G7" s="249"/>
      <c r="H7" s="249"/>
      <c r="I7" s="247"/>
    </row>
    <row r="8" spans="1:12" ht="14.25" customHeight="1" x14ac:dyDescent="0.2">
      <c r="A8" s="371"/>
      <c r="B8" s="387" t="s">
        <v>799</v>
      </c>
      <c r="C8" s="387"/>
      <c r="D8" s="387"/>
      <c r="E8" s="387"/>
      <c r="F8" s="387"/>
      <c r="G8" s="387"/>
      <c r="H8" s="387"/>
      <c r="I8" s="387"/>
    </row>
    <row r="9" spans="1:12" ht="38.25" customHeight="1" x14ac:dyDescent="0.2">
      <c r="A9" s="371"/>
      <c r="B9" s="250" t="str">
        <f>'III - Parcela Fixa'!A7</f>
        <v>1.1.1.1</v>
      </c>
      <c r="C9" s="251" t="str">
        <f>'III - Parcela Fixa'!B7</f>
        <v>Oficial de Manutenção Predial I (Eletricista/Instalador-Reparador de Reders Telefônicas e de comunicação de dados) –  CBO 5143-25 - Jornada 44h semanais</v>
      </c>
      <c r="D9" s="252" t="str">
        <f>'III - Parcela Fixa'!C7</f>
        <v>posto/mês</v>
      </c>
      <c r="E9" s="253">
        <f>'III - Parcela Fixa'!E7</f>
        <v>1</v>
      </c>
      <c r="F9" s="254">
        <f>'III-A - Mão de Obra (CCT)'!D$123</f>
        <v>0</v>
      </c>
      <c r="G9" s="254">
        <f>F9*E9</f>
        <v>0</v>
      </c>
      <c r="H9" s="254">
        <f>G9*12</f>
        <v>0</v>
      </c>
      <c r="I9" s="255"/>
    </row>
    <row r="10" spans="1:12" ht="25.5" x14ac:dyDescent="0.2">
      <c r="A10" s="371"/>
      <c r="B10" s="231" t="str">
        <f>'III - Parcela Fixa'!A8</f>
        <v>1.1.1.2</v>
      </c>
      <c r="C10" s="232" t="str">
        <f>'III - Parcela Fixa'!B8</f>
        <v>Oficial de Manutenção Predial II (Pedreiro/Bombeiro Hidráulico) – CBO 5143-25 -  Jornada 44h semanais</v>
      </c>
      <c r="D10" s="227" t="str">
        <f>'III - Parcela Fixa'!C8</f>
        <v>posto/mês</v>
      </c>
      <c r="E10" s="233">
        <f>'III - Parcela Fixa'!E8</f>
        <v>1</v>
      </c>
      <c r="F10" s="229">
        <f>'III-A - Mão de Obra (CCT)'!G$123</f>
        <v>0</v>
      </c>
      <c r="G10" s="229">
        <f t="shared" ref="G10:G24" si="0">F10*E10</f>
        <v>0</v>
      </c>
      <c r="H10" s="229">
        <f t="shared" ref="H10:H24" si="1">G10*12</f>
        <v>0</v>
      </c>
      <c r="I10" s="234"/>
    </row>
    <row r="11" spans="1:12" ht="38.25" x14ac:dyDescent="0.2">
      <c r="A11" s="371"/>
      <c r="B11" s="231" t="str">
        <f>'III - Parcela Fixa'!A9</f>
        <v>1.1.1.3</v>
      </c>
      <c r="C11" s="232" t="str">
        <f>'III - Parcela Fixa'!B9</f>
        <v>Auxiliar de manutenção predial (Auxiliar Eletricista/Hidráulica/Pedreiro) – CBO 5143-10 - Jornada de 44h semanais</v>
      </c>
      <c r="D11" s="227" t="str">
        <f>'III - Parcela Fixa'!C9</f>
        <v>posto/mês</v>
      </c>
      <c r="E11" s="233">
        <f>'III - Parcela Fixa'!E9</f>
        <v>1</v>
      </c>
      <c r="F11" s="229">
        <f>'III-A - Mão de Obra (CCT)'!J$123</f>
        <v>0</v>
      </c>
      <c r="G11" s="229">
        <f t="shared" si="0"/>
        <v>0</v>
      </c>
      <c r="H11" s="229">
        <f t="shared" si="1"/>
        <v>0</v>
      </c>
      <c r="I11" s="234"/>
    </row>
    <row r="12" spans="1:12" x14ac:dyDescent="0.2">
      <c r="A12" s="371"/>
      <c r="B12" s="387" t="s">
        <v>827</v>
      </c>
      <c r="C12" s="387"/>
      <c r="D12" s="387"/>
      <c r="E12" s="387"/>
      <c r="F12" s="387"/>
      <c r="G12" s="387"/>
      <c r="H12" s="387"/>
      <c r="I12" s="387"/>
    </row>
    <row r="13" spans="1:12" ht="38.25" x14ac:dyDescent="0.2">
      <c r="A13" s="371"/>
      <c r="B13" s="231" t="str">
        <f>'III - Parcela Fixa'!A11</f>
        <v>1.1.1.4</v>
      </c>
      <c r="C13" s="232" t="str">
        <f>'III - Parcela Fixa'!B11</f>
        <v>Oficial de Manutenção Predial I (Eletricista/Instalador-Reparador de Reders Telefônicas e de comunicação de dados) –  CBO 5143-25 - Jornada 44h semanais</v>
      </c>
      <c r="D13" s="227" t="str">
        <f>'III - Parcela Fixa'!C11</f>
        <v>posto/mês</v>
      </c>
      <c r="E13" s="233">
        <f>'III - Parcela Fixa'!E11</f>
        <v>1</v>
      </c>
      <c r="F13" s="229">
        <f>'III-A - Mão de Obra (CCT)'!E$123</f>
        <v>0</v>
      </c>
      <c r="G13" s="254">
        <f>F13*E13</f>
        <v>0</v>
      </c>
      <c r="H13" s="254">
        <f>G13*12</f>
        <v>0</v>
      </c>
      <c r="I13" s="234"/>
    </row>
    <row r="14" spans="1:12" ht="25.5" x14ac:dyDescent="0.2">
      <c r="A14" s="371"/>
      <c r="B14" s="231" t="str">
        <f>'III - Parcela Fixa'!A12</f>
        <v>1.1.1.5</v>
      </c>
      <c r="C14" s="232" t="str">
        <f>'III - Parcela Fixa'!B12</f>
        <v>Oficial de Manutenção Predial II (Pedreiro/Bombeiro Hidráulico) – CBO 5143-25 -  Jornada 44h semanais</v>
      </c>
      <c r="D14" s="227" t="str">
        <f>'III - Parcela Fixa'!C12</f>
        <v>posto/mês</v>
      </c>
      <c r="E14" s="233">
        <f>'III - Parcela Fixa'!E12</f>
        <v>1</v>
      </c>
      <c r="F14" s="229">
        <f>'III-A - Mão de Obra (CCT)'!H$123</f>
        <v>0</v>
      </c>
      <c r="G14" s="229">
        <f t="shared" ref="G14:G15" si="2">F14*E14</f>
        <v>0</v>
      </c>
      <c r="H14" s="229">
        <f t="shared" ref="H14:H15" si="3">G14*12</f>
        <v>0</v>
      </c>
      <c r="I14" s="234"/>
    </row>
    <row r="15" spans="1:12" ht="38.25" hidden="1" x14ac:dyDescent="0.2">
      <c r="A15" s="371"/>
      <c r="B15" s="231" t="str">
        <f>'III - Parcela Fixa'!A13</f>
        <v>1.1.1.6</v>
      </c>
      <c r="C15" s="232" t="str">
        <f>'III - Parcela Fixa'!B13</f>
        <v>Auxiliar de manutenção predial (Auxiliar Eletricista/Hidráulica/Pedreiro) – CBO 5143-10 - Jornada de 44h semanais</v>
      </c>
      <c r="D15" s="227" t="str">
        <f>'III - Parcela Fixa'!C13</f>
        <v>posto/mês</v>
      </c>
      <c r="E15" s="233">
        <f>'III - Parcela Fixa'!E13</f>
        <v>0</v>
      </c>
      <c r="F15" s="229">
        <f>'III-A - Mão de Obra (CCT)'!K$123</f>
        <v>0</v>
      </c>
      <c r="G15" s="229">
        <f t="shared" si="2"/>
        <v>0</v>
      </c>
      <c r="H15" s="229">
        <f t="shared" si="3"/>
        <v>0</v>
      </c>
      <c r="I15" s="234"/>
    </row>
    <row r="16" spans="1:12" x14ac:dyDescent="0.2">
      <c r="A16" s="371"/>
      <c r="B16" s="256" t="s">
        <v>30</v>
      </c>
      <c r="C16" s="257" t="s">
        <v>31</v>
      </c>
      <c r="D16" s="227"/>
      <c r="E16" s="233"/>
      <c r="F16" s="229"/>
      <c r="G16" s="229"/>
      <c r="H16" s="229"/>
      <c r="I16" s="234"/>
      <c r="J16"/>
      <c r="L16"/>
    </row>
    <row r="17" spans="1:12" x14ac:dyDescent="0.2">
      <c r="A17" s="371"/>
      <c r="B17" s="387" t="s">
        <v>799</v>
      </c>
      <c r="C17" s="387"/>
      <c r="D17" s="387"/>
      <c r="E17" s="387"/>
      <c r="F17" s="387"/>
      <c r="G17" s="387"/>
      <c r="H17" s="387"/>
      <c r="I17" s="387"/>
      <c r="J17"/>
      <c r="L17"/>
    </row>
    <row r="18" spans="1:12" x14ac:dyDescent="0.2">
      <c r="A18" s="371"/>
      <c r="B18" s="231" t="s">
        <v>32</v>
      </c>
      <c r="C18" s="232" t="str">
        <f>'III - Parcela Fixa'!B20</f>
        <v>Engenheiro Civil - Jornada 30h semanais</v>
      </c>
      <c r="D18" s="227" t="s">
        <v>33</v>
      </c>
      <c r="E18" s="233">
        <f>'III - Parcela Fixa'!E20</f>
        <v>0.21768862734487732</v>
      </c>
      <c r="F18" s="229">
        <f>'III-A - Mão de Obra (CCT)'!N123</f>
        <v>0</v>
      </c>
      <c r="G18" s="229">
        <f t="shared" si="0"/>
        <v>0</v>
      </c>
      <c r="H18" s="229">
        <f t="shared" si="1"/>
        <v>0</v>
      </c>
      <c r="I18" s="234"/>
      <c r="J18"/>
      <c r="L18"/>
    </row>
    <row r="19" spans="1:12" x14ac:dyDescent="0.2">
      <c r="A19" s="371"/>
      <c r="B19" s="231" t="s">
        <v>34</v>
      </c>
      <c r="C19" s="232" t="str">
        <f>'III - Parcela Fixa'!B21</f>
        <v>Engenheiro Eletricista - Jornada 30h semanais</v>
      </c>
      <c r="D19" s="227" t="s">
        <v>33</v>
      </c>
      <c r="E19" s="233">
        <f>'III - Parcela Fixa'!E21</f>
        <v>5.1021960678210673E-2</v>
      </c>
      <c r="F19" s="229">
        <f>'III-A - Mão de Obra (CCT)'!O123</f>
        <v>0</v>
      </c>
      <c r="G19" s="229">
        <f t="shared" si="0"/>
        <v>0</v>
      </c>
      <c r="H19" s="229">
        <f t="shared" si="1"/>
        <v>0</v>
      </c>
      <c r="I19" s="234"/>
      <c r="J19"/>
      <c r="L19"/>
    </row>
    <row r="20" spans="1:12" ht="25.5" x14ac:dyDescent="0.2">
      <c r="A20" s="371"/>
      <c r="B20" s="231" t="s">
        <v>35</v>
      </c>
      <c r="C20" s="232" t="str">
        <f>'III - Parcela Fixa'!B22</f>
        <v>Encarregado de Manutenção – CBO 7102-05 - Jornada 44h semanais</v>
      </c>
      <c r="D20" s="227" t="s">
        <v>33</v>
      </c>
      <c r="E20" s="233">
        <f>'III - Parcela Fixa'!E22</f>
        <v>1</v>
      </c>
      <c r="F20" s="229">
        <f>'III-A - Mão de Obra (CCT)'!M123</f>
        <v>0</v>
      </c>
      <c r="G20" s="229">
        <f t="shared" si="0"/>
        <v>0</v>
      </c>
      <c r="H20" s="229">
        <f t="shared" si="1"/>
        <v>0</v>
      </c>
      <c r="I20" s="234"/>
      <c r="J20"/>
      <c r="L20"/>
    </row>
    <row r="21" spans="1:12" x14ac:dyDescent="0.2">
      <c r="A21" s="371"/>
      <c r="B21" s="235" t="s">
        <v>30</v>
      </c>
      <c r="C21" s="226" t="s">
        <v>36</v>
      </c>
      <c r="D21" s="236" t="s">
        <v>21</v>
      </c>
      <c r="E21" s="236">
        <v>1</v>
      </c>
      <c r="F21" s="237">
        <f>'III-C - Desloc, Pern e Sistema'!J6</f>
        <v>0</v>
      </c>
      <c r="G21" s="238">
        <f t="shared" si="0"/>
        <v>0</v>
      </c>
      <c r="H21" s="238">
        <f t="shared" si="1"/>
        <v>0</v>
      </c>
      <c r="I21" s="239"/>
      <c r="J21"/>
      <c r="L21"/>
    </row>
    <row r="22" spans="1:12" x14ac:dyDescent="0.2">
      <c r="A22" s="371"/>
      <c r="B22" s="235" t="s">
        <v>37</v>
      </c>
      <c r="C22" s="226" t="s">
        <v>38</v>
      </c>
      <c r="D22" s="236" t="s">
        <v>21</v>
      </c>
      <c r="E22" s="240">
        <v>1</v>
      </c>
      <c r="F22" s="237">
        <f>'III-C - Desloc, Pern e Sistema'!J7</f>
        <v>0</v>
      </c>
      <c r="G22" s="241">
        <f>F22*E22</f>
        <v>0</v>
      </c>
      <c r="H22" s="241">
        <f>G22*12</f>
        <v>0</v>
      </c>
      <c r="I22" s="242"/>
      <c r="J22"/>
      <c r="L22"/>
    </row>
    <row r="23" spans="1:12" x14ac:dyDescent="0.2">
      <c r="A23" s="371"/>
      <c r="B23" s="235" t="s">
        <v>39</v>
      </c>
      <c r="C23" s="226" t="s">
        <v>40</v>
      </c>
      <c r="D23" s="236" t="s">
        <v>21</v>
      </c>
      <c r="E23" s="240">
        <v>1</v>
      </c>
      <c r="F23" s="237">
        <f>'III-C - Desloc, Pern e Sistema'!J8</f>
        <v>0</v>
      </c>
      <c r="G23" s="241">
        <f t="shared" si="0"/>
        <v>0</v>
      </c>
      <c r="H23" s="241">
        <f t="shared" si="1"/>
        <v>0</v>
      </c>
      <c r="I23" s="242"/>
      <c r="J23"/>
      <c r="L23"/>
    </row>
    <row r="24" spans="1:12" x14ac:dyDescent="0.2">
      <c r="A24" s="371"/>
      <c r="B24" s="235" t="s">
        <v>41</v>
      </c>
      <c r="C24" s="226" t="s">
        <v>42</v>
      </c>
      <c r="D24" s="236" t="s">
        <v>21</v>
      </c>
      <c r="E24" s="240">
        <v>2</v>
      </c>
      <c r="F24" s="237">
        <f>'III-C - Desloc, Pern e Sistema'!G9*(1+H35)</f>
        <v>0</v>
      </c>
      <c r="G24" s="241">
        <f t="shared" si="0"/>
        <v>0</v>
      </c>
      <c r="H24" s="241">
        <f t="shared" si="1"/>
        <v>0</v>
      </c>
      <c r="I24" s="242"/>
      <c r="J24" s="286"/>
      <c r="L24"/>
    </row>
    <row r="25" spans="1:12" x14ac:dyDescent="0.2">
      <c r="A25" s="371"/>
      <c r="B25" s="235" t="s">
        <v>43</v>
      </c>
      <c r="C25" s="226" t="s">
        <v>44</v>
      </c>
      <c r="D25" s="236" t="s">
        <v>21</v>
      </c>
      <c r="E25" s="240">
        <v>1</v>
      </c>
      <c r="F25" s="237">
        <f>'III-E - Materiais de Consumo'!I329</f>
        <v>0</v>
      </c>
      <c r="G25" s="241">
        <f t="shared" ref="G25" si="4">F25*E25</f>
        <v>0</v>
      </c>
      <c r="H25" s="241">
        <f t="shared" ref="H25" si="5">G25*12</f>
        <v>0</v>
      </c>
      <c r="I25" s="242"/>
      <c r="J25" s="286"/>
      <c r="K25" s="324"/>
      <c r="L25"/>
    </row>
    <row r="26" spans="1:12" x14ac:dyDescent="0.2">
      <c r="A26" s="371"/>
      <c r="B26" s="235" t="s">
        <v>45</v>
      </c>
      <c r="C26" s="226" t="str">
        <f>'III - Parcela Fixa'!B27</f>
        <v>Sistema de Gerenciamento</v>
      </c>
      <c r="D26" s="236" t="s">
        <v>21</v>
      </c>
      <c r="E26" s="240">
        <v>1</v>
      </c>
      <c r="F26" s="237">
        <f>'III - Parcela Fixa'!G27</f>
        <v>0</v>
      </c>
      <c r="G26" s="241">
        <f t="shared" ref="G26" si="6">F26*E26</f>
        <v>0</v>
      </c>
      <c r="H26" s="241">
        <f t="shared" ref="H26" si="7">G26*12</f>
        <v>0</v>
      </c>
      <c r="I26" s="242"/>
      <c r="J26" s="286"/>
      <c r="K26" s="324"/>
      <c r="L26"/>
    </row>
    <row r="27" spans="1:12" x14ac:dyDescent="0.2">
      <c r="A27" s="371"/>
      <c r="B27" s="243" t="s">
        <v>46</v>
      </c>
      <c r="C27" s="381" t="s">
        <v>47</v>
      </c>
      <c r="D27" s="382"/>
      <c r="E27" s="382"/>
      <c r="F27" s="382"/>
      <c r="G27" s="382"/>
      <c r="H27" s="383"/>
      <c r="I27" s="244">
        <f>SUM(H21:H26)+H6</f>
        <v>0</v>
      </c>
      <c r="J27" s="286"/>
      <c r="L27"/>
    </row>
    <row r="28" spans="1:12" x14ac:dyDescent="0.2">
      <c r="A28" s="5"/>
      <c r="B28" s="5"/>
      <c r="C28" s="5"/>
      <c r="D28" s="5"/>
      <c r="E28" s="5"/>
      <c r="F28" s="5"/>
      <c r="G28"/>
      <c r="H28"/>
      <c r="I28"/>
      <c r="J28"/>
      <c r="L28"/>
    </row>
    <row r="29" spans="1:12" x14ac:dyDescent="0.2">
      <c r="A29" s="258"/>
      <c r="B29" s="380" t="s">
        <v>48</v>
      </c>
      <c r="C29" s="380"/>
      <c r="D29" s="380"/>
      <c r="E29" s="380"/>
      <c r="F29" s="380"/>
      <c r="G29" s="380"/>
      <c r="H29" s="380"/>
      <c r="I29" s="380"/>
      <c r="J29"/>
      <c r="L29"/>
    </row>
    <row r="30" spans="1:12" x14ac:dyDescent="0.2">
      <c r="A30" s="371" t="s">
        <v>49</v>
      </c>
      <c r="B30" s="369" t="s">
        <v>50</v>
      </c>
      <c r="C30" s="369"/>
      <c r="D30" s="369"/>
      <c r="E30" s="369"/>
      <c r="F30" s="369"/>
      <c r="G30" s="369"/>
      <c r="H30" s="369"/>
      <c r="I30" s="369"/>
      <c r="J30"/>
    </row>
    <row r="31" spans="1:12" ht="44.85" customHeight="1" x14ac:dyDescent="0.2">
      <c r="A31" s="371"/>
      <c r="B31" s="259" t="s">
        <v>51</v>
      </c>
      <c r="C31" s="260" t="s">
        <v>52</v>
      </c>
      <c r="D31" s="261"/>
      <c r="E31" s="261"/>
      <c r="F31" s="261"/>
      <c r="G31" s="262"/>
      <c r="H31" s="259" t="s">
        <v>53</v>
      </c>
      <c r="I31" s="259" t="s">
        <v>54</v>
      </c>
      <c r="J31"/>
    </row>
    <row r="32" spans="1:12" x14ac:dyDescent="0.2">
      <c r="A32" s="371"/>
      <c r="B32" s="263" t="s">
        <v>55</v>
      </c>
      <c r="C32" s="365" t="s">
        <v>56</v>
      </c>
      <c r="D32" s="365"/>
      <c r="E32" s="365"/>
      <c r="F32" s="365"/>
      <c r="G32" s="365"/>
      <c r="H32" s="264"/>
      <c r="I32" s="265">
        <v>215985.51709716412</v>
      </c>
      <c r="J32" s="286"/>
    </row>
    <row r="33" spans="1:11" ht="39" customHeight="1" x14ac:dyDescent="0.2">
      <c r="A33" s="371"/>
      <c r="B33" s="266" t="s">
        <v>57</v>
      </c>
      <c r="C33" s="365" t="s">
        <v>58</v>
      </c>
      <c r="D33" s="365"/>
      <c r="E33" s="365"/>
      <c r="F33" s="365"/>
      <c r="G33" s="365"/>
      <c r="H33" s="267">
        <v>0</v>
      </c>
      <c r="I33" s="268">
        <f>I32*H33</f>
        <v>0</v>
      </c>
      <c r="J33" s="286"/>
    </row>
    <row r="34" spans="1:11" ht="30" customHeight="1" x14ac:dyDescent="0.2">
      <c r="A34" s="371"/>
      <c r="B34" s="266" t="s">
        <v>59</v>
      </c>
      <c r="C34" s="365" t="s">
        <v>60</v>
      </c>
      <c r="D34" s="365"/>
      <c r="E34" s="365"/>
      <c r="F34" s="365"/>
      <c r="G34" s="365"/>
      <c r="H34" s="269"/>
      <c r="I34" s="268">
        <f>I32-I33</f>
        <v>215985.51709716412</v>
      </c>
      <c r="J34" s="286"/>
    </row>
    <row r="35" spans="1:11" ht="44.85" customHeight="1" x14ac:dyDescent="0.2">
      <c r="A35" s="371"/>
      <c r="B35" s="266" t="s">
        <v>61</v>
      </c>
      <c r="C35" s="366" t="s">
        <v>62</v>
      </c>
      <c r="D35" s="367"/>
      <c r="E35" s="367"/>
      <c r="F35" s="368"/>
      <c r="G35" s="270" t="s">
        <v>63</v>
      </c>
      <c r="H35" s="271">
        <f>'V - BDI'!C18</f>
        <v>4.7120418848167533E-2</v>
      </c>
      <c r="I35" s="268">
        <f>I34*(1+H35)</f>
        <v>226162.84512792053</v>
      </c>
      <c r="J35" s="286"/>
    </row>
    <row r="36" spans="1:11" ht="44.85" customHeight="1" x14ac:dyDescent="0.2">
      <c r="A36" s="371"/>
      <c r="B36" s="259" t="s">
        <v>64</v>
      </c>
      <c r="C36" s="369" t="s">
        <v>65</v>
      </c>
      <c r="D36" s="369"/>
      <c r="E36" s="369"/>
      <c r="F36" s="369"/>
      <c r="G36" s="369"/>
      <c r="H36" s="369"/>
      <c r="I36" s="244">
        <f>I35</f>
        <v>226162.84512792053</v>
      </c>
      <c r="J36" s="286"/>
    </row>
    <row r="37" spans="1:11" x14ac:dyDescent="0.2">
      <c r="A37" s="5"/>
      <c r="B37" s="5"/>
      <c r="C37" s="5"/>
      <c r="D37" s="5"/>
      <c r="E37" s="5"/>
      <c r="F37" s="5"/>
      <c r="G37"/>
      <c r="H37"/>
      <c r="I37"/>
      <c r="J37"/>
    </row>
    <row r="38" spans="1:11" x14ac:dyDescent="0.2">
      <c r="A38" s="371" t="s">
        <v>66</v>
      </c>
      <c r="B38" s="372" t="s">
        <v>67</v>
      </c>
      <c r="C38" s="373"/>
      <c r="D38" s="373"/>
      <c r="E38" s="373"/>
      <c r="F38" s="373"/>
      <c r="G38" s="373"/>
      <c r="H38" s="374"/>
      <c r="I38"/>
      <c r="J38"/>
    </row>
    <row r="39" spans="1:11" x14ac:dyDescent="0.2">
      <c r="A39" s="371"/>
      <c r="B39" s="259" t="s">
        <v>68</v>
      </c>
      <c r="C39" s="369" t="s">
        <v>52</v>
      </c>
      <c r="D39" s="369"/>
      <c r="E39" s="369"/>
      <c r="F39" s="369"/>
      <c r="G39" s="369"/>
      <c r="H39" s="259" t="s">
        <v>69</v>
      </c>
      <c r="I39"/>
      <c r="J39"/>
    </row>
    <row r="40" spans="1:11" x14ac:dyDescent="0.2">
      <c r="A40" s="371"/>
      <c r="B40" s="240" t="s">
        <v>46</v>
      </c>
      <c r="C40" s="365" t="s">
        <v>70</v>
      </c>
      <c r="D40" s="365"/>
      <c r="E40" s="365"/>
      <c r="F40" s="365"/>
      <c r="G40" s="365"/>
      <c r="H40" s="268">
        <f>I27</f>
        <v>0</v>
      </c>
      <c r="I40" s="286"/>
      <c r="J40"/>
    </row>
    <row r="41" spans="1:11" ht="27" customHeight="1" x14ac:dyDescent="0.2">
      <c r="A41" s="371"/>
      <c r="B41" s="240" t="s">
        <v>64</v>
      </c>
      <c r="C41" s="365" t="s">
        <v>71</v>
      </c>
      <c r="D41" s="365"/>
      <c r="E41" s="365"/>
      <c r="F41" s="365"/>
      <c r="G41" s="365"/>
      <c r="H41" s="268">
        <f>I36</f>
        <v>226162.84512792053</v>
      </c>
      <c r="I41" s="286"/>
      <c r="J41"/>
    </row>
    <row r="42" spans="1:11" ht="15.75" x14ac:dyDescent="0.25">
      <c r="A42" s="371"/>
      <c r="B42" s="372" t="s">
        <v>72</v>
      </c>
      <c r="C42" s="373"/>
      <c r="D42" s="373"/>
      <c r="E42" s="373"/>
      <c r="F42" s="373"/>
      <c r="G42" s="374"/>
      <c r="H42" s="272">
        <f>SUM(H40:H41)</f>
        <v>226162.84512792053</v>
      </c>
      <c r="I42" s="334" t="e">
        <f>(H42/12)/#REF!</f>
        <v>#REF!</v>
      </c>
      <c r="J42" s="335">
        <f>H42/12</f>
        <v>18846.903760660043</v>
      </c>
      <c r="K42" s="323"/>
    </row>
    <row r="43" spans="1:11" x14ac:dyDescent="0.2">
      <c r="A43" s="5"/>
      <c r="B43" s="5"/>
      <c r="C43" s="5"/>
      <c r="D43" s="5"/>
      <c r="E43" s="5"/>
      <c r="F43" s="5"/>
      <c r="G43"/>
      <c r="H43"/>
      <c r="I43" s="286"/>
      <c r="J43" s="286"/>
    </row>
    <row r="44" spans="1:11" x14ac:dyDescent="0.2">
      <c r="A44" s="370" t="s">
        <v>73</v>
      </c>
      <c r="B44" s="273" t="s">
        <v>55</v>
      </c>
      <c r="C44" s="274" t="s">
        <v>74</v>
      </c>
      <c r="D44" s="274"/>
      <c r="E44" s="274"/>
      <c r="F44" s="274"/>
      <c r="G44" s="274"/>
      <c r="H44" s="275"/>
      <c r="I44"/>
      <c r="J44" s="286"/>
    </row>
    <row r="45" spans="1:11" x14ac:dyDescent="0.2">
      <c r="A45" s="370"/>
      <c r="B45" s="276" t="s">
        <v>57</v>
      </c>
      <c r="C45" s="277" t="s">
        <v>75</v>
      </c>
      <c r="D45" s="277"/>
      <c r="E45" s="277"/>
      <c r="F45" s="277"/>
      <c r="G45" s="277"/>
      <c r="H45" s="278"/>
      <c r="I45"/>
      <c r="J45"/>
    </row>
    <row r="46" spans="1:11" x14ac:dyDescent="0.2">
      <c r="A46" s="370"/>
      <c r="B46" s="279" t="s">
        <v>59</v>
      </c>
      <c r="C46" s="280" t="s">
        <v>76</v>
      </c>
      <c r="D46" s="280"/>
      <c r="E46" s="280"/>
      <c r="F46" s="280"/>
      <c r="G46" s="280"/>
      <c r="H46" s="281"/>
      <c r="I46"/>
    </row>
    <row r="47" spans="1:11" x14ac:dyDescent="0.2">
      <c r="A47" s="370"/>
      <c r="B47" s="279" t="s">
        <v>61</v>
      </c>
      <c r="C47" s="280" t="s">
        <v>77</v>
      </c>
      <c r="D47" s="280"/>
      <c r="E47" s="280"/>
      <c r="F47" s="280"/>
      <c r="G47" s="280"/>
      <c r="H47" s="281"/>
      <c r="I47"/>
    </row>
    <row r="48" spans="1:11" x14ac:dyDescent="0.2">
      <c r="A48" s="5"/>
      <c r="B48" s="5"/>
      <c r="C48" s="5"/>
      <c r="D48" s="5"/>
      <c r="E48" s="5"/>
      <c r="F48" s="5"/>
      <c r="G48"/>
      <c r="H48"/>
      <c r="I48"/>
    </row>
    <row r="49" spans="1:9" ht="44.85" customHeight="1" x14ac:dyDescent="0.2">
      <c r="A49" s="8" t="s">
        <v>78</v>
      </c>
      <c r="B49" s="375" t="s">
        <v>79</v>
      </c>
      <c r="C49" s="375"/>
      <c r="D49" s="375"/>
      <c r="E49" s="375"/>
      <c r="F49" s="375"/>
      <c r="G49" s="26" t="s">
        <v>80</v>
      </c>
      <c r="H49"/>
      <c r="I49"/>
    </row>
    <row r="64" spans="1:9" hidden="1" x14ac:dyDescent="0.2">
      <c r="D64" s="22"/>
      <c r="E64" s="27" t="s">
        <v>81</v>
      </c>
      <c r="F64" s="28" t="e">
        <f>SUM(#REF!)</f>
        <v>#REF!</v>
      </c>
    </row>
    <row r="65" spans="4:6" hidden="1" x14ac:dyDescent="0.2">
      <c r="D65" s="29"/>
      <c r="E65" s="30" t="s">
        <v>82</v>
      </c>
      <c r="F65" s="31" t="e">
        <f>#REF!/F64</f>
        <v>#REF!</v>
      </c>
    </row>
    <row r="66" spans="4:6" hidden="1" x14ac:dyDescent="0.2">
      <c r="D66"/>
      <c r="E66" s="33"/>
      <c r="F66" s="32"/>
    </row>
    <row r="67" spans="4:6" hidden="1" x14ac:dyDescent="0.2">
      <c r="D67" s="375" t="s">
        <v>83</v>
      </c>
      <c r="E67" s="34" t="s">
        <v>84</v>
      </c>
      <c r="F67" s="35">
        <v>971.65099999999995</v>
      </c>
    </row>
    <row r="68" spans="4:6" hidden="1" x14ac:dyDescent="0.2">
      <c r="D68" s="375"/>
      <c r="E68" s="36" t="s">
        <v>85</v>
      </c>
      <c r="F68" s="37">
        <v>773.27300000000002</v>
      </c>
    </row>
    <row r="69" spans="4:6" hidden="1" x14ac:dyDescent="0.2">
      <c r="D69" s="375"/>
      <c r="E69" s="38" t="s">
        <v>86</v>
      </c>
      <c r="F69" s="37">
        <f>F68/F67</f>
        <v>0.79583410092718487</v>
      </c>
    </row>
    <row r="70" spans="4:6" hidden="1" x14ac:dyDescent="0.2">
      <c r="D70" s="375"/>
      <c r="E70" s="39" t="s">
        <v>87</v>
      </c>
      <c r="F70" s="40" t="e">
        <f>F69*F65</f>
        <v>#REF!</v>
      </c>
    </row>
    <row r="71" spans="4:6" hidden="1" x14ac:dyDescent="0.2">
      <c r="D71" s="375"/>
      <c r="E71" s="39" t="s">
        <v>88</v>
      </c>
      <c r="F71" s="37">
        <v>3.52</v>
      </c>
    </row>
    <row r="72" spans="4:6" hidden="1" x14ac:dyDescent="0.2">
      <c r="D72" s="375"/>
      <c r="E72" s="41"/>
      <c r="F72" s="42" t="e">
        <f>F70/F71</f>
        <v>#REF!</v>
      </c>
    </row>
  </sheetData>
  <mergeCells count="26">
    <mergeCell ref="D67:D72"/>
    <mergeCell ref="B49:F49"/>
    <mergeCell ref="A1:I1"/>
    <mergeCell ref="A2:I2"/>
    <mergeCell ref="B4:I4"/>
    <mergeCell ref="A5:A27"/>
    <mergeCell ref="C27:H27"/>
    <mergeCell ref="A3:I3"/>
    <mergeCell ref="B8:I8"/>
    <mergeCell ref="B12:I12"/>
    <mergeCell ref="B17:I17"/>
    <mergeCell ref="B29:I29"/>
    <mergeCell ref="A30:A36"/>
    <mergeCell ref="B30:I30"/>
    <mergeCell ref="C32:G32"/>
    <mergeCell ref="C33:G33"/>
    <mergeCell ref="C34:G34"/>
    <mergeCell ref="C35:F35"/>
    <mergeCell ref="C36:H36"/>
    <mergeCell ref="A44:A47"/>
    <mergeCell ref="A38:A42"/>
    <mergeCell ref="B38:H38"/>
    <mergeCell ref="C39:G39"/>
    <mergeCell ref="C40:G40"/>
    <mergeCell ref="C41:G41"/>
    <mergeCell ref="B42:G42"/>
  </mergeCells>
  <dataValidations disablePrompts="1" count="1">
    <dataValidation type="list" allowBlank="1" showErrorMessage="1" sqref="G49" xr:uid="{00000000-0002-0000-0100-000000000000}">
      <formula1>"DESONERADO,NÃO DESONERADO"</formula1>
      <formula2>0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6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ML30"/>
  <sheetViews>
    <sheetView view="pageBreakPreview" topLeftCell="C1" zoomScale="130" zoomScaleNormal="100" zoomScaleSheetLayoutView="130" workbookViewId="0">
      <selection activeCell="A28" sqref="A28:F28"/>
    </sheetView>
  </sheetViews>
  <sheetFormatPr defaultRowHeight="14.25" x14ac:dyDescent="0.2"/>
  <cols>
    <col min="1" max="1" width="11.625" style="25"/>
    <col min="2" max="2" width="49" style="43"/>
    <col min="3" max="3" width="10.875" style="43"/>
    <col min="4" max="4" width="10.25" style="43" bestFit="1" customWidth="1"/>
    <col min="5" max="5" width="10.875" style="43"/>
    <col min="6" max="6" width="15.375" style="43"/>
    <col min="7" max="7" width="16.25" style="43"/>
    <col min="8" max="9" width="9" style="43" hidden="1" customWidth="1"/>
    <col min="10" max="1026" width="10.875" style="43"/>
  </cols>
  <sheetData>
    <row r="1" spans="1:10" ht="42.95" customHeight="1" x14ac:dyDescent="0.2">
      <c r="A1" s="388" t="s">
        <v>89</v>
      </c>
      <c r="B1" s="388"/>
      <c r="C1" s="388"/>
      <c r="D1" s="388"/>
      <c r="E1" s="388"/>
      <c r="F1" s="388"/>
      <c r="G1" s="388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36.6" customHeight="1" x14ac:dyDescent="0.2">
      <c r="A3" s="44" t="s">
        <v>90</v>
      </c>
      <c r="B3" s="44" t="s">
        <v>91</v>
      </c>
      <c r="C3" s="44" t="s">
        <v>92</v>
      </c>
      <c r="D3" s="44" t="s">
        <v>93</v>
      </c>
      <c r="E3" s="44" t="s">
        <v>94</v>
      </c>
      <c r="F3" s="1" t="s">
        <v>95</v>
      </c>
      <c r="G3" s="1" t="s">
        <v>96</v>
      </c>
      <c r="H3"/>
      <c r="I3"/>
      <c r="J3"/>
    </row>
    <row r="4" spans="1:10" ht="15" x14ac:dyDescent="0.2">
      <c r="A4" s="45" t="s">
        <v>46</v>
      </c>
      <c r="B4" s="46" t="s">
        <v>97</v>
      </c>
      <c r="C4" s="47"/>
      <c r="D4" s="47"/>
      <c r="E4" s="47"/>
      <c r="F4" s="47"/>
      <c r="G4" s="48"/>
      <c r="H4"/>
      <c r="I4"/>
      <c r="J4"/>
    </row>
    <row r="5" spans="1:10" x14ac:dyDescent="0.2">
      <c r="A5" s="49" t="s">
        <v>27</v>
      </c>
      <c r="B5" s="50" t="s">
        <v>29</v>
      </c>
      <c r="C5" s="51"/>
      <c r="D5" s="51"/>
      <c r="E5" s="51"/>
      <c r="F5" s="51"/>
      <c r="G5" s="51"/>
      <c r="H5"/>
      <c r="I5" s="389"/>
      <c r="J5" s="389"/>
    </row>
    <row r="6" spans="1:10" x14ac:dyDescent="0.2">
      <c r="A6" s="391" t="s">
        <v>799</v>
      </c>
      <c r="B6" s="392"/>
      <c r="C6" s="392"/>
      <c r="D6" s="392"/>
      <c r="E6" s="392"/>
      <c r="F6" s="392"/>
      <c r="G6" s="393"/>
      <c r="H6"/>
      <c r="I6" s="221"/>
      <c r="J6" s="221"/>
    </row>
    <row r="7" spans="1:10" ht="33.75" x14ac:dyDescent="0.2">
      <c r="A7" s="350" t="s">
        <v>98</v>
      </c>
      <c r="B7" s="351" t="str">
        <f>'CCT E VT'!A4</f>
        <v>Oficial de Manutenção Predial I (Eletricista/Instalador-Reparador de Reders Telefônicas e de comunicação de dados) –  CBO 5143-25 - Jornada 44h semanais</v>
      </c>
      <c r="C7" s="352" t="s">
        <v>33</v>
      </c>
      <c r="D7" s="352" t="str">
        <f>'III-A - Mão de Obra (CCT)'!D$13</f>
        <v>Porto Velho/RO</v>
      </c>
      <c r="E7" s="353">
        <v>1</v>
      </c>
      <c r="F7" s="24">
        <f>'III-A - Mão de Obra (CCT)'!D$123</f>
        <v>0</v>
      </c>
      <c r="G7" s="24">
        <f>E7*F7</f>
        <v>0</v>
      </c>
      <c r="H7" s="282">
        <f>'III-A - Mão de Obra (CCT)'!D$121</f>
        <v>0</v>
      </c>
      <c r="I7" s="283">
        <f>E7*H7</f>
        <v>0</v>
      </c>
    </row>
    <row r="8" spans="1:10" ht="22.5" x14ac:dyDescent="0.2">
      <c r="A8" s="350" t="s">
        <v>99</v>
      </c>
      <c r="B8" s="351" t="str">
        <f>'CCT E VT'!A7</f>
        <v>Oficial de Manutenção Predial II (Pedreiro/Bombeiro Hidráulico) – CBO 5143-25 -  Jornada 44h semanais</v>
      </c>
      <c r="C8" s="352" t="s">
        <v>33</v>
      </c>
      <c r="D8" s="352" t="str">
        <f>'III-A - Mão de Obra (CCT)'!D$13</f>
        <v>Porto Velho/RO</v>
      </c>
      <c r="E8" s="353">
        <v>1</v>
      </c>
      <c r="F8" s="24">
        <f>'III-A - Mão de Obra (CCT)'!G$123</f>
        <v>0</v>
      </c>
      <c r="G8" s="24">
        <f>E8*F8</f>
        <v>0</v>
      </c>
      <c r="H8" s="282">
        <f>'III-A - Mão de Obra (CCT)'!G$121</f>
        <v>0</v>
      </c>
      <c r="I8" s="283">
        <f t="shared" ref="I8:I9" si="0">E8*H8</f>
        <v>0</v>
      </c>
    </row>
    <row r="9" spans="1:10" ht="22.5" x14ac:dyDescent="0.2">
      <c r="A9" s="350" t="s">
        <v>100</v>
      </c>
      <c r="B9" s="351" t="str">
        <f>'CCT E VT'!A10</f>
        <v>Auxiliar de manutenção predial (Auxiliar Eletricista/Hidráulica/Pedreiro) – CBO 5143-10 - Jornada de 44h semanais</v>
      </c>
      <c r="C9" s="352" t="s">
        <v>33</v>
      </c>
      <c r="D9" s="352" t="str">
        <f>'III-A - Mão de Obra (CCT)'!D$13</f>
        <v>Porto Velho/RO</v>
      </c>
      <c r="E9" s="353">
        <v>1</v>
      </c>
      <c r="F9" s="24">
        <f>'III-A - Mão de Obra (CCT)'!J$123</f>
        <v>0</v>
      </c>
      <c r="G9" s="24">
        <f>E9*F9</f>
        <v>0</v>
      </c>
      <c r="H9" s="282">
        <f>'III-A - Mão de Obra (CCT)'!J$121</f>
        <v>0</v>
      </c>
      <c r="I9" s="283">
        <f t="shared" si="0"/>
        <v>0</v>
      </c>
    </row>
    <row r="10" spans="1:10" x14ac:dyDescent="0.2">
      <c r="A10" s="391" t="s">
        <v>827</v>
      </c>
      <c r="B10" s="392"/>
      <c r="C10" s="392"/>
      <c r="D10" s="392"/>
      <c r="E10" s="392"/>
      <c r="F10" s="392"/>
      <c r="G10" s="393"/>
      <c r="H10" s="282"/>
      <c r="I10" s="283"/>
    </row>
    <row r="11" spans="1:10" ht="33.75" x14ac:dyDescent="0.2">
      <c r="A11" s="350" t="s">
        <v>101</v>
      </c>
      <c r="B11" s="351" t="str">
        <f>'CCT E VT'!A4</f>
        <v>Oficial de Manutenção Predial I (Eletricista/Instalador-Reparador de Reders Telefônicas e de comunicação de dados) –  CBO 5143-25 - Jornada 44h semanais</v>
      </c>
      <c r="C11" s="352" t="s">
        <v>33</v>
      </c>
      <c r="D11" s="352" t="str">
        <f>'III-A - Mão de Obra (CCT)'!E$13</f>
        <v>Ji-Paraná</v>
      </c>
      <c r="E11" s="353">
        <v>1</v>
      </c>
      <c r="F11" s="24">
        <f>'III-A - Mão de Obra (CCT)'!E$123</f>
        <v>0</v>
      </c>
      <c r="G11" s="24">
        <f>E11*F11</f>
        <v>0</v>
      </c>
      <c r="H11" s="282">
        <f>'III-A - Mão de Obra (CCT)'!E$121</f>
        <v>0</v>
      </c>
      <c r="I11" s="283">
        <f t="shared" ref="I11:I13" si="1">E11*H11</f>
        <v>0</v>
      </c>
    </row>
    <row r="12" spans="1:10" ht="22.5" x14ac:dyDescent="0.2">
      <c r="A12" s="350" t="s">
        <v>102</v>
      </c>
      <c r="B12" s="351" t="str">
        <f>'CCT E VT'!A7</f>
        <v>Oficial de Manutenção Predial II (Pedreiro/Bombeiro Hidráulico) – CBO 5143-25 -  Jornada 44h semanais</v>
      </c>
      <c r="C12" s="352" t="s">
        <v>33</v>
      </c>
      <c r="D12" s="352" t="str">
        <f>'III-A - Mão de Obra (CCT)'!E$13</f>
        <v>Ji-Paraná</v>
      </c>
      <c r="E12" s="353">
        <v>1</v>
      </c>
      <c r="F12" s="24">
        <f>'III-A - Mão de Obra (CCT)'!H$123</f>
        <v>0</v>
      </c>
      <c r="G12" s="24">
        <f t="shared" ref="G12" si="2">E12*F12</f>
        <v>0</v>
      </c>
      <c r="H12" s="282">
        <f>'III-A - Mão de Obra (CCT)'!H$121</f>
        <v>0</v>
      </c>
      <c r="I12" s="283">
        <f t="shared" si="1"/>
        <v>0</v>
      </c>
    </row>
    <row r="13" spans="1:10" ht="22.5" hidden="1" x14ac:dyDescent="0.2">
      <c r="A13" s="52" t="s">
        <v>103</v>
      </c>
      <c r="B13" s="14" t="str">
        <f>'CCT E VT'!A10</f>
        <v>Auxiliar de manutenção predial (Auxiliar Eletricista/Hidráulica/Pedreiro) – CBO 5143-10 - Jornada de 44h semanais</v>
      </c>
      <c r="C13" s="7" t="s">
        <v>33</v>
      </c>
      <c r="D13" s="7" t="str">
        <f>'III-A - Mão de Obra (CCT)'!E$13</f>
        <v>Ji-Paraná</v>
      </c>
      <c r="E13" s="53">
        <v>0</v>
      </c>
      <c r="F13" s="24">
        <f>'III-A - Mão de Obra (CCT)'!K$123</f>
        <v>0</v>
      </c>
      <c r="G13" s="24">
        <f>E13*F13</f>
        <v>0</v>
      </c>
      <c r="H13" s="282">
        <f>'III-A - Mão de Obra (CCT)'!K$121</f>
        <v>0</v>
      </c>
      <c r="I13" s="283">
        <f t="shared" si="1"/>
        <v>0</v>
      </c>
    </row>
    <row r="14" spans="1:10" hidden="1" x14ac:dyDescent="0.2">
      <c r="A14" s="391"/>
      <c r="B14" s="392"/>
      <c r="C14" s="392"/>
      <c r="D14" s="392"/>
      <c r="E14" s="392"/>
      <c r="F14" s="392"/>
      <c r="G14" s="393"/>
      <c r="H14" s="282"/>
      <c r="I14" s="283"/>
    </row>
    <row r="15" spans="1:10" hidden="1" x14ac:dyDescent="0.2">
      <c r="A15" s="52"/>
      <c r="B15" s="14"/>
      <c r="C15" s="7"/>
      <c r="D15" s="7"/>
      <c r="E15" s="53"/>
      <c r="F15" s="24"/>
      <c r="G15" s="24"/>
      <c r="H15" s="282">
        <f>'III-A - Mão de Obra (CCT)'!F$121</f>
        <v>0</v>
      </c>
      <c r="I15" s="283">
        <f t="shared" ref="I15:I17" si="3">E15*H15</f>
        <v>0</v>
      </c>
    </row>
    <row r="16" spans="1:10" hidden="1" x14ac:dyDescent="0.2">
      <c r="A16" s="52"/>
      <c r="B16" s="14"/>
      <c r="C16" s="7"/>
      <c r="D16" s="7"/>
      <c r="E16" s="53"/>
      <c r="F16" s="24"/>
      <c r="G16" s="24"/>
      <c r="H16" s="282">
        <f>'III-A - Mão de Obra (CCT)'!L$121</f>
        <v>0</v>
      </c>
      <c r="I16" s="283">
        <f t="shared" si="3"/>
        <v>0</v>
      </c>
    </row>
    <row r="17" spans="1:12" hidden="1" x14ac:dyDescent="0.2">
      <c r="A17" s="52"/>
      <c r="B17" s="14"/>
      <c r="C17" s="7"/>
      <c r="D17" s="7"/>
      <c r="E17" s="53"/>
      <c r="F17" s="24"/>
      <c r="G17" s="24"/>
      <c r="H17" s="282">
        <f>'III-A - Mão de Obra (CCT)'!I$121</f>
        <v>0</v>
      </c>
      <c r="I17" s="283">
        <f t="shared" si="3"/>
        <v>0</v>
      </c>
    </row>
    <row r="18" spans="1:12" x14ac:dyDescent="0.2">
      <c r="A18" s="49" t="s">
        <v>30</v>
      </c>
      <c r="B18" s="50" t="s">
        <v>31</v>
      </c>
      <c r="C18" s="49"/>
      <c r="D18" s="49"/>
      <c r="E18" s="54"/>
      <c r="F18" s="49"/>
      <c r="G18" s="49"/>
      <c r="H18" s="282"/>
      <c r="I18" s="284"/>
    </row>
    <row r="19" spans="1:12" x14ac:dyDescent="0.2">
      <c r="A19" s="391" t="s">
        <v>799</v>
      </c>
      <c r="B19" s="392"/>
      <c r="C19" s="392"/>
      <c r="D19" s="392"/>
      <c r="E19" s="392"/>
      <c r="F19" s="392"/>
      <c r="G19" s="393"/>
      <c r="H19" s="282"/>
      <c r="I19" s="283"/>
    </row>
    <row r="20" spans="1:12" x14ac:dyDescent="0.2">
      <c r="A20" s="350" t="s">
        <v>32</v>
      </c>
      <c r="B20" s="351" t="str">
        <f>'CCT E VT'!A13</f>
        <v>Engenheiro Civil - Jornada 30h semanais</v>
      </c>
      <c r="C20" s="352" t="s">
        <v>33</v>
      </c>
      <c r="D20" s="352"/>
      <c r="E20" s="353">
        <v>0.21768862734487732</v>
      </c>
      <c r="F20" s="24">
        <f>'III-A - Mão de Obra (CCT)'!N123</f>
        <v>0</v>
      </c>
      <c r="G20" s="24">
        <f t="shared" ref="G20:G27" si="4">E20*F20</f>
        <v>0</v>
      </c>
      <c r="H20" s="282">
        <f>'III-A - Mão de Obra (CCT)'!N121</f>
        <v>0</v>
      </c>
      <c r="I20" s="283">
        <f t="shared" ref="I20:I22" si="5">E20*H20</f>
        <v>0</v>
      </c>
    </row>
    <row r="21" spans="1:12" x14ac:dyDescent="0.2">
      <c r="A21" s="350" t="s">
        <v>34</v>
      </c>
      <c r="B21" s="351" t="str">
        <f>'CCT E VT'!A14</f>
        <v>Engenheiro Eletricista - Jornada 30h semanais</v>
      </c>
      <c r="C21" s="352" t="s">
        <v>33</v>
      </c>
      <c r="D21" s="352"/>
      <c r="E21" s="353">
        <v>5.1021960678210673E-2</v>
      </c>
      <c r="F21" s="24">
        <f>'III-A - Mão de Obra (CCT)'!O123</f>
        <v>0</v>
      </c>
      <c r="G21" s="24">
        <f t="shared" si="4"/>
        <v>0</v>
      </c>
      <c r="H21" s="282">
        <f>'III-A - Mão de Obra (CCT)'!O121</f>
        <v>0</v>
      </c>
      <c r="I21" s="283">
        <f t="shared" si="5"/>
        <v>0</v>
      </c>
    </row>
    <row r="22" spans="1:12" x14ac:dyDescent="0.2">
      <c r="A22" s="350" t="s">
        <v>35</v>
      </c>
      <c r="B22" s="351" t="str">
        <f>'CCT E VT'!A15</f>
        <v>Encarregado de Manutenção – CBO 7102-05 - Jornada 44h semanais</v>
      </c>
      <c r="C22" s="352" t="s">
        <v>33</v>
      </c>
      <c r="D22" s="352"/>
      <c r="E22" s="353">
        <v>1</v>
      </c>
      <c r="F22" s="24">
        <f>'III-A - Mão de Obra (CCT)'!M123</f>
        <v>0</v>
      </c>
      <c r="G22" s="24">
        <f t="shared" si="4"/>
        <v>0</v>
      </c>
      <c r="H22" s="282">
        <f>'III-A - Mão de Obra (CCT)'!M121</f>
        <v>0</v>
      </c>
      <c r="I22" s="283">
        <f t="shared" si="5"/>
        <v>0</v>
      </c>
      <c r="K22" s="325">
        <f>SUM(G7:G22)</f>
        <v>0</v>
      </c>
      <c r="L22" s="43">
        <v>40312.345790729232</v>
      </c>
    </row>
    <row r="23" spans="1:12" ht="15" x14ac:dyDescent="0.2">
      <c r="A23" s="55" t="s">
        <v>64</v>
      </c>
      <c r="B23" s="56" t="s">
        <v>104</v>
      </c>
      <c r="C23" s="6" t="s">
        <v>105</v>
      </c>
      <c r="D23" s="6"/>
      <c r="E23" s="57">
        <v>1</v>
      </c>
      <c r="F23" s="58">
        <f>'III-C - Desloc, Pern e Sistema'!J6</f>
        <v>0</v>
      </c>
      <c r="G23" s="58">
        <f t="shared" si="4"/>
        <v>0</v>
      </c>
      <c r="H23" s="282"/>
      <c r="I23" s="283">
        <f>SUM(I7:I22)*12</f>
        <v>0</v>
      </c>
      <c r="K23" s="325">
        <f>SUM(G23:G26)</f>
        <v>0</v>
      </c>
      <c r="L23" s="43">
        <v>23600.887621105874</v>
      </c>
    </row>
    <row r="24" spans="1:12" ht="15" x14ac:dyDescent="0.2">
      <c r="A24" s="55" t="s">
        <v>106</v>
      </c>
      <c r="B24" s="56" t="s">
        <v>107</v>
      </c>
      <c r="C24" s="6" t="s">
        <v>105</v>
      </c>
      <c r="D24" s="6"/>
      <c r="E24" s="57">
        <v>1</v>
      </c>
      <c r="F24" s="58">
        <f>'III-C - Desloc, Pern e Sistema'!J7</f>
        <v>0</v>
      </c>
      <c r="G24" s="58">
        <f t="shared" si="4"/>
        <v>0</v>
      </c>
      <c r="H24" s="119"/>
      <c r="I24" s="284"/>
      <c r="K24" s="325">
        <f>K22+K23</f>
        <v>0</v>
      </c>
      <c r="L24" s="43">
        <v>63913.233411835106</v>
      </c>
    </row>
    <row r="25" spans="1:12" ht="15" x14ac:dyDescent="0.2">
      <c r="A25" s="55" t="s">
        <v>108</v>
      </c>
      <c r="B25" s="56" t="s">
        <v>109</v>
      </c>
      <c r="C25" s="6" t="s">
        <v>105</v>
      </c>
      <c r="D25" s="6"/>
      <c r="E25" s="57">
        <v>1</v>
      </c>
      <c r="F25" s="58">
        <f>'III-C - Desloc, Pern e Sistema'!J8+'III-C - Desloc, Pern e Sistema'!J9</f>
        <v>0</v>
      </c>
      <c r="G25" s="58">
        <f t="shared" si="4"/>
        <v>0</v>
      </c>
      <c r="H25" s="59"/>
    </row>
    <row r="26" spans="1:12" ht="15" x14ac:dyDescent="0.2">
      <c r="A26" s="55" t="s">
        <v>110</v>
      </c>
      <c r="B26" s="56" t="s">
        <v>111</v>
      </c>
      <c r="C26" s="6" t="s">
        <v>105</v>
      </c>
      <c r="D26" s="6"/>
      <c r="E26" s="57">
        <v>1</v>
      </c>
      <c r="F26" s="58">
        <f>'III-E - Materiais de Consumo'!I329</f>
        <v>0</v>
      </c>
      <c r="G26" s="58">
        <f t="shared" si="4"/>
        <v>0</v>
      </c>
    </row>
    <row r="27" spans="1:12" x14ac:dyDescent="0.2">
      <c r="A27" s="55" t="s">
        <v>112</v>
      </c>
      <c r="B27" s="56" t="s">
        <v>113</v>
      </c>
      <c r="C27" s="6" t="s">
        <v>105</v>
      </c>
      <c r="D27" s="6"/>
      <c r="E27" s="57">
        <v>1</v>
      </c>
      <c r="F27" s="58">
        <f>'III-C - Desloc, Pern e Sistema'!J10</f>
        <v>0</v>
      </c>
      <c r="G27" s="58">
        <f t="shared" si="4"/>
        <v>0</v>
      </c>
    </row>
    <row r="28" spans="1:12" x14ac:dyDescent="0.2">
      <c r="A28" s="390" t="s">
        <v>114</v>
      </c>
      <c r="B28" s="390"/>
      <c r="C28" s="390"/>
      <c r="D28" s="390"/>
      <c r="E28" s="390"/>
      <c r="F28" s="390"/>
      <c r="G28" s="60">
        <f>SUM(G7:G27)</f>
        <v>0</v>
      </c>
    </row>
    <row r="30" spans="1:12" x14ac:dyDescent="0.2">
      <c r="G30" s="325" t="e">
        <f>G28/#REF!</f>
        <v>#REF!</v>
      </c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rintOptions horizontalCentered="1"/>
  <pageMargins left="0.39370078740157483" right="0.39370078740157483" top="0.59055118110236227" bottom="0.39370078740157483" header="0" footer="0"/>
  <pageSetup paperSize="9" scale="70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MQ123"/>
  <sheetViews>
    <sheetView view="pageBreakPreview" topLeftCell="A51" zoomScale="85" zoomScaleNormal="85" zoomScaleSheetLayoutView="85" zoomScalePageLayoutView="85" workbookViewId="0">
      <selection activeCell="G25" sqref="G25"/>
    </sheetView>
  </sheetViews>
  <sheetFormatPr defaultRowHeight="14.25" x14ac:dyDescent="0.2"/>
  <cols>
    <col min="1" max="1" width="28.25" style="61" customWidth="1"/>
    <col min="2" max="2" width="14" style="62"/>
    <col min="3" max="3" width="1.875" style="62"/>
    <col min="4" max="5" width="14.625" style="62" customWidth="1"/>
    <col min="6" max="6" width="14.625" style="62" hidden="1" customWidth="1"/>
    <col min="7" max="8" width="12" style="62" customWidth="1"/>
    <col min="9" max="9" width="12" style="62" hidden="1" customWidth="1"/>
    <col min="10" max="11" width="11" style="62" customWidth="1"/>
    <col min="12" max="12" width="11" style="62" hidden="1" customWidth="1"/>
    <col min="13" max="13" width="13.25" style="62" customWidth="1"/>
    <col min="14" max="14" width="13.375" style="62" customWidth="1"/>
    <col min="15" max="15" width="13.875" style="62" customWidth="1"/>
    <col min="16" max="16" width="13.625" style="62" customWidth="1"/>
    <col min="17" max="17" width="15.75" style="62" customWidth="1"/>
    <col min="18" max="18" width="13.875" style="62" customWidth="1"/>
    <col min="19" max="19" width="14" style="62" customWidth="1"/>
    <col min="20" max="1031" width="44.125" style="62"/>
  </cols>
  <sheetData>
    <row r="1" spans="1:18" ht="62.45" customHeight="1" x14ac:dyDescent="0.2">
      <c r="A1" s="417" t="s">
        <v>115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9"/>
      <c r="P1"/>
    </row>
    <row r="2" spans="1:18" ht="28.5" customHeight="1" x14ac:dyDescent="0.2">
      <c r="A2" s="422" t="s">
        <v>116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4"/>
      <c r="P2"/>
    </row>
    <row r="3" spans="1:18" ht="28.5" customHeight="1" x14ac:dyDescent="0.2">
      <c r="A3" s="425" t="s">
        <v>117</v>
      </c>
      <c r="B3" s="426"/>
      <c r="C3" s="426"/>
      <c r="D3" s="427"/>
      <c r="E3" s="428"/>
      <c r="F3" s="428"/>
      <c r="G3" s="428"/>
      <c r="H3" s="427"/>
      <c r="I3" s="428"/>
      <c r="J3" s="428"/>
      <c r="K3" s="428"/>
      <c r="L3" s="427"/>
      <c r="M3" s="428"/>
      <c r="N3" s="428"/>
      <c r="O3" s="429"/>
      <c r="P3"/>
    </row>
    <row r="4" spans="1:18" ht="28.5" customHeight="1" x14ac:dyDescent="0.2">
      <c r="A4" s="410" t="s">
        <v>118</v>
      </c>
      <c r="B4" s="411"/>
      <c r="C4" s="411"/>
      <c r="D4" s="402"/>
      <c r="E4" s="403"/>
      <c r="F4" s="403"/>
      <c r="G4" s="403"/>
      <c r="H4" s="402"/>
      <c r="I4" s="403"/>
      <c r="J4" s="403"/>
      <c r="K4" s="403"/>
      <c r="L4" s="402"/>
      <c r="M4" s="403"/>
      <c r="N4" s="403"/>
      <c r="O4" s="404"/>
      <c r="P4"/>
    </row>
    <row r="5" spans="1:18" ht="28.5" customHeight="1" x14ac:dyDescent="0.2">
      <c r="A5" s="410" t="s">
        <v>119</v>
      </c>
      <c r="B5" s="411"/>
      <c r="C5" s="411"/>
      <c r="D5" s="402"/>
      <c r="E5" s="403"/>
      <c r="F5" s="403"/>
      <c r="G5" s="403"/>
      <c r="H5" s="402"/>
      <c r="I5" s="403"/>
      <c r="J5" s="403"/>
      <c r="K5" s="403"/>
      <c r="L5" s="402"/>
      <c r="M5" s="403"/>
      <c r="N5" s="403"/>
      <c r="O5" s="404"/>
      <c r="P5"/>
    </row>
    <row r="6" spans="1:18" ht="28.5" customHeight="1" x14ac:dyDescent="0.2">
      <c r="A6" s="410" t="s">
        <v>120</v>
      </c>
      <c r="B6" s="411"/>
      <c r="C6" s="411"/>
      <c r="D6" s="405"/>
      <c r="E6" s="406"/>
      <c r="F6" s="406"/>
      <c r="G6" s="406"/>
      <c r="H6" s="405"/>
      <c r="I6" s="406"/>
      <c r="J6" s="406"/>
      <c r="K6" s="406"/>
      <c r="L6" s="405"/>
      <c r="M6" s="406"/>
      <c r="N6" s="406"/>
      <c r="O6" s="407"/>
      <c r="P6"/>
    </row>
    <row r="7" spans="1:18" ht="28.5" customHeight="1" x14ac:dyDescent="0.2">
      <c r="A7" s="410" t="s">
        <v>121</v>
      </c>
      <c r="B7" s="411"/>
      <c r="C7" s="411"/>
      <c r="D7" s="402"/>
      <c r="E7" s="403"/>
      <c r="F7" s="403"/>
      <c r="G7" s="403"/>
      <c r="H7" s="402"/>
      <c r="I7" s="403"/>
      <c r="J7" s="403"/>
      <c r="K7" s="430"/>
      <c r="L7" s="402"/>
      <c r="M7" s="403"/>
      <c r="N7" s="403"/>
      <c r="O7" s="404"/>
      <c r="P7"/>
    </row>
    <row r="8" spans="1:18" ht="28.5" customHeight="1" x14ac:dyDescent="0.2">
      <c r="A8" s="410" t="s">
        <v>122</v>
      </c>
      <c r="B8" s="411"/>
      <c r="C8" s="411"/>
      <c r="D8" s="402"/>
      <c r="E8" s="403"/>
      <c r="F8" s="403"/>
      <c r="G8" s="403"/>
      <c r="H8" s="402"/>
      <c r="I8" s="403"/>
      <c r="J8" s="403"/>
      <c r="K8" s="403"/>
      <c r="L8" s="402"/>
      <c r="M8" s="403"/>
      <c r="N8" s="403"/>
      <c r="O8" s="404"/>
      <c r="P8"/>
    </row>
    <row r="9" spans="1:18" ht="49.15" customHeight="1" x14ac:dyDescent="0.2">
      <c r="A9" s="410" t="s">
        <v>123</v>
      </c>
      <c r="B9" s="411"/>
      <c r="C9" s="411"/>
      <c r="D9" s="402"/>
      <c r="E9" s="403"/>
      <c r="F9" s="403"/>
      <c r="G9" s="403"/>
      <c r="H9" s="402"/>
      <c r="I9" s="403"/>
      <c r="J9" s="403"/>
      <c r="K9" s="403"/>
      <c r="L9" s="402"/>
      <c r="M9" s="403"/>
      <c r="N9" s="403"/>
      <c r="O9" s="404"/>
      <c r="P9"/>
    </row>
    <row r="10" spans="1:18" ht="28.5" customHeight="1" x14ac:dyDescent="0.2">
      <c r="A10" s="412" t="s">
        <v>124</v>
      </c>
      <c r="B10" s="413"/>
      <c r="C10" s="413"/>
      <c r="D10" s="414"/>
      <c r="E10" s="415"/>
      <c r="F10" s="415"/>
      <c r="G10" s="415"/>
      <c r="H10" s="414"/>
      <c r="I10" s="415"/>
      <c r="J10" s="415"/>
      <c r="K10" s="415"/>
      <c r="L10" s="414"/>
      <c r="M10" s="415"/>
      <c r="N10" s="415"/>
      <c r="O10" s="416"/>
      <c r="P10"/>
    </row>
    <row r="11" spans="1:18" ht="15.75" customHeight="1" x14ac:dyDescent="0.2">
      <c r="A11" s="5"/>
      <c r="B11" s="205"/>
      <c r="C11" s="205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5"/>
      <c r="P11"/>
    </row>
    <row r="12" spans="1:18" ht="101.25" x14ac:dyDescent="0.2">
      <c r="A12" s="409" t="s">
        <v>125</v>
      </c>
      <c r="B12" s="409"/>
      <c r="C12"/>
      <c r="D12" s="211" t="str">
        <f>'CCT E VT'!$A$4</f>
        <v>Oficial de Manutenção Predial I (Eletricista/Instalador-Reparador de Reders Telefônicas e de comunicação de dados) –  CBO 5143-25 - Jornada 44h semanais</v>
      </c>
      <c r="E12" s="211" t="str">
        <f>'CCT E VT'!$A$4</f>
        <v>Oficial de Manutenção Predial I (Eletricista/Instalador-Reparador de Reders Telefônicas e de comunicação de dados) –  CBO 5143-25 - Jornada 44h semanais</v>
      </c>
      <c r="F12" s="211" t="str">
        <f>'CCT E VT'!$A$4</f>
        <v>Oficial de Manutenção Predial I (Eletricista/Instalador-Reparador de Reders Telefônicas e de comunicação de dados) –  CBO 5143-25 - Jornada 44h semanais</v>
      </c>
      <c r="G12" s="211" t="str">
        <f>'CCT E VT'!$A$7</f>
        <v>Oficial de Manutenção Predial II (Pedreiro/Bombeiro Hidráulico) – CBO 5143-25 -  Jornada 44h semanais</v>
      </c>
      <c r="H12" s="211" t="str">
        <f>'CCT E VT'!$A$7</f>
        <v>Oficial de Manutenção Predial II (Pedreiro/Bombeiro Hidráulico) – CBO 5143-25 -  Jornada 44h semanais</v>
      </c>
      <c r="I12" s="211" t="str">
        <f>'CCT E VT'!$A$7</f>
        <v>Oficial de Manutenção Predial II (Pedreiro/Bombeiro Hidráulico) – CBO 5143-25 -  Jornada 44h semanais</v>
      </c>
      <c r="J12" s="211" t="str">
        <f>'CCT E VT'!$A$10</f>
        <v>Auxiliar de manutenção predial (Auxiliar Eletricista/Hidráulica/Pedreiro) – CBO 5143-10 - Jornada de 44h semanais</v>
      </c>
      <c r="K12" s="211" t="str">
        <f>'CCT E VT'!$A$10</f>
        <v>Auxiliar de manutenção predial (Auxiliar Eletricista/Hidráulica/Pedreiro) – CBO 5143-10 - Jornada de 44h semanais</v>
      </c>
      <c r="L12" s="211" t="str">
        <f>'CCT E VT'!$A$10</f>
        <v>Auxiliar de manutenção predial (Auxiliar Eletricista/Hidráulica/Pedreiro) – CBO 5143-10 - Jornada de 44h semanais</v>
      </c>
      <c r="M12" s="208" t="str">
        <f>'CCT E VT'!$A$15</f>
        <v>Encarregado de Manutenção – CBO 7102-05 - Jornada 44h semanais</v>
      </c>
      <c r="N12" s="213" t="str">
        <f>'CCT E VT'!A13</f>
        <v>Engenheiro Civil - Jornada 30h semanais</v>
      </c>
      <c r="O12" s="208" t="str">
        <f>'CCT E VT'!A14</f>
        <v>Engenheiro Eletricista - Jornada 30h semanais</v>
      </c>
      <c r="P12"/>
    </row>
    <row r="13" spans="1:18" x14ac:dyDescent="0.2">
      <c r="A13" s="408" t="s">
        <v>126</v>
      </c>
      <c r="B13" s="408"/>
      <c r="C13"/>
      <c r="D13" s="354" t="s">
        <v>801</v>
      </c>
      <c r="E13" s="354" t="s">
        <v>804</v>
      </c>
      <c r="F13" s="354"/>
      <c r="G13" s="354" t="s">
        <v>801</v>
      </c>
      <c r="H13" s="354" t="s">
        <v>804</v>
      </c>
      <c r="I13" s="354"/>
      <c r="J13" s="354" t="s">
        <v>801</v>
      </c>
      <c r="K13" s="354" t="s">
        <v>804</v>
      </c>
      <c r="L13" s="354"/>
      <c r="M13" s="354" t="s">
        <v>801</v>
      </c>
      <c r="N13" s="354" t="s">
        <v>801</v>
      </c>
      <c r="O13" s="354" t="s">
        <v>801</v>
      </c>
      <c r="P13"/>
    </row>
    <row r="14" spans="1:18" x14ac:dyDescent="0.2">
      <c r="A14" s="408" t="s">
        <v>127</v>
      </c>
      <c r="B14" s="408"/>
      <c r="C14"/>
      <c r="D14" s="355">
        <f>'CCT E VT'!$D4</f>
        <v>0</v>
      </c>
      <c r="E14" s="355">
        <f>'CCT E VT'!$D5</f>
        <v>0</v>
      </c>
      <c r="F14" s="355">
        <f>'CCT E VT'!$D6</f>
        <v>0</v>
      </c>
      <c r="G14" s="355">
        <f>'CCT E VT'!$D7</f>
        <v>0</v>
      </c>
      <c r="H14" s="355">
        <f>'CCT E VT'!$D8</f>
        <v>0</v>
      </c>
      <c r="I14" s="355">
        <f>'CCT E VT'!$D9</f>
        <v>0</v>
      </c>
      <c r="J14" s="355">
        <f>'CCT E VT'!$D10</f>
        <v>0</v>
      </c>
      <c r="K14" s="355">
        <f>'CCT E VT'!$D11</f>
        <v>0</v>
      </c>
      <c r="L14" s="355">
        <f>'CCT E VT'!$D12</f>
        <v>0</v>
      </c>
      <c r="M14" s="355">
        <f>'CCT E VT'!$D15</f>
        <v>0</v>
      </c>
      <c r="N14" s="356">
        <f>'CCT E VT'!$D13</f>
        <v>0</v>
      </c>
      <c r="O14" s="355">
        <f>'CCT E VT'!$D14</f>
        <v>0</v>
      </c>
      <c r="P14"/>
    </row>
    <row r="15" spans="1:18" x14ac:dyDescent="0.2">
      <c r="A15" s="408" t="s">
        <v>128</v>
      </c>
      <c r="B15" s="408"/>
      <c r="C15"/>
      <c r="D15" s="357" t="s">
        <v>129</v>
      </c>
      <c r="E15" s="357" t="s">
        <v>129</v>
      </c>
      <c r="F15" s="357"/>
      <c r="G15" s="357" t="s">
        <v>130</v>
      </c>
      <c r="H15" s="357" t="s">
        <v>130</v>
      </c>
      <c r="I15" s="357"/>
      <c r="J15" s="357" t="s">
        <v>131</v>
      </c>
      <c r="K15" s="357" t="s">
        <v>131</v>
      </c>
      <c r="L15" s="357"/>
      <c r="M15" s="357" t="s">
        <v>132</v>
      </c>
      <c r="N15" s="358"/>
      <c r="O15" s="357"/>
      <c r="P15" s="421"/>
      <c r="Q15" s="421"/>
      <c r="R15" s="421"/>
    </row>
    <row r="16" spans="1:18" ht="34.5" customHeight="1" x14ac:dyDescent="0.2">
      <c r="A16" s="420" t="s">
        <v>133</v>
      </c>
      <c r="B16" s="207" t="s">
        <v>134</v>
      </c>
      <c r="C16"/>
      <c r="D16" s="357">
        <f>D3</f>
        <v>0</v>
      </c>
      <c r="E16" s="357">
        <f>$H$3</f>
        <v>0</v>
      </c>
      <c r="F16" s="357"/>
      <c r="G16" s="357">
        <f>$D$3</f>
        <v>0</v>
      </c>
      <c r="H16" s="357">
        <f>$H$3</f>
        <v>0</v>
      </c>
      <c r="I16" s="357"/>
      <c r="J16" s="357">
        <f>$D$3</f>
        <v>0</v>
      </c>
      <c r="K16" s="357">
        <f>$H$3</f>
        <v>0</v>
      </c>
      <c r="L16" s="357"/>
      <c r="M16" s="357">
        <f>$D$3</f>
        <v>0</v>
      </c>
      <c r="N16" s="358"/>
      <c r="O16" s="357"/>
      <c r="P16" s="25"/>
      <c r="Q16" s="25"/>
      <c r="R16" s="25"/>
    </row>
    <row r="17" spans="1:15" ht="26.25" customHeight="1" x14ac:dyDescent="0.2">
      <c r="A17" s="420"/>
      <c r="B17" s="206" t="s">
        <v>135</v>
      </c>
      <c r="C17"/>
      <c r="D17" s="359">
        <f>MAX(0,'CCT E VT'!$D$18*'III-A.1 - Memorial de Cálculo'!$B$6*2-'III-A.1 - Memorial de Cálculo'!$B$10*D14)</f>
        <v>0</v>
      </c>
      <c r="E17" s="359">
        <f>MAX(0,'CCT E VT'!$D$19*'III-A.1 - Memorial de Cálculo'!$B$6*2-'III-A.1 - Memorial de Cálculo'!$B$10*E14)</f>
        <v>0</v>
      </c>
      <c r="F17" s="359">
        <f>MAX(0,'CCT E VT'!$D$20*'III-A.1 - Memorial de Cálculo'!$B$6*2-'III-A.1 - Memorial de Cálculo'!$B$10*F14)</f>
        <v>0</v>
      </c>
      <c r="G17" s="359">
        <f>MAX(0,'CCT E VT'!$D$18*'III-A.1 - Memorial de Cálculo'!$B$6*2-'III-A.1 - Memorial de Cálculo'!$B$10*G14)</f>
        <v>0</v>
      </c>
      <c r="H17" s="359">
        <f>MAX(0,'CCT E VT'!$D$19*'III-A.1 - Memorial de Cálculo'!$B$6*2-'III-A.1 - Memorial de Cálculo'!$B$10*H14)</f>
        <v>0</v>
      </c>
      <c r="I17" s="359">
        <f>MAX(0,'CCT E VT'!$D$20*'III-A.1 - Memorial de Cálculo'!$B$6*2-'III-A.1 - Memorial de Cálculo'!$B$10*I14)</f>
        <v>0</v>
      </c>
      <c r="J17" s="359">
        <f>MAX(0,'CCT E VT'!$D$18*'III-A.1 - Memorial de Cálculo'!$B$6*2-'III-A.1 - Memorial de Cálculo'!$B$10*J14)</f>
        <v>0</v>
      </c>
      <c r="K17" s="359">
        <f>MAX(0,'CCT E VT'!$D$19*'III-A.1 - Memorial de Cálculo'!$B$6*2-'III-A.1 - Memorial de Cálculo'!$B$10*K14)</f>
        <v>0</v>
      </c>
      <c r="L17" s="359">
        <f>MAX(0,'CCT E VT'!$D$20*'III-A.1 - Memorial de Cálculo'!$B$6*2-'III-A.1 - Memorial de Cálculo'!$B$10*L14)</f>
        <v>0</v>
      </c>
      <c r="M17" s="359">
        <f>MAX(0,'CCT E VT'!$D$18*'III-A.1 - Memorial de Cálculo'!$B$6*2-'III-A.1 - Memorial de Cálculo'!$B$10*M14)</f>
        <v>0</v>
      </c>
      <c r="N17" s="359">
        <f>IF('CCT E VT'!$D$18*'III-A.1 - Memorial de Cálculo'!$B$6*2-0.06*N14&lt;0,0,'CCT E VT'!$D$18*'III-A.1 - Memorial de Cálculo'!$B$6*2-0.06*N14)</f>
        <v>0</v>
      </c>
      <c r="O17" s="359">
        <f>IF('CCT E VT'!$D$18*'III-A.1 - Memorial de Cálculo'!$B$6*2-0.06*O14&lt;0,0,'CCT E VT'!$D$18*'III-A.1 - Memorial de Cálculo'!$B$6*2-0.06*O14)</f>
        <v>0</v>
      </c>
    </row>
    <row r="18" spans="1:15" ht="22.5" x14ac:dyDescent="0.2">
      <c r="A18" s="420"/>
      <c r="B18" s="206" t="s">
        <v>136</v>
      </c>
      <c r="C18"/>
      <c r="D18" s="359">
        <f>SUM('CCT E VT'!$D$23:$D$23)*'III-A.1 - Memorial de Cálculo'!$B$6+'CCT E VT'!$D24</f>
        <v>0</v>
      </c>
      <c r="E18" s="359">
        <f>SUM('CCT E VT'!$D$23:$D$23)*'III-A.1 - Memorial de Cálculo'!$B$6+'CCT E VT'!$D24</f>
        <v>0</v>
      </c>
      <c r="F18" s="359"/>
      <c r="G18" s="359">
        <f>SUM('CCT E VT'!$D$23:$D$23)*'III-A.1 - Memorial de Cálculo'!$B$6+'CCT E VT'!$D24</f>
        <v>0</v>
      </c>
      <c r="H18" s="359">
        <f>SUM('CCT E VT'!$D$23:$D$23)*'III-A.1 - Memorial de Cálculo'!$B$6+'CCT E VT'!$D24</f>
        <v>0</v>
      </c>
      <c r="I18" s="359"/>
      <c r="J18" s="359">
        <f>SUM('CCT E VT'!$D$23:$D$23)*'III-A.1 - Memorial de Cálculo'!$B$6+'CCT E VT'!$D24</f>
        <v>0</v>
      </c>
      <c r="K18" s="359">
        <f>SUM('CCT E VT'!$D$23:$D$23)*'III-A.1 - Memorial de Cálculo'!$B$6+'CCT E VT'!$D24</f>
        <v>0</v>
      </c>
      <c r="L18" s="359"/>
      <c r="M18" s="359">
        <f>SUM('CCT E VT'!$D$23:$D$23)*'III-A.1 - Memorial de Cálculo'!$B$6+'CCT E VT'!$D24</f>
        <v>0</v>
      </c>
      <c r="N18" s="360"/>
      <c r="O18" s="359"/>
    </row>
    <row r="19" spans="1:15" ht="22.5" x14ac:dyDescent="0.2">
      <c r="A19" s="420"/>
      <c r="B19" s="206" t="s">
        <v>137</v>
      </c>
      <c r="C19"/>
      <c r="D19" s="220"/>
      <c r="E19" s="210"/>
      <c r="F19" s="210"/>
      <c r="G19" s="210"/>
      <c r="H19" s="210"/>
      <c r="I19" s="210"/>
      <c r="J19" s="210"/>
      <c r="K19" s="210"/>
      <c r="L19" s="210"/>
      <c r="M19" s="210"/>
      <c r="N19" s="322"/>
      <c r="O19" s="210"/>
    </row>
    <row r="20" spans="1:15" ht="22.5" x14ac:dyDescent="0.2">
      <c r="A20" s="420"/>
      <c r="B20" s="206" t="s">
        <v>138</v>
      </c>
      <c r="C2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322"/>
      <c r="O20" s="210"/>
    </row>
    <row r="21" spans="1:15" ht="45" x14ac:dyDescent="0.2">
      <c r="A21" s="420"/>
      <c r="B21" s="206" t="s">
        <v>139</v>
      </c>
      <c r="C21"/>
      <c r="D21" s="359">
        <f>SUM('CCT E VT'!$D27:$D28)</f>
        <v>0</v>
      </c>
      <c r="E21" s="359">
        <f>SUM('CCT E VT'!$D27:$D28)</f>
        <v>0</v>
      </c>
      <c r="F21" s="359"/>
      <c r="G21" s="359">
        <f>SUM('CCT E VT'!$D27:$D28)</f>
        <v>0</v>
      </c>
      <c r="H21" s="359">
        <f>SUM('CCT E VT'!$D27:$D28)</f>
        <v>0</v>
      </c>
      <c r="I21" s="359"/>
      <c r="J21" s="359">
        <f>SUM('CCT E VT'!$D27:$D28)</f>
        <v>0</v>
      </c>
      <c r="K21" s="359">
        <f>SUM('CCT E VT'!$D27:$D28)</f>
        <v>0</v>
      </c>
      <c r="L21" s="359"/>
      <c r="M21" s="359">
        <f>SUM('CCT E VT'!$D27:$D28)</f>
        <v>0</v>
      </c>
      <c r="N21" s="360"/>
      <c r="O21" s="359"/>
    </row>
    <row r="22" spans="1:15" x14ac:dyDescent="0.2">
      <c r="A22" s="408" t="s">
        <v>140</v>
      </c>
      <c r="B22" s="408"/>
      <c r="C22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322"/>
      <c r="O22" s="210"/>
    </row>
    <row r="23" spans="1:15" x14ac:dyDescent="0.2">
      <c r="A23"/>
      <c r="B23"/>
      <c r="C2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ht="22.5" x14ac:dyDescent="0.2">
      <c r="A24" s="66" t="s">
        <v>141</v>
      </c>
      <c r="B24" s="67"/>
      <c r="C24"/>
      <c r="D24" s="68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</row>
    <row r="25" spans="1:15" x14ac:dyDescent="0.2">
      <c r="A25" s="71" t="s">
        <v>142</v>
      </c>
      <c r="B25" s="1" t="s">
        <v>143</v>
      </c>
      <c r="C25"/>
      <c r="D25" s="72" t="s">
        <v>144</v>
      </c>
      <c r="E25" s="72" t="s">
        <v>144</v>
      </c>
      <c r="F25" s="72" t="s">
        <v>144</v>
      </c>
      <c r="G25" s="72" t="s">
        <v>144</v>
      </c>
      <c r="H25" s="72" t="s">
        <v>144</v>
      </c>
      <c r="I25" s="72" t="s">
        <v>144</v>
      </c>
      <c r="J25" s="72" t="s">
        <v>144</v>
      </c>
      <c r="K25" s="72" t="s">
        <v>144</v>
      </c>
      <c r="L25" s="72" t="s">
        <v>144</v>
      </c>
      <c r="M25" s="72" t="s">
        <v>144</v>
      </c>
      <c r="N25" s="72" t="s">
        <v>144</v>
      </c>
      <c r="O25" s="72" t="s">
        <v>144</v>
      </c>
    </row>
    <row r="26" spans="1:15" x14ac:dyDescent="0.2">
      <c r="A26" s="73" t="s">
        <v>145</v>
      </c>
      <c r="B26" s="74"/>
      <c r="C26"/>
      <c r="D26" s="75">
        <f>D14</f>
        <v>0</v>
      </c>
      <c r="E26" s="75">
        <f t="shared" ref="E26:O26" si="0">E14</f>
        <v>0</v>
      </c>
      <c r="F26" s="75">
        <f t="shared" si="0"/>
        <v>0</v>
      </c>
      <c r="G26" s="75">
        <f t="shared" si="0"/>
        <v>0</v>
      </c>
      <c r="H26" s="75">
        <f t="shared" si="0"/>
        <v>0</v>
      </c>
      <c r="I26" s="75">
        <f t="shared" si="0"/>
        <v>0</v>
      </c>
      <c r="J26" s="75">
        <f t="shared" si="0"/>
        <v>0</v>
      </c>
      <c r="K26" s="75">
        <f t="shared" si="0"/>
        <v>0</v>
      </c>
      <c r="L26" s="75">
        <f t="shared" si="0"/>
        <v>0</v>
      </c>
      <c r="M26" s="75">
        <f>M14</f>
        <v>0</v>
      </c>
      <c r="N26" s="75">
        <f t="shared" si="0"/>
        <v>0</v>
      </c>
      <c r="O26" s="75">
        <f t="shared" si="0"/>
        <v>0</v>
      </c>
    </row>
    <row r="27" spans="1:15" x14ac:dyDescent="0.2">
      <c r="A27" s="73" t="s">
        <v>146</v>
      </c>
      <c r="B27" s="76">
        <v>0.3</v>
      </c>
      <c r="C27"/>
      <c r="D27" s="361">
        <f>$B27*D26</f>
        <v>0</v>
      </c>
      <c r="E27" s="361">
        <f t="shared" ref="E27:F27" si="1">$B27*E26</f>
        <v>0</v>
      </c>
      <c r="F27" s="77">
        <f t="shared" si="1"/>
        <v>0</v>
      </c>
      <c r="G27" s="78"/>
      <c r="H27" s="78"/>
      <c r="I27" s="78"/>
      <c r="J27" s="78"/>
      <c r="K27" s="78"/>
      <c r="L27" s="78"/>
      <c r="M27" s="78"/>
      <c r="N27" s="78"/>
      <c r="O27" s="78"/>
    </row>
    <row r="28" spans="1:15" x14ac:dyDescent="0.2">
      <c r="A28" s="73" t="s">
        <v>147</v>
      </c>
      <c r="B28" s="74"/>
      <c r="C2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 x14ac:dyDescent="0.2">
      <c r="A29" s="73" t="s">
        <v>148</v>
      </c>
      <c r="B29" s="74"/>
      <c r="C29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5" x14ac:dyDescent="0.2">
      <c r="A30" s="73" t="s">
        <v>149</v>
      </c>
      <c r="B30" s="74"/>
      <c r="C30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 x14ac:dyDescent="0.2">
      <c r="A31" s="73" t="s">
        <v>150</v>
      </c>
      <c r="B31" s="74"/>
      <c r="C31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 x14ac:dyDescent="0.2">
      <c r="A32" s="79" t="s">
        <v>151</v>
      </c>
      <c r="B32" s="80"/>
      <c r="C32" s="214"/>
      <c r="D32" s="81">
        <f>SUM(D26:D31)</f>
        <v>0</v>
      </c>
      <c r="E32" s="81">
        <f t="shared" ref="E32:O32" si="2">SUM(E26:E31)</f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81">
        <f>SUM(M26:M31)</f>
        <v>0</v>
      </c>
      <c r="N32" s="81">
        <f t="shared" si="2"/>
        <v>0</v>
      </c>
      <c r="O32" s="81">
        <f t="shared" si="2"/>
        <v>0</v>
      </c>
    </row>
    <row r="33" spans="1:15" x14ac:dyDescent="0.2">
      <c r="A33"/>
      <c r="B33"/>
      <c r="C3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22.5" x14ac:dyDescent="0.2">
      <c r="A34" s="66" t="s">
        <v>152</v>
      </c>
      <c r="B34" s="67"/>
      <c r="C34" s="215"/>
      <c r="D34" s="68"/>
      <c r="E34" s="69"/>
      <c r="F34" s="69"/>
      <c r="G34" s="69"/>
      <c r="H34" s="69"/>
      <c r="I34" s="69"/>
      <c r="J34" s="69"/>
      <c r="K34" s="69"/>
      <c r="L34" s="69"/>
      <c r="M34" s="70"/>
      <c r="N34" s="69"/>
      <c r="O34" s="69"/>
    </row>
    <row r="35" spans="1:15" ht="28.5" customHeight="1" x14ac:dyDescent="0.2">
      <c r="A35" s="82" t="s">
        <v>153</v>
      </c>
      <c r="B35" s="16" t="s">
        <v>143</v>
      </c>
      <c r="C35" s="215"/>
      <c r="D35" s="72" t="s">
        <v>144</v>
      </c>
      <c r="E35" s="72" t="s">
        <v>144</v>
      </c>
      <c r="F35" s="72" t="s">
        <v>144</v>
      </c>
      <c r="G35" s="72" t="s">
        <v>144</v>
      </c>
      <c r="H35" s="72" t="s">
        <v>144</v>
      </c>
      <c r="I35" s="72" t="s">
        <v>144</v>
      </c>
      <c r="J35" s="72" t="s">
        <v>144</v>
      </c>
      <c r="K35" s="72" t="s">
        <v>144</v>
      </c>
      <c r="L35" s="72" t="s">
        <v>144</v>
      </c>
      <c r="M35" s="72" t="s">
        <v>144</v>
      </c>
      <c r="N35" s="72" t="s">
        <v>144</v>
      </c>
      <c r="O35" s="72" t="s">
        <v>144</v>
      </c>
    </row>
    <row r="36" spans="1:15" x14ac:dyDescent="0.2">
      <c r="A36" s="14" t="s">
        <v>154</v>
      </c>
      <c r="B36" s="76">
        <f>1/12</f>
        <v>8.3333333333333329E-2</v>
      </c>
      <c r="C36" s="215"/>
      <c r="D36" s="75">
        <f>$B36*D32</f>
        <v>0</v>
      </c>
      <c r="E36" s="75">
        <f t="shared" ref="E36:O36" si="3">$B36*E32</f>
        <v>0</v>
      </c>
      <c r="F36" s="75">
        <f t="shared" si="3"/>
        <v>0</v>
      </c>
      <c r="G36" s="75">
        <f t="shared" si="3"/>
        <v>0</v>
      </c>
      <c r="H36" s="75">
        <f t="shared" si="3"/>
        <v>0</v>
      </c>
      <c r="I36" s="75">
        <f t="shared" si="3"/>
        <v>0</v>
      </c>
      <c r="J36" s="75">
        <f t="shared" si="3"/>
        <v>0</v>
      </c>
      <c r="K36" s="75">
        <f t="shared" si="3"/>
        <v>0</v>
      </c>
      <c r="L36" s="75">
        <f t="shared" si="3"/>
        <v>0</v>
      </c>
      <c r="M36" s="75">
        <f>$B36*M32</f>
        <v>0</v>
      </c>
      <c r="N36" s="75">
        <f t="shared" si="3"/>
        <v>0</v>
      </c>
      <c r="O36" s="75">
        <f t="shared" si="3"/>
        <v>0</v>
      </c>
    </row>
    <row r="37" spans="1:15" x14ac:dyDescent="0.2">
      <c r="A37" s="14" t="s">
        <v>155</v>
      </c>
      <c r="B37" s="76">
        <f>(1/12/3)</f>
        <v>2.7777777777777776E-2</v>
      </c>
      <c r="C37" s="215"/>
      <c r="D37" s="75">
        <f>$B37*D32</f>
        <v>0</v>
      </c>
      <c r="E37" s="75">
        <f t="shared" ref="E37:O37" si="4">$B37*E32</f>
        <v>0</v>
      </c>
      <c r="F37" s="75">
        <f t="shared" si="4"/>
        <v>0</v>
      </c>
      <c r="G37" s="75">
        <f t="shared" si="4"/>
        <v>0</v>
      </c>
      <c r="H37" s="75">
        <f t="shared" si="4"/>
        <v>0</v>
      </c>
      <c r="I37" s="75">
        <f t="shared" si="4"/>
        <v>0</v>
      </c>
      <c r="J37" s="75">
        <f t="shared" si="4"/>
        <v>0</v>
      </c>
      <c r="K37" s="75">
        <f t="shared" si="4"/>
        <v>0</v>
      </c>
      <c r="L37" s="75">
        <f t="shared" si="4"/>
        <v>0</v>
      </c>
      <c r="M37" s="75">
        <f>$B37*M32</f>
        <v>0</v>
      </c>
      <c r="N37" s="75">
        <f t="shared" si="4"/>
        <v>0</v>
      </c>
      <c r="O37" s="75">
        <f t="shared" si="4"/>
        <v>0</v>
      </c>
    </row>
    <row r="38" spans="1:15" x14ac:dyDescent="0.2">
      <c r="A38" s="83" t="s">
        <v>156</v>
      </c>
      <c r="B38" s="84">
        <f>SUM(B36:B37)</f>
        <v>0.1111111111111111</v>
      </c>
      <c r="C38" s="214"/>
      <c r="D38" s="85">
        <f>SUM(D36:D37)</f>
        <v>0</v>
      </c>
      <c r="E38" s="85">
        <f t="shared" ref="E38:O38" si="5">SUM(E36:E37)</f>
        <v>0</v>
      </c>
      <c r="F38" s="85">
        <f t="shared" si="5"/>
        <v>0</v>
      </c>
      <c r="G38" s="85">
        <f t="shared" si="5"/>
        <v>0</v>
      </c>
      <c r="H38" s="85">
        <f t="shared" si="5"/>
        <v>0</v>
      </c>
      <c r="I38" s="85">
        <f t="shared" si="5"/>
        <v>0</v>
      </c>
      <c r="J38" s="85">
        <f t="shared" si="5"/>
        <v>0</v>
      </c>
      <c r="K38" s="85">
        <f t="shared" si="5"/>
        <v>0</v>
      </c>
      <c r="L38" s="85">
        <f t="shared" si="5"/>
        <v>0</v>
      </c>
      <c r="M38" s="85">
        <f>SUM(M36:M37)</f>
        <v>0</v>
      </c>
      <c r="N38" s="85">
        <f t="shared" si="5"/>
        <v>0</v>
      </c>
      <c r="O38" s="85">
        <f t="shared" si="5"/>
        <v>0</v>
      </c>
    </row>
    <row r="39" spans="1:15" ht="22.5" x14ac:dyDescent="0.2">
      <c r="A39" s="82" t="s">
        <v>157</v>
      </c>
      <c r="B39" s="16" t="s">
        <v>143</v>
      </c>
      <c r="C39" s="215"/>
      <c r="D39" s="86" t="s">
        <v>144</v>
      </c>
      <c r="E39" s="86" t="s">
        <v>144</v>
      </c>
      <c r="F39" s="86" t="s">
        <v>144</v>
      </c>
      <c r="G39" s="86" t="s">
        <v>144</v>
      </c>
      <c r="H39" s="86" t="s">
        <v>144</v>
      </c>
      <c r="I39" s="86" t="s">
        <v>144</v>
      </c>
      <c r="J39" s="86" t="s">
        <v>144</v>
      </c>
      <c r="K39" s="86" t="s">
        <v>144</v>
      </c>
      <c r="L39" s="86" t="s">
        <v>144</v>
      </c>
      <c r="M39" s="86" t="s">
        <v>144</v>
      </c>
      <c r="N39" s="86" t="s">
        <v>144</v>
      </c>
      <c r="O39" s="86" t="s">
        <v>144</v>
      </c>
    </row>
    <row r="40" spans="1:15" ht="39.75" x14ac:dyDescent="0.2">
      <c r="A40" s="14" t="s">
        <v>158</v>
      </c>
      <c r="B40" s="76">
        <f>IF('II - Planilha Consolidada'!G49="DESONERADO",0,0.2)</f>
        <v>0</v>
      </c>
      <c r="C40" s="215"/>
      <c r="D40" s="75">
        <f>$B40*(D32+D38)</f>
        <v>0</v>
      </c>
      <c r="E40" s="75">
        <f t="shared" ref="E40:O40" si="6">$B40*(E32+E38)</f>
        <v>0</v>
      </c>
      <c r="F40" s="75">
        <f t="shared" si="6"/>
        <v>0</v>
      </c>
      <c r="G40" s="75">
        <f t="shared" si="6"/>
        <v>0</v>
      </c>
      <c r="H40" s="75">
        <f t="shared" si="6"/>
        <v>0</v>
      </c>
      <c r="I40" s="75">
        <f t="shared" si="6"/>
        <v>0</v>
      </c>
      <c r="J40" s="75">
        <f t="shared" si="6"/>
        <v>0</v>
      </c>
      <c r="K40" s="75">
        <f t="shared" si="6"/>
        <v>0</v>
      </c>
      <c r="L40" s="75">
        <f t="shared" si="6"/>
        <v>0</v>
      </c>
      <c r="M40" s="75">
        <f>$B40*(M32+M38)</f>
        <v>0</v>
      </c>
      <c r="N40" s="75">
        <f t="shared" si="6"/>
        <v>0</v>
      </c>
      <c r="O40" s="75">
        <f t="shared" si="6"/>
        <v>0</v>
      </c>
    </row>
    <row r="41" spans="1:15" x14ac:dyDescent="0.2">
      <c r="A41" s="14" t="s">
        <v>159</v>
      </c>
      <c r="B41" s="76">
        <v>2.5000000000000001E-2</v>
      </c>
      <c r="C41" s="215"/>
      <c r="D41" s="75">
        <f>$B41*(D$32+D$38)</f>
        <v>0</v>
      </c>
      <c r="E41" s="75">
        <f t="shared" ref="E41:O41" si="7">$B41*(E$32+E$38)</f>
        <v>0</v>
      </c>
      <c r="F41" s="75">
        <f t="shared" si="7"/>
        <v>0</v>
      </c>
      <c r="G41" s="75">
        <f t="shared" si="7"/>
        <v>0</v>
      </c>
      <c r="H41" s="75">
        <f t="shared" si="7"/>
        <v>0</v>
      </c>
      <c r="I41" s="75">
        <f t="shared" si="7"/>
        <v>0</v>
      </c>
      <c r="J41" s="75">
        <f t="shared" si="7"/>
        <v>0</v>
      </c>
      <c r="K41" s="75">
        <f t="shared" si="7"/>
        <v>0</v>
      </c>
      <c r="L41" s="75">
        <f t="shared" si="7"/>
        <v>0</v>
      </c>
      <c r="M41" s="75">
        <f t="shared" ref="M41:M47" si="8">$B41*(M$32+M$38)</f>
        <v>0</v>
      </c>
      <c r="N41" s="75">
        <f t="shared" si="7"/>
        <v>0</v>
      </c>
      <c r="O41" s="75">
        <f t="shared" si="7"/>
        <v>0</v>
      </c>
    </row>
    <row r="42" spans="1:15" ht="39.75" x14ac:dyDescent="0.2">
      <c r="A42" s="14" t="s">
        <v>160</v>
      </c>
      <c r="B42" s="76">
        <v>0.03</v>
      </c>
      <c r="C42" s="215"/>
      <c r="D42" s="75">
        <f t="shared" ref="D42:O47" si="9">$B42*(D$32+D$38)</f>
        <v>0</v>
      </c>
      <c r="E42" s="75">
        <f t="shared" si="9"/>
        <v>0</v>
      </c>
      <c r="F42" s="75">
        <f t="shared" si="9"/>
        <v>0</v>
      </c>
      <c r="G42" s="75">
        <f t="shared" si="9"/>
        <v>0</v>
      </c>
      <c r="H42" s="75">
        <f t="shared" si="9"/>
        <v>0</v>
      </c>
      <c r="I42" s="75">
        <f t="shared" si="9"/>
        <v>0</v>
      </c>
      <c r="J42" s="75">
        <f t="shared" si="9"/>
        <v>0</v>
      </c>
      <c r="K42" s="75">
        <f t="shared" si="9"/>
        <v>0</v>
      </c>
      <c r="L42" s="75">
        <f t="shared" si="9"/>
        <v>0</v>
      </c>
      <c r="M42" s="75">
        <f t="shared" si="8"/>
        <v>0</v>
      </c>
      <c r="N42" s="75">
        <f t="shared" si="9"/>
        <v>0</v>
      </c>
      <c r="O42" s="75">
        <f t="shared" si="9"/>
        <v>0</v>
      </c>
    </row>
    <row r="43" spans="1:15" x14ac:dyDescent="0.2">
      <c r="A43" s="14" t="s">
        <v>161</v>
      </c>
      <c r="B43" s="76">
        <v>1.4999999999999999E-2</v>
      </c>
      <c r="C43" s="215"/>
      <c r="D43" s="75">
        <f t="shared" si="9"/>
        <v>0</v>
      </c>
      <c r="E43" s="75">
        <f t="shared" si="9"/>
        <v>0</v>
      </c>
      <c r="F43" s="75">
        <f t="shared" si="9"/>
        <v>0</v>
      </c>
      <c r="G43" s="75">
        <f t="shared" si="9"/>
        <v>0</v>
      </c>
      <c r="H43" s="75">
        <f t="shared" si="9"/>
        <v>0</v>
      </c>
      <c r="I43" s="75">
        <f t="shared" si="9"/>
        <v>0</v>
      </c>
      <c r="J43" s="75">
        <f t="shared" si="9"/>
        <v>0</v>
      </c>
      <c r="K43" s="75">
        <f t="shared" si="9"/>
        <v>0</v>
      </c>
      <c r="L43" s="75">
        <f t="shared" si="9"/>
        <v>0</v>
      </c>
      <c r="M43" s="75">
        <f t="shared" si="8"/>
        <v>0</v>
      </c>
      <c r="N43" s="75">
        <f t="shared" si="9"/>
        <v>0</v>
      </c>
      <c r="O43" s="75">
        <f t="shared" si="9"/>
        <v>0</v>
      </c>
    </row>
    <row r="44" spans="1:15" x14ac:dyDescent="0.2">
      <c r="A44" s="14" t="s">
        <v>162</v>
      </c>
      <c r="B44" s="76">
        <v>0.01</v>
      </c>
      <c r="C44" s="215"/>
      <c r="D44" s="75">
        <f t="shared" si="9"/>
        <v>0</v>
      </c>
      <c r="E44" s="75">
        <f t="shared" si="9"/>
        <v>0</v>
      </c>
      <c r="F44" s="75">
        <f t="shared" si="9"/>
        <v>0</v>
      </c>
      <c r="G44" s="75">
        <f t="shared" si="9"/>
        <v>0</v>
      </c>
      <c r="H44" s="75">
        <f t="shared" si="9"/>
        <v>0</v>
      </c>
      <c r="I44" s="75">
        <f t="shared" si="9"/>
        <v>0</v>
      </c>
      <c r="J44" s="75">
        <f t="shared" si="9"/>
        <v>0</v>
      </c>
      <c r="K44" s="75">
        <f t="shared" si="9"/>
        <v>0</v>
      </c>
      <c r="L44" s="75">
        <f t="shared" si="9"/>
        <v>0</v>
      </c>
      <c r="M44" s="75">
        <f t="shared" si="8"/>
        <v>0</v>
      </c>
      <c r="N44" s="75">
        <f t="shared" si="9"/>
        <v>0</v>
      </c>
      <c r="O44" s="75">
        <f t="shared" si="9"/>
        <v>0</v>
      </c>
    </row>
    <row r="45" spans="1:15" x14ac:dyDescent="0.2">
      <c r="A45" s="14" t="s">
        <v>163</v>
      </c>
      <c r="B45" s="76">
        <v>6.0000000000000001E-3</v>
      </c>
      <c r="C45" s="215"/>
      <c r="D45" s="75">
        <f t="shared" si="9"/>
        <v>0</v>
      </c>
      <c r="E45" s="75">
        <f t="shared" si="9"/>
        <v>0</v>
      </c>
      <c r="F45" s="75">
        <f t="shared" si="9"/>
        <v>0</v>
      </c>
      <c r="G45" s="75">
        <f t="shared" si="9"/>
        <v>0</v>
      </c>
      <c r="H45" s="75">
        <f t="shared" si="9"/>
        <v>0</v>
      </c>
      <c r="I45" s="75">
        <f t="shared" si="9"/>
        <v>0</v>
      </c>
      <c r="J45" s="75">
        <f t="shared" si="9"/>
        <v>0</v>
      </c>
      <c r="K45" s="75">
        <f t="shared" si="9"/>
        <v>0</v>
      </c>
      <c r="L45" s="75">
        <f t="shared" si="9"/>
        <v>0</v>
      </c>
      <c r="M45" s="75">
        <f t="shared" si="8"/>
        <v>0</v>
      </c>
      <c r="N45" s="75">
        <f t="shared" si="9"/>
        <v>0</v>
      </c>
      <c r="O45" s="75">
        <f t="shared" si="9"/>
        <v>0</v>
      </c>
    </row>
    <row r="46" spans="1:15" x14ac:dyDescent="0.2">
      <c r="A46" s="14" t="s">
        <v>164</v>
      </c>
      <c r="B46" s="76">
        <v>2E-3</v>
      </c>
      <c r="C46" s="215"/>
      <c r="D46" s="75">
        <f t="shared" si="9"/>
        <v>0</v>
      </c>
      <c r="E46" s="75">
        <f t="shared" si="9"/>
        <v>0</v>
      </c>
      <c r="F46" s="75">
        <f t="shared" si="9"/>
        <v>0</v>
      </c>
      <c r="G46" s="75">
        <f t="shared" si="9"/>
        <v>0</v>
      </c>
      <c r="H46" s="75">
        <f t="shared" si="9"/>
        <v>0</v>
      </c>
      <c r="I46" s="75">
        <f t="shared" si="9"/>
        <v>0</v>
      </c>
      <c r="J46" s="75">
        <f t="shared" si="9"/>
        <v>0</v>
      </c>
      <c r="K46" s="75">
        <f t="shared" si="9"/>
        <v>0</v>
      </c>
      <c r="L46" s="75">
        <f t="shared" si="9"/>
        <v>0</v>
      </c>
      <c r="M46" s="75">
        <f t="shared" si="8"/>
        <v>0</v>
      </c>
      <c r="N46" s="75">
        <f t="shared" si="9"/>
        <v>0</v>
      </c>
      <c r="O46" s="75">
        <f t="shared" si="9"/>
        <v>0</v>
      </c>
    </row>
    <row r="47" spans="1:15" x14ac:dyDescent="0.2">
      <c r="A47" s="14" t="s">
        <v>165</v>
      </c>
      <c r="B47" s="76">
        <v>0.08</v>
      </c>
      <c r="C47" s="215"/>
      <c r="D47" s="75">
        <f t="shared" si="9"/>
        <v>0</v>
      </c>
      <c r="E47" s="75">
        <f t="shared" si="9"/>
        <v>0</v>
      </c>
      <c r="F47" s="75">
        <f t="shared" si="9"/>
        <v>0</v>
      </c>
      <c r="G47" s="75">
        <f t="shared" si="9"/>
        <v>0</v>
      </c>
      <c r="H47" s="75">
        <f t="shared" si="9"/>
        <v>0</v>
      </c>
      <c r="I47" s="75">
        <f t="shared" si="9"/>
        <v>0</v>
      </c>
      <c r="J47" s="75">
        <f t="shared" si="9"/>
        <v>0</v>
      </c>
      <c r="K47" s="75">
        <f t="shared" si="9"/>
        <v>0</v>
      </c>
      <c r="L47" s="75">
        <f t="shared" si="9"/>
        <v>0</v>
      </c>
      <c r="M47" s="75">
        <f t="shared" si="8"/>
        <v>0</v>
      </c>
      <c r="N47" s="75">
        <f t="shared" si="9"/>
        <v>0</v>
      </c>
      <c r="O47" s="75">
        <f t="shared" si="9"/>
        <v>0</v>
      </c>
    </row>
    <row r="48" spans="1:15" x14ac:dyDescent="0.2">
      <c r="A48" s="83" t="s">
        <v>156</v>
      </c>
      <c r="B48" s="84">
        <f>SUM(B40:B47)</f>
        <v>0.16800000000000001</v>
      </c>
      <c r="C48" s="214"/>
      <c r="D48" s="85">
        <f>SUM(D40:D47)</f>
        <v>0</v>
      </c>
      <c r="E48" s="85">
        <f t="shared" ref="E48:O48" si="10">SUM(E40:E47)</f>
        <v>0</v>
      </c>
      <c r="F48" s="85">
        <f t="shared" si="10"/>
        <v>0</v>
      </c>
      <c r="G48" s="85">
        <f t="shared" si="10"/>
        <v>0</v>
      </c>
      <c r="H48" s="85">
        <f t="shared" si="10"/>
        <v>0</v>
      </c>
      <c r="I48" s="85">
        <f t="shared" si="10"/>
        <v>0</v>
      </c>
      <c r="J48" s="85">
        <f t="shared" si="10"/>
        <v>0</v>
      </c>
      <c r="K48" s="85">
        <f t="shared" si="10"/>
        <v>0</v>
      </c>
      <c r="L48" s="85">
        <f t="shared" si="10"/>
        <v>0</v>
      </c>
      <c r="M48" s="85">
        <f>SUM(M40:M47)</f>
        <v>0</v>
      </c>
      <c r="N48" s="85">
        <f t="shared" si="10"/>
        <v>0</v>
      </c>
      <c r="O48" s="85">
        <f t="shared" si="10"/>
        <v>0</v>
      </c>
    </row>
    <row r="49" spans="1:15" x14ac:dyDescent="0.2">
      <c r="A49" s="82" t="s">
        <v>166</v>
      </c>
      <c r="B49" s="16" t="s">
        <v>167</v>
      </c>
      <c r="C49" s="215"/>
      <c r="D49" s="72" t="s">
        <v>144</v>
      </c>
      <c r="E49" s="72" t="s">
        <v>144</v>
      </c>
      <c r="F49" s="72" t="s">
        <v>144</v>
      </c>
      <c r="G49" s="72" t="s">
        <v>144</v>
      </c>
      <c r="H49" s="72" t="s">
        <v>144</v>
      </c>
      <c r="I49" s="72" t="s">
        <v>144</v>
      </c>
      <c r="J49" s="72" t="s">
        <v>144</v>
      </c>
      <c r="K49" s="72" t="s">
        <v>144</v>
      </c>
      <c r="L49" s="72" t="s">
        <v>144</v>
      </c>
      <c r="M49" s="72" t="s">
        <v>144</v>
      </c>
      <c r="N49" s="72" t="s">
        <v>144</v>
      </c>
      <c r="O49" s="72" t="s">
        <v>144</v>
      </c>
    </row>
    <row r="50" spans="1:15" x14ac:dyDescent="0.2">
      <c r="A50" s="14" t="s">
        <v>168</v>
      </c>
      <c r="B50" s="74"/>
      <c r="C50" s="215"/>
      <c r="D50" s="87">
        <f>D17</f>
        <v>0</v>
      </c>
      <c r="E50" s="87">
        <f t="shared" ref="E50:O50" si="11">E17</f>
        <v>0</v>
      </c>
      <c r="F50" s="87">
        <f t="shared" si="11"/>
        <v>0</v>
      </c>
      <c r="G50" s="87">
        <f t="shared" si="11"/>
        <v>0</v>
      </c>
      <c r="H50" s="87">
        <f t="shared" si="11"/>
        <v>0</v>
      </c>
      <c r="I50" s="87">
        <f t="shared" si="11"/>
        <v>0</v>
      </c>
      <c r="J50" s="87">
        <f t="shared" si="11"/>
        <v>0</v>
      </c>
      <c r="K50" s="87">
        <f t="shared" si="11"/>
        <v>0</v>
      </c>
      <c r="L50" s="87">
        <f t="shared" si="11"/>
        <v>0</v>
      </c>
      <c r="M50" s="87">
        <f>M17</f>
        <v>0</v>
      </c>
      <c r="N50" s="87">
        <f t="shared" si="11"/>
        <v>0</v>
      </c>
      <c r="O50" s="87">
        <f t="shared" si="11"/>
        <v>0</v>
      </c>
    </row>
    <row r="51" spans="1:15" x14ac:dyDescent="0.2">
      <c r="A51" s="14" t="s">
        <v>169</v>
      </c>
      <c r="B51" s="74"/>
      <c r="C51" s="215"/>
      <c r="D51" s="87">
        <f>D18</f>
        <v>0</v>
      </c>
      <c r="E51" s="87">
        <f t="shared" ref="E51:O51" si="12">E18</f>
        <v>0</v>
      </c>
      <c r="F51" s="87">
        <f t="shared" si="12"/>
        <v>0</v>
      </c>
      <c r="G51" s="87">
        <f t="shared" si="12"/>
        <v>0</v>
      </c>
      <c r="H51" s="87">
        <f t="shared" si="12"/>
        <v>0</v>
      </c>
      <c r="I51" s="87">
        <f t="shared" si="12"/>
        <v>0</v>
      </c>
      <c r="J51" s="87">
        <f t="shared" si="12"/>
        <v>0</v>
      </c>
      <c r="K51" s="87">
        <f t="shared" si="12"/>
        <v>0</v>
      </c>
      <c r="L51" s="87">
        <f t="shared" si="12"/>
        <v>0</v>
      </c>
      <c r="M51" s="87">
        <f>M18</f>
        <v>0</v>
      </c>
      <c r="N51" s="87">
        <f t="shared" si="12"/>
        <v>0</v>
      </c>
      <c r="O51" s="87">
        <f t="shared" si="12"/>
        <v>0</v>
      </c>
    </row>
    <row r="52" spans="1:15" x14ac:dyDescent="0.2">
      <c r="A52" s="14" t="s">
        <v>170</v>
      </c>
      <c r="B52" s="74"/>
      <c r="C52" s="215"/>
      <c r="D52" s="87">
        <f>D19</f>
        <v>0</v>
      </c>
      <c r="E52" s="87">
        <f t="shared" ref="E52:O52" si="13">E19</f>
        <v>0</v>
      </c>
      <c r="F52" s="87">
        <f t="shared" si="13"/>
        <v>0</v>
      </c>
      <c r="G52" s="87">
        <f t="shared" si="13"/>
        <v>0</v>
      </c>
      <c r="H52" s="87">
        <f t="shared" si="13"/>
        <v>0</v>
      </c>
      <c r="I52" s="87">
        <f t="shared" si="13"/>
        <v>0</v>
      </c>
      <c r="J52" s="87">
        <f t="shared" si="13"/>
        <v>0</v>
      </c>
      <c r="K52" s="87">
        <f t="shared" si="13"/>
        <v>0</v>
      </c>
      <c r="L52" s="87">
        <f t="shared" si="13"/>
        <v>0</v>
      </c>
      <c r="M52" s="87">
        <f>M19</f>
        <v>0</v>
      </c>
      <c r="N52" s="87">
        <f t="shared" si="13"/>
        <v>0</v>
      </c>
      <c r="O52" s="87">
        <f t="shared" si="13"/>
        <v>0</v>
      </c>
    </row>
    <row r="53" spans="1:15" x14ac:dyDescent="0.2">
      <c r="A53" s="14" t="s">
        <v>171</v>
      </c>
      <c r="B53" s="74"/>
      <c r="C53" s="215"/>
      <c r="D53" s="87">
        <f>D20</f>
        <v>0</v>
      </c>
      <c r="E53" s="87">
        <f t="shared" ref="E53:O53" si="14">E20</f>
        <v>0</v>
      </c>
      <c r="F53" s="87">
        <f t="shared" si="14"/>
        <v>0</v>
      </c>
      <c r="G53" s="87">
        <f t="shared" si="14"/>
        <v>0</v>
      </c>
      <c r="H53" s="87">
        <f t="shared" si="14"/>
        <v>0</v>
      </c>
      <c r="I53" s="87">
        <f t="shared" si="14"/>
        <v>0</v>
      </c>
      <c r="J53" s="87">
        <f t="shared" si="14"/>
        <v>0</v>
      </c>
      <c r="K53" s="87">
        <f t="shared" si="14"/>
        <v>0</v>
      </c>
      <c r="L53" s="87">
        <f t="shared" si="14"/>
        <v>0</v>
      </c>
      <c r="M53" s="87">
        <f>M20</f>
        <v>0</v>
      </c>
      <c r="N53" s="87">
        <f t="shared" si="14"/>
        <v>0</v>
      </c>
      <c r="O53" s="87">
        <f t="shared" si="14"/>
        <v>0</v>
      </c>
    </row>
    <row r="54" spans="1:15" x14ac:dyDescent="0.2">
      <c r="A54" s="14" t="s">
        <v>172</v>
      </c>
      <c r="B54" s="74"/>
      <c r="C54" s="215"/>
      <c r="D54" s="87">
        <f>D21</f>
        <v>0</v>
      </c>
      <c r="E54" s="87">
        <f t="shared" ref="E54:O54" si="15">E21</f>
        <v>0</v>
      </c>
      <c r="F54" s="87">
        <f t="shared" si="15"/>
        <v>0</v>
      </c>
      <c r="G54" s="87">
        <f t="shared" si="15"/>
        <v>0</v>
      </c>
      <c r="H54" s="87">
        <f t="shared" si="15"/>
        <v>0</v>
      </c>
      <c r="I54" s="87">
        <f t="shared" si="15"/>
        <v>0</v>
      </c>
      <c r="J54" s="87">
        <f t="shared" si="15"/>
        <v>0</v>
      </c>
      <c r="K54" s="87">
        <f t="shared" si="15"/>
        <v>0</v>
      </c>
      <c r="L54" s="87">
        <f t="shared" si="15"/>
        <v>0</v>
      </c>
      <c r="M54" s="87">
        <f>M21</f>
        <v>0</v>
      </c>
      <c r="N54" s="87">
        <f t="shared" si="15"/>
        <v>0</v>
      </c>
      <c r="O54" s="87">
        <f t="shared" si="15"/>
        <v>0</v>
      </c>
    </row>
    <row r="55" spans="1:15" x14ac:dyDescent="0.2">
      <c r="A55" s="83" t="s">
        <v>156</v>
      </c>
      <c r="B55" s="88"/>
      <c r="C55" s="214"/>
      <c r="D55" s="85">
        <f>SUM(D50:D54)</f>
        <v>0</v>
      </c>
      <c r="E55" s="85">
        <f t="shared" ref="E55:O55" si="16">SUM(E50:E54)</f>
        <v>0</v>
      </c>
      <c r="F55" s="85">
        <f t="shared" si="16"/>
        <v>0</v>
      </c>
      <c r="G55" s="85">
        <f t="shared" si="16"/>
        <v>0</v>
      </c>
      <c r="H55" s="85">
        <f t="shared" si="16"/>
        <v>0</v>
      </c>
      <c r="I55" s="85">
        <f t="shared" si="16"/>
        <v>0</v>
      </c>
      <c r="J55" s="85">
        <f t="shared" si="16"/>
        <v>0</v>
      </c>
      <c r="K55" s="85">
        <f t="shared" si="16"/>
        <v>0</v>
      </c>
      <c r="L55" s="85">
        <f t="shared" si="16"/>
        <v>0</v>
      </c>
      <c r="M55" s="85">
        <f>SUM(M50:M54)</f>
        <v>0</v>
      </c>
      <c r="N55" s="85">
        <f t="shared" si="16"/>
        <v>0</v>
      </c>
      <c r="O55" s="85">
        <f t="shared" si="16"/>
        <v>0</v>
      </c>
    </row>
    <row r="56" spans="1:15" ht="22.5" x14ac:dyDescent="0.2">
      <c r="A56" s="66" t="s">
        <v>173</v>
      </c>
      <c r="B56" s="67"/>
      <c r="C56" s="215"/>
      <c r="D56" s="64" t="s">
        <v>144</v>
      </c>
      <c r="E56" s="64" t="s">
        <v>144</v>
      </c>
      <c r="F56" s="64" t="s">
        <v>144</v>
      </c>
      <c r="G56" s="64" t="s">
        <v>144</v>
      </c>
      <c r="H56" s="64" t="s">
        <v>144</v>
      </c>
      <c r="I56" s="64" t="s">
        <v>144</v>
      </c>
      <c r="J56" s="64" t="s">
        <v>144</v>
      </c>
      <c r="K56" s="64" t="s">
        <v>144</v>
      </c>
      <c r="L56" s="64" t="s">
        <v>144</v>
      </c>
      <c r="M56" s="64" t="s">
        <v>144</v>
      </c>
      <c r="N56" s="64" t="s">
        <v>144</v>
      </c>
      <c r="O56" s="64" t="s">
        <v>144</v>
      </c>
    </row>
    <row r="57" spans="1:15" ht="22.5" x14ac:dyDescent="0.2">
      <c r="A57" s="14" t="s">
        <v>153</v>
      </c>
      <c r="B57" s="74"/>
      <c r="C57" s="215"/>
      <c r="D57" s="75">
        <f>D38</f>
        <v>0</v>
      </c>
      <c r="E57" s="75">
        <f t="shared" ref="E57:O57" si="17">E38</f>
        <v>0</v>
      </c>
      <c r="F57" s="75">
        <f t="shared" si="17"/>
        <v>0</v>
      </c>
      <c r="G57" s="75">
        <f t="shared" si="17"/>
        <v>0</v>
      </c>
      <c r="H57" s="75">
        <f t="shared" si="17"/>
        <v>0</v>
      </c>
      <c r="I57" s="75">
        <f t="shared" si="17"/>
        <v>0</v>
      </c>
      <c r="J57" s="75">
        <f t="shared" si="17"/>
        <v>0</v>
      </c>
      <c r="K57" s="75">
        <f t="shared" si="17"/>
        <v>0</v>
      </c>
      <c r="L57" s="75">
        <f t="shared" si="17"/>
        <v>0</v>
      </c>
      <c r="M57" s="75">
        <f>M38</f>
        <v>0</v>
      </c>
      <c r="N57" s="75">
        <f t="shared" si="17"/>
        <v>0</v>
      </c>
      <c r="O57" s="75">
        <f t="shared" si="17"/>
        <v>0</v>
      </c>
    </row>
    <row r="58" spans="1:15" x14ac:dyDescent="0.2">
      <c r="A58" s="14" t="s">
        <v>174</v>
      </c>
      <c r="B58" s="74"/>
      <c r="C58" s="215"/>
      <c r="D58" s="75">
        <f>D48</f>
        <v>0</v>
      </c>
      <c r="E58" s="75">
        <f t="shared" ref="E58:O58" si="18">E48</f>
        <v>0</v>
      </c>
      <c r="F58" s="75">
        <f t="shared" si="18"/>
        <v>0</v>
      </c>
      <c r="G58" s="75">
        <f t="shared" si="18"/>
        <v>0</v>
      </c>
      <c r="H58" s="75">
        <f t="shared" si="18"/>
        <v>0</v>
      </c>
      <c r="I58" s="75">
        <f t="shared" si="18"/>
        <v>0</v>
      </c>
      <c r="J58" s="75">
        <f t="shared" si="18"/>
        <v>0</v>
      </c>
      <c r="K58" s="75">
        <f t="shared" si="18"/>
        <v>0</v>
      </c>
      <c r="L58" s="75">
        <f t="shared" si="18"/>
        <v>0</v>
      </c>
      <c r="M58" s="75">
        <f>M48</f>
        <v>0</v>
      </c>
      <c r="N58" s="75">
        <f t="shared" si="18"/>
        <v>0</v>
      </c>
      <c r="O58" s="75">
        <f t="shared" si="18"/>
        <v>0</v>
      </c>
    </row>
    <row r="59" spans="1:15" x14ac:dyDescent="0.2">
      <c r="A59" s="14" t="s">
        <v>166</v>
      </c>
      <c r="B59" s="74"/>
      <c r="C59" s="215"/>
      <c r="D59" s="75">
        <f>D55</f>
        <v>0</v>
      </c>
      <c r="E59" s="75">
        <f t="shared" ref="E59:O59" si="19">E55</f>
        <v>0</v>
      </c>
      <c r="F59" s="75">
        <f t="shared" si="19"/>
        <v>0</v>
      </c>
      <c r="G59" s="75">
        <f t="shared" si="19"/>
        <v>0</v>
      </c>
      <c r="H59" s="75">
        <f t="shared" si="19"/>
        <v>0</v>
      </c>
      <c r="I59" s="75">
        <f t="shared" si="19"/>
        <v>0</v>
      </c>
      <c r="J59" s="75">
        <f t="shared" si="19"/>
        <v>0</v>
      </c>
      <c r="K59" s="75">
        <f t="shared" si="19"/>
        <v>0</v>
      </c>
      <c r="L59" s="75">
        <f t="shared" si="19"/>
        <v>0</v>
      </c>
      <c r="M59" s="75">
        <f>M55</f>
        <v>0</v>
      </c>
      <c r="N59" s="75">
        <f t="shared" si="19"/>
        <v>0</v>
      </c>
      <c r="O59" s="75">
        <f t="shared" si="19"/>
        <v>0</v>
      </c>
    </row>
    <row r="60" spans="1:15" ht="15" x14ac:dyDescent="0.25">
      <c r="A60" s="89" t="s">
        <v>151</v>
      </c>
      <c r="B60" s="90"/>
      <c r="C60" s="214"/>
      <c r="D60" s="81">
        <f>SUM(D57:D59)</f>
        <v>0</v>
      </c>
      <c r="E60" s="81">
        <f t="shared" ref="E60:O60" si="20">SUM(E57:E59)</f>
        <v>0</v>
      </c>
      <c r="F60" s="81">
        <f t="shared" si="20"/>
        <v>0</v>
      </c>
      <c r="G60" s="81">
        <f t="shared" si="20"/>
        <v>0</v>
      </c>
      <c r="H60" s="81">
        <f t="shared" si="20"/>
        <v>0</v>
      </c>
      <c r="I60" s="81">
        <f t="shared" si="20"/>
        <v>0</v>
      </c>
      <c r="J60" s="81">
        <f t="shared" si="20"/>
        <v>0</v>
      </c>
      <c r="K60" s="81">
        <f t="shared" si="20"/>
        <v>0</v>
      </c>
      <c r="L60" s="81">
        <f t="shared" si="20"/>
        <v>0</v>
      </c>
      <c r="M60" s="81">
        <f>SUM(M57:M59)</f>
        <v>0</v>
      </c>
      <c r="N60" s="81">
        <f t="shared" si="20"/>
        <v>0</v>
      </c>
      <c r="O60" s="81">
        <f t="shared" si="20"/>
        <v>0</v>
      </c>
    </row>
    <row r="61" spans="1:15" x14ac:dyDescent="0.2">
      <c r="A61"/>
      <c r="B61"/>
      <c r="C61" s="215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x14ac:dyDescent="0.2">
      <c r="A62" s="66" t="s">
        <v>175</v>
      </c>
      <c r="B62" s="67"/>
      <c r="C62" s="215"/>
      <c r="D62" s="68"/>
      <c r="E62" s="69"/>
      <c r="F62" s="69"/>
      <c r="G62" s="69"/>
      <c r="H62" s="69"/>
      <c r="I62" s="69"/>
      <c r="J62" s="69"/>
      <c r="K62" s="69"/>
      <c r="L62" s="69"/>
      <c r="M62" s="70"/>
      <c r="N62" s="69"/>
      <c r="O62" s="69"/>
    </row>
    <row r="63" spans="1:15" x14ac:dyDescent="0.2">
      <c r="A63" s="82" t="s">
        <v>176</v>
      </c>
      <c r="B63" s="16" t="s">
        <v>143</v>
      </c>
      <c r="C63" s="215"/>
      <c r="D63" s="72" t="s">
        <v>144</v>
      </c>
      <c r="E63" s="72" t="s">
        <v>144</v>
      </c>
      <c r="F63" s="72" t="s">
        <v>144</v>
      </c>
      <c r="G63" s="72" t="s">
        <v>144</v>
      </c>
      <c r="H63" s="72" t="s">
        <v>144</v>
      </c>
      <c r="I63" s="72" t="s">
        <v>144</v>
      </c>
      <c r="J63" s="72" t="s">
        <v>144</v>
      </c>
      <c r="K63" s="72" t="s">
        <v>144</v>
      </c>
      <c r="L63" s="72" t="s">
        <v>144</v>
      </c>
      <c r="M63" s="72" t="s">
        <v>144</v>
      </c>
      <c r="N63" s="72" t="s">
        <v>144</v>
      </c>
      <c r="O63" s="72" t="s">
        <v>144</v>
      </c>
    </row>
    <row r="64" spans="1:15" x14ac:dyDescent="0.2">
      <c r="A64" s="14" t="s">
        <v>177</v>
      </c>
      <c r="B64" s="91">
        <f>1/12*0.05</f>
        <v>4.1666666666666666E-3</v>
      </c>
      <c r="C64" s="215"/>
      <c r="D64" s="75">
        <f t="shared" ref="D64:D69" si="21">$B64*(D$32+D$38)</f>
        <v>0</v>
      </c>
      <c r="E64" s="75">
        <f t="shared" ref="E64:O69" si="22">$B64*(E$32+E$38)</f>
        <v>0</v>
      </c>
      <c r="F64" s="75">
        <f t="shared" si="22"/>
        <v>0</v>
      </c>
      <c r="G64" s="75">
        <f t="shared" si="22"/>
        <v>0</v>
      </c>
      <c r="H64" s="75">
        <f t="shared" si="22"/>
        <v>0</v>
      </c>
      <c r="I64" s="75">
        <f t="shared" si="22"/>
        <v>0</v>
      </c>
      <c r="J64" s="75">
        <f t="shared" si="22"/>
        <v>0</v>
      </c>
      <c r="K64" s="75">
        <f t="shared" si="22"/>
        <v>0</v>
      </c>
      <c r="L64" s="75">
        <f t="shared" si="22"/>
        <v>0</v>
      </c>
      <c r="M64" s="75">
        <f t="shared" ref="M64:M69" si="23">$B64*(M$32+M$38)</f>
        <v>0</v>
      </c>
      <c r="N64" s="75">
        <f t="shared" si="22"/>
        <v>0</v>
      </c>
      <c r="O64" s="75">
        <f t="shared" si="22"/>
        <v>0</v>
      </c>
    </row>
    <row r="65" spans="1:15" ht="22.5" x14ac:dyDescent="0.2">
      <c r="A65" s="14" t="s">
        <v>178</v>
      </c>
      <c r="B65" s="76">
        <f>B47*B64</f>
        <v>3.3333333333333332E-4</v>
      </c>
      <c r="C65" s="215"/>
      <c r="D65" s="75">
        <f t="shared" si="21"/>
        <v>0</v>
      </c>
      <c r="E65" s="75">
        <f t="shared" si="22"/>
        <v>0</v>
      </c>
      <c r="F65" s="75">
        <f t="shared" si="22"/>
        <v>0</v>
      </c>
      <c r="G65" s="75">
        <f t="shared" si="22"/>
        <v>0</v>
      </c>
      <c r="H65" s="75">
        <f t="shared" si="22"/>
        <v>0</v>
      </c>
      <c r="I65" s="75">
        <f t="shared" si="22"/>
        <v>0</v>
      </c>
      <c r="J65" s="75">
        <f t="shared" si="22"/>
        <v>0</v>
      </c>
      <c r="K65" s="75">
        <f t="shared" si="22"/>
        <v>0</v>
      </c>
      <c r="L65" s="75">
        <f t="shared" si="22"/>
        <v>0</v>
      </c>
      <c r="M65" s="75">
        <f t="shared" si="23"/>
        <v>0</v>
      </c>
      <c r="N65" s="75">
        <f t="shared" si="22"/>
        <v>0</v>
      </c>
      <c r="O65" s="75">
        <f t="shared" si="22"/>
        <v>0</v>
      </c>
    </row>
    <row r="66" spans="1:15" ht="165" customHeight="1" x14ac:dyDescent="0.2">
      <c r="A66" s="14" t="s">
        <v>179</v>
      </c>
      <c r="B66" s="74"/>
      <c r="C66" s="215"/>
      <c r="D66" s="75">
        <f t="shared" si="21"/>
        <v>0</v>
      </c>
      <c r="E66" s="75">
        <f t="shared" si="22"/>
        <v>0</v>
      </c>
      <c r="F66" s="75">
        <f t="shared" si="22"/>
        <v>0</v>
      </c>
      <c r="G66" s="75">
        <f t="shared" si="22"/>
        <v>0</v>
      </c>
      <c r="H66" s="75">
        <f t="shared" si="22"/>
        <v>0</v>
      </c>
      <c r="I66" s="75">
        <f t="shared" si="22"/>
        <v>0</v>
      </c>
      <c r="J66" s="75">
        <f t="shared" si="22"/>
        <v>0</v>
      </c>
      <c r="K66" s="75">
        <f t="shared" si="22"/>
        <v>0</v>
      </c>
      <c r="L66" s="75">
        <f t="shared" si="22"/>
        <v>0</v>
      </c>
      <c r="M66" s="75">
        <f t="shared" si="23"/>
        <v>0</v>
      </c>
      <c r="N66" s="75">
        <f t="shared" si="22"/>
        <v>0</v>
      </c>
      <c r="O66" s="75">
        <f t="shared" si="22"/>
        <v>0</v>
      </c>
    </row>
    <row r="67" spans="1:15" ht="102.75" customHeight="1" x14ac:dyDescent="0.2">
      <c r="A67" s="14" t="s">
        <v>180</v>
      </c>
      <c r="B67" s="91">
        <f>1/30*7/12</f>
        <v>1.9444444444444445E-2</v>
      </c>
      <c r="C67" s="215"/>
      <c r="D67" s="75">
        <f t="shared" si="21"/>
        <v>0</v>
      </c>
      <c r="E67" s="75">
        <f t="shared" si="22"/>
        <v>0</v>
      </c>
      <c r="F67" s="75">
        <f t="shared" si="22"/>
        <v>0</v>
      </c>
      <c r="G67" s="75">
        <f t="shared" si="22"/>
        <v>0</v>
      </c>
      <c r="H67" s="75">
        <f t="shared" si="22"/>
        <v>0</v>
      </c>
      <c r="I67" s="75">
        <f t="shared" si="22"/>
        <v>0</v>
      </c>
      <c r="J67" s="75">
        <f t="shared" si="22"/>
        <v>0</v>
      </c>
      <c r="K67" s="75">
        <f t="shared" si="22"/>
        <v>0</v>
      </c>
      <c r="L67" s="75">
        <f t="shared" si="22"/>
        <v>0</v>
      </c>
      <c r="M67" s="75">
        <f t="shared" si="23"/>
        <v>0</v>
      </c>
      <c r="N67" s="75">
        <f t="shared" si="22"/>
        <v>0</v>
      </c>
      <c r="O67" s="75">
        <f t="shared" si="22"/>
        <v>0</v>
      </c>
    </row>
    <row r="68" spans="1:15" ht="33.75" x14ac:dyDescent="0.2">
      <c r="A68" s="14" t="s">
        <v>181</v>
      </c>
      <c r="B68" s="76">
        <f>B48*B67</f>
        <v>3.2666666666666669E-3</v>
      </c>
      <c r="C68" s="215"/>
      <c r="D68" s="75">
        <f t="shared" si="21"/>
        <v>0</v>
      </c>
      <c r="E68" s="75">
        <f t="shared" si="22"/>
        <v>0</v>
      </c>
      <c r="F68" s="75">
        <f t="shared" si="22"/>
        <v>0</v>
      </c>
      <c r="G68" s="75">
        <f t="shared" si="22"/>
        <v>0</v>
      </c>
      <c r="H68" s="75">
        <f t="shared" si="22"/>
        <v>0</v>
      </c>
      <c r="I68" s="75">
        <f t="shared" si="22"/>
        <v>0</v>
      </c>
      <c r="J68" s="75">
        <f t="shared" si="22"/>
        <v>0</v>
      </c>
      <c r="K68" s="75">
        <f t="shared" si="22"/>
        <v>0</v>
      </c>
      <c r="L68" s="75">
        <f t="shared" si="22"/>
        <v>0</v>
      </c>
      <c r="M68" s="75">
        <f t="shared" si="23"/>
        <v>0</v>
      </c>
      <c r="N68" s="75">
        <f t="shared" si="22"/>
        <v>0</v>
      </c>
      <c r="O68" s="75">
        <f t="shared" si="22"/>
        <v>0</v>
      </c>
    </row>
    <row r="69" spans="1:15" ht="22.5" x14ac:dyDescent="0.2">
      <c r="A69" s="14" t="s">
        <v>182</v>
      </c>
      <c r="B69" s="92">
        <f>0.08*0.4*0.9*(1+1/12+1/12+1/3*1/12)</f>
        <v>3.4399999999999993E-2</v>
      </c>
      <c r="C69" s="215"/>
      <c r="D69" s="75">
        <f t="shared" si="21"/>
        <v>0</v>
      </c>
      <c r="E69" s="75">
        <f t="shared" si="22"/>
        <v>0</v>
      </c>
      <c r="F69" s="75">
        <f t="shared" si="22"/>
        <v>0</v>
      </c>
      <c r="G69" s="75">
        <f t="shared" si="22"/>
        <v>0</v>
      </c>
      <c r="H69" s="75">
        <f t="shared" si="22"/>
        <v>0</v>
      </c>
      <c r="I69" s="75">
        <f t="shared" si="22"/>
        <v>0</v>
      </c>
      <c r="J69" s="75">
        <f t="shared" si="22"/>
        <v>0</v>
      </c>
      <c r="K69" s="75">
        <f t="shared" si="22"/>
        <v>0</v>
      </c>
      <c r="L69" s="75">
        <f t="shared" si="22"/>
        <v>0</v>
      </c>
      <c r="M69" s="75">
        <f t="shared" si="23"/>
        <v>0</v>
      </c>
      <c r="N69" s="75">
        <f t="shared" si="22"/>
        <v>0</v>
      </c>
      <c r="O69" s="75">
        <f t="shared" si="22"/>
        <v>0</v>
      </c>
    </row>
    <row r="70" spans="1:15" x14ac:dyDescent="0.2">
      <c r="A70" s="79" t="s">
        <v>151</v>
      </c>
      <c r="B70" s="93">
        <f>SUM(B64:B69)</f>
        <v>6.1611111111111103E-2</v>
      </c>
      <c r="C70" s="214"/>
      <c r="D70" s="81">
        <f>SUM(D64:D69)</f>
        <v>0</v>
      </c>
      <c r="E70" s="81">
        <f t="shared" ref="E70:O70" si="24">SUM(E64:E69)</f>
        <v>0</v>
      </c>
      <c r="F70" s="81">
        <f t="shared" si="24"/>
        <v>0</v>
      </c>
      <c r="G70" s="81">
        <f t="shared" si="24"/>
        <v>0</v>
      </c>
      <c r="H70" s="81">
        <f t="shared" si="24"/>
        <v>0</v>
      </c>
      <c r="I70" s="81">
        <f t="shared" si="24"/>
        <v>0</v>
      </c>
      <c r="J70" s="81">
        <f t="shared" si="24"/>
        <v>0</v>
      </c>
      <c r="K70" s="81">
        <f t="shared" si="24"/>
        <v>0</v>
      </c>
      <c r="L70" s="81">
        <f t="shared" si="24"/>
        <v>0</v>
      </c>
      <c r="M70" s="81">
        <f>SUM(M64:M69)</f>
        <v>0</v>
      </c>
      <c r="N70" s="81">
        <f t="shared" si="24"/>
        <v>0</v>
      </c>
      <c r="O70" s="81">
        <f t="shared" si="24"/>
        <v>0</v>
      </c>
    </row>
    <row r="71" spans="1:15" x14ac:dyDescent="0.2">
      <c r="A71"/>
      <c r="B71"/>
      <c r="C71" s="215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ht="30" customHeight="1" x14ac:dyDescent="0.2">
      <c r="A72" s="66" t="s">
        <v>183</v>
      </c>
      <c r="B72" s="67"/>
      <c r="C72" s="215"/>
      <c r="D72" s="68"/>
      <c r="E72" s="69"/>
      <c r="F72" s="69"/>
      <c r="G72" s="69"/>
      <c r="H72" s="69"/>
      <c r="I72" s="69"/>
      <c r="J72" s="69"/>
      <c r="K72" s="69"/>
      <c r="L72" s="69"/>
      <c r="M72" s="70"/>
      <c r="N72" s="69"/>
      <c r="O72" s="69"/>
    </row>
    <row r="73" spans="1:15" x14ac:dyDescent="0.2">
      <c r="A73" s="82" t="s">
        <v>184</v>
      </c>
      <c r="B73" s="16" t="s">
        <v>143</v>
      </c>
      <c r="C73" s="215"/>
      <c r="D73" s="72" t="s">
        <v>144</v>
      </c>
      <c r="E73" s="72" t="s">
        <v>144</v>
      </c>
      <c r="F73" s="72" t="s">
        <v>144</v>
      </c>
      <c r="G73" s="72" t="s">
        <v>144</v>
      </c>
      <c r="H73" s="72" t="s">
        <v>144</v>
      </c>
      <c r="I73" s="72" t="s">
        <v>144</v>
      </c>
      <c r="J73" s="72" t="s">
        <v>144</v>
      </c>
      <c r="K73" s="72" t="s">
        <v>144</v>
      </c>
      <c r="L73" s="72" t="s">
        <v>144</v>
      </c>
      <c r="M73" s="72" t="s">
        <v>144</v>
      </c>
      <c r="N73" s="72" t="s">
        <v>144</v>
      </c>
      <c r="O73" s="72" t="s">
        <v>144</v>
      </c>
    </row>
    <row r="74" spans="1:15" ht="22.5" x14ac:dyDescent="0.2">
      <c r="A74" s="14" t="s">
        <v>185</v>
      </c>
      <c r="B74" s="94">
        <f>1/12</f>
        <v>8.3333333333333329E-2</v>
      </c>
      <c r="C74" s="215"/>
      <c r="D74" s="75">
        <f t="shared" ref="D74:E77" si="25">$B74*(D$32+D$60+D$70)</f>
        <v>0</v>
      </c>
      <c r="E74" s="75">
        <f t="shared" si="25"/>
        <v>0</v>
      </c>
      <c r="F74" s="75">
        <f t="shared" ref="F74:O77" si="26">$B74*(F$32+F$60+F$70)</f>
        <v>0</v>
      </c>
      <c r="G74" s="75">
        <f t="shared" si="26"/>
        <v>0</v>
      </c>
      <c r="H74" s="75">
        <f t="shared" si="26"/>
        <v>0</v>
      </c>
      <c r="I74" s="75">
        <f t="shared" si="26"/>
        <v>0</v>
      </c>
      <c r="J74" s="75">
        <f t="shared" si="26"/>
        <v>0</v>
      </c>
      <c r="K74" s="75">
        <f t="shared" si="26"/>
        <v>0</v>
      </c>
      <c r="L74" s="75">
        <f t="shared" si="26"/>
        <v>0</v>
      </c>
      <c r="M74" s="75">
        <f>$B74*(M$32+M$60+M$70)</f>
        <v>0</v>
      </c>
      <c r="N74" s="75">
        <f t="shared" si="26"/>
        <v>0</v>
      </c>
      <c r="O74" s="75">
        <f t="shared" si="26"/>
        <v>0</v>
      </c>
    </row>
    <row r="75" spans="1:15" ht="22.5" x14ac:dyDescent="0.2">
      <c r="A75" s="14" t="s">
        <v>186</v>
      </c>
      <c r="B75" s="91">
        <f>4.886/30.4375/12</f>
        <v>1.3377138945927446E-2</v>
      </c>
      <c r="C75" s="215"/>
      <c r="D75" s="75">
        <f t="shared" si="25"/>
        <v>0</v>
      </c>
      <c r="E75" s="75">
        <f t="shared" si="25"/>
        <v>0</v>
      </c>
      <c r="F75" s="75">
        <f t="shared" si="26"/>
        <v>0</v>
      </c>
      <c r="G75" s="75">
        <f t="shared" si="26"/>
        <v>0</v>
      </c>
      <c r="H75" s="75">
        <f t="shared" si="26"/>
        <v>0</v>
      </c>
      <c r="I75" s="75">
        <f t="shared" si="26"/>
        <v>0</v>
      </c>
      <c r="J75" s="75">
        <f t="shared" si="26"/>
        <v>0</v>
      </c>
      <c r="K75" s="75">
        <f t="shared" si="26"/>
        <v>0</v>
      </c>
      <c r="L75" s="75">
        <f t="shared" si="26"/>
        <v>0</v>
      </c>
      <c r="M75" s="75">
        <f>$B75*(M$32+M$60+M$70)</f>
        <v>0</v>
      </c>
      <c r="N75" s="75">
        <f t="shared" si="26"/>
        <v>0</v>
      </c>
      <c r="O75" s="75">
        <f t="shared" si="26"/>
        <v>0</v>
      </c>
    </row>
    <row r="76" spans="1:15" ht="22.5" x14ac:dyDescent="0.2">
      <c r="A76" s="14" t="s">
        <v>187</v>
      </c>
      <c r="B76" s="91">
        <f>5/30.4375/12*0.015*0.95</f>
        <v>1.9507186858316218E-4</v>
      </c>
      <c r="C76" s="215"/>
      <c r="D76" s="75">
        <f t="shared" si="25"/>
        <v>0</v>
      </c>
      <c r="E76" s="75">
        <f t="shared" si="25"/>
        <v>0</v>
      </c>
      <c r="F76" s="75">
        <f t="shared" si="26"/>
        <v>0</v>
      </c>
      <c r="G76" s="75">
        <f t="shared" si="26"/>
        <v>0</v>
      </c>
      <c r="H76" s="75">
        <f t="shared" si="26"/>
        <v>0</v>
      </c>
      <c r="I76" s="75">
        <f t="shared" si="26"/>
        <v>0</v>
      </c>
      <c r="J76" s="75">
        <f t="shared" si="26"/>
        <v>0</v>
      </c>
      <c r="K76" s="75">
        <f t="shared" si="26"/>
        <v>0</v>
      </c>
      <c r="L76" s="75">
        <f t="shared" si="26"/>
        <v>0</v>
      </c>
      <c r="M76" s="75">
        <f>$B76*(M$32+M$60+M$70)</f>
        <v>0</v>
      </c>
      <c r="N76" s="75">
        <f t="shared" si="26"/>
        <v>0</v>
      </c>
      <c r="O76" s="75">
        <f t="shared" si="26"/>
        <v>0</v>
      </c>
    </row>
    <row r="77" spans="1:15" ht="22.5" x14ac:dyDescent="0.2">
      <c r="A77" s="14" t="s">
        <v>188</v>
      </c>
      <c r="B77" s="91">
        <f>0.9545/30.4375/12</f>
        <v>2.613278576317591E-3</v>
      </c>
      <c r="C77" s="215"/>
      <c r="D77" s="75">
        <f t="shared" si="25"/>
        <v>0</v>
      </c>
      <c r="E77" s="75">
        <f t="shared" si="25"/>
        <v>0</v>
      </c>
      <c r="F77" s="75">
        <f t="shared" si="26"/>
        <v>0</v>
      </c>
      <c r="G77" s="75">
        <f t="shared" si="26"/>
        <v>0</v>
      </c>
      <c r="H77" s="75">
        <f t="shared" si="26"/>
        <v>0</v>
      </c>
      <c r="I77" s="75">
        <f t="shared" si="26"/>
        <v>0</v>
      </c>
      <c r="J77" s="75">
        <f t="shared" si="26"/>
        <v>0</v>
      </c>
      <c r="K77" s="75">
        <f t="shared" si="26"/>
        <v>0</v>
      </c>
      <c r="L77" s="75">
        <f t="shared" si="26"/>
        <v>0</v>
      </c>
      <c r="M77" s="75">
        <f>$B77*(M$32+M$60+M$70)</f>
        <v>0</v>
      </c>
      <c r="N77" s="75">
        <f t="shared" si="26"/>
        <v>0</v>
      </c>
      <c r="O77" s="75">
        <f t="shared" si="26"/>
        <v>0</v>
      </c>
    </row>
    <row r="78" spans="1:15" ht="22.5" x14ac:dyDescent="0.2">
      <c r="A78" s="14" t="s">
        <v>189</v>
      </c>
      <c r="B78" s="91">
        <f>120/30.4375*0.05*0.0032</f>
        <v>6.3080082135523615E-4</v>
      </c>
      <c r="C78" s="215"/>
      <c r="D78" s="75">
        <f>$B78*(D$32+D$32+D$32/3+D$48+D$55-D$50-D$51)</f>
        <v>0</v>
      </c>
      <c r="E78" s="75">
        <f>$B78*(E$32+E$32+E$32/3+E$48+E$55-E$50-E$51)</f>
        <v>0</v>
      </c>
      <c r="F78" s="75">
        <f t="shared" ref="F78:O78" si="27">$B78*(F$32+F$32+F$32/3+F$48+F$55-F$50-F$51)</f>
        <v>0</v>
      </c>
      <c r="G78" s="75">
        <f t="shared" si="27"/>
        <v>0</v>
      </c>
      <c r="H78" s="75">
        <f t="shared" si="27"/>
        <v>0</v>
      </c>
      <c r="I78" s="75">
        <f t="shared" si="27"/>
        <v>0</v>
      </c>
      <c r="J78" s="75">
        <f t="shared" si="27"/>
        <v>0</v>
      </c>
      <c r="K78" s="75">
        <f t="shared" si="27"/>
        <v>0</v>
      </c>
      <c r="L78" s="75">
        <f t="shared" si="27"/>
        <v>0</v>
      </c>
      <c r="M78" s="75">
        <f>$B78*(M$32+M$32+M$32/3+M$48+M$55-M$50-M$51)</f>
        <v>0</v>
      </c>
      <c r="N78" s="75">
        <f t="shared" si="27"/>
        <v>0</v>
      </c>
      <c r="O78" s="75">
        <f t="shared" si="27"/>
        <v>0</v>
      </c>
    </row>
    <row r="79" spans="1:15" x14ac:dyDescent="0.2">
      <c r="A79" s="83" t="s">
        <v>156</v>
      </c>
      <c r="B79" s="84"/>
      <c r="C79" s="214"/>
      <c r="D79" s="85">
        <f>SUM(D74:D78)</f>
        <v>0</v>
      </c>
      <c r="E79" s="85">
        <f>SUM(E74:E78)</f>
        <v>0</v>
      </c>
      <c r="F79" s="85">
        <f t="shared" ref="F79:O79" si="28">SUM(F74:F78)</f>
        <v>0</v>
      </c>
      <c r="G79" s="85">
        <f t="shared" si="28"/>
        <v>0</v>
      </c>
      <c r="H79" s="85">
        <f t="shared" si="28"/>
        <v>0</v>
      </c>
      <c r="I79" s="85">
        <f t="shared" si="28"/>
        <v>0</v>
      </c>
      <c r="J79" s="85">
        <f t="shared" si="28"/>
        <v>0</v>
      </c>
      <c r="K79" s="85">
        <f t="shared" si="28"/>
        <v>0</v>
      </c>
      <c r="L79" s="85">
        <f t="shared" si="28"/>
        <v>0</v>
      </c>
      <c r="M79" s="85">
        <f>SUM(M74:M78)</f>
        <v>0</v>
      </c>
      <c r="N79" s="85">
        <f t="shared" si="28"/>
        <v>0</v>
      </c>
      <c r="O79" s="85">
        <f t="shared" si="28"/>
        <v>0</v>
      </c>
    </row>
    <row r="80" spans="1:15" x14ac:dyDescent="0.2">
      <c r="A80" s="82" t="s">
        <v>190</v>
      </c>
      <c r="B80" s="16" t="s">
        <v>143</v>
      </c>
      <c r="C80" s="215"/>
      <c r="D80" s="72" t="s">
        <v>144</v>
      </c>
      <c r="E80" s="72" t="s">
        <v>144</v>
      </c>
      <c r="F80" s="72" t="s">
        <v>144</v>
      </c>
      <c r="G80" s="72" t="s">
        <v>144</v>
      </c>
      <c r="H80" s="72" t="s">
        <v>144</v>
      </c>
      <c r="I80" s="72" t="s">
        <v>144</v>
      </c>
      <c r="J80" s="72" t="s">
        <v>144</v>
      </c>
      <c r="K80" s="72" t="s">
        <v>144</v>
      </c>
      <c r="L80" s="72" t="s">
        <v>144</v>
      </c>
      <c r="M80" s="72" t="s">
        <v>144</v>
      </c>
      <c r="N80" s="72" t="s">
        <v>144</v>
      </c>
      <c r="O80" s="72" t="s">
        <v>144</v>
      </c>
    </row>
    <row r="81" spans="1:15" ht="36.75" x14ac:dyDescent="0.2">
      <c r="A81" s="14" t="s">
        <v>191</v>
      </c>
      <c r="B81" s="74"/>
      <c r="C81" s="21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</row>
    <row r="82" spans="1:15" x14ac:dyDescent="0.2">
      <c r="A82" s="83" t="s">
        <v>156</v>
      </c>
      <c r="B82" s="88"/>
      <c r="C82" s="214"/>
      <c r="D82" s="85">
        <f>SUM(D81)</f>
        <v>0</v>
      </c>
      <c r="E82" s="85">
        <f t="shared" ref="E82:O82" si="29">SUM(E81)</f>
        <v>0</v>
      </c>
      <c r="F82" s="85">
        <f t="shared" si="29"/>
        <v>0</v>
      </c>
      <c r="G82" s="85">
        <f t="shared" si="29"/>
        <v>0</v>
      </c>
      <c r="H82" s="85">
        <f t="shared" si="29"/>
        <v>0</v>
      </c>
      <c r="I82" s="85">
        <f t="shared" si="29"/>
        <v>0</v>
      </c>
      <c r="J82" s="85">
        <f t="shared" si="29"/>
        <v>0</v>
      </c>
      <c r="K82" s="85">
        <f t="shared" si="29"/>
        <v>0</v>
      </c>
      <c r="L82" s="85">
        <f t="shared" si="29"/>
        <v>0</v>
      </c>
      <c r="M82" s="85">
        <f>SUM(M81)</f>
        <v>0</v>
      </c>
      <c r="N82" s="85">
        <f t="shared" si="29"/>
        <v>0</v>
      </c>
      <c r="O82" s="85">
        <f t="shared" si="29"/>
        <v>0</v>
      </c>
    </row>
    <row r="83" spans="1:15" ht="22.5" x14ac:dyDescent="0.2">
      <c r="A83" s="66" t="s">
        <v>192</v>
      </c>
      <c r="B83" s="67"/>
      <c r="C83" s="215"/>
      <c r="D83" s="64" t="s">
        <v>144</v>
      </c>
      <c r="E83" s="64" t="s">
        <v>144</v>
      </c>
      <c r="F83" s="64" t="s">
        <v>144</v>
      </c>
      <c r="G83" s="64" t="s">
        <v>144</v>
      </c>
      <c r="H83" s="64" t="s">
        <v>144</v>
      </c>
      <c r="I83" s="64" t="s">
        <v>144</v>
      </c>
      <c r="J83" s="64" t="s">
        <v>144</v>
      </c>
      <c r="K83" s="64" t="s">
        <v>144</v>
      </c>
      <c r="L83" s="64" t="s">
        <v>144</v>
      </c>
      <c r="M83" s="64" t="s">
        <v>144</v>
      </c>
      <c r="N83" s="64" t="s">
        <v>144</v>
      </c>
      <c r="O83" s="64" t="s">
        <v>144</v>
      </c>
    </row>
    <row r="84" spans="1:15" x14ac:dyDescent="0.2">
      <c r="A84" s="14" t="s">
        <v>193</v>
      </c>
      <c r="B84" s="74"/>
      <c r="C84" s="215"/>
      <c r="D84" s="75">
        <f>D79</f>
        <v>0</v>
      </c>
      <c r="E84" s="75">
        <f t="shared" ref="E84:O84" si="30">E79</f>
        <v>0</v>
      </c>
      <c r="F84" s="75">
        <f t="shared" si="30"/>
        <v>0</v>
      </c>
      <c r="G84" s="75">
        <f t="shared" si="30"/>
        <v>0</v>
      </c>
      <c r="H84" s="75">
        <f t="shared" si="30"/>
        <v>0</v>
      </c>
      <c r="I84" s="75">
        <f t="shared" si="30"/>
        <v>0</v>
      </c>
      <c r="J84" s="75">
        <f t="shared" si="30"/>
        <v>0</v>
      </c>
      <c r="K84" s="75">
        <f t="shared" si="30"/>
        <v>0</v>
      </c>
      <c r="L84" s="75">
        <f t="shared" si="30"/>
        <v>0</v>
      </c>
      <c r="M84" s="75">
        <f>M79</f>
        <v>0</v>
      </c>
      <c r="N84" s="75">
        <f t="shared" si="30"/>
        <v>0</v>
      </c>
      <c r="O84" s="75">
        <f t="shared" si="30"/>
        <v>0</v>
      </c>
    </row>
    <row r="85" spans="1:15" x14ac:dyDescent="0.2">
      <c r="A85" s="14" t="s">
        <v>194</v>
      </c>
      <c r="B85" s="74"/>
      <c r="C85" s="215"/>
      <c r="D85" s="75">
        <f>D82</f>
        <v>0</v>
      </c>
      <c r="E85" s="75">
        <f t="shared" ref="E85:O85" si="31">E82</f>
        <v>0</v>
      </c>
      <c r="F85" s="75">
        <f t="shared" si="31"/>
        <v>0</v>
      </c>
      <c r="G85" s="75">
        <f t="shared" si="31"/>
        <v>0</v>
      </c>
      <c r="H85" s="75">
        <f t="shared" si="31"/>
        <v>0</v>
      </c>
      <c r="I85" s="75">
        <f t="shared" si="31"/>
        <v>0</v>
      </c>
      <c r="J85" s="75">
        <f t="shared" si="31"/>
        <v>0</v>
      </c>
      <c r="K85" s="75">
        <f t="shared" si="31"/>
        <v>0</v>
      </c>
      <c r="L85" s="75">
        <f t="shared" si="31"/>
        <v>0</v>
      </c>
      <c r="M85" s="75">
        <f>M82</f>
        <v>0</v>
      </c>
      <c r="N85" s="75">
        <f t="shared" si="31"/>
        <v>0</v>
      </c>
      <c r="O85" s="75">
        <f t="shared" si="31"/>
        <v>0</v>
      </c>
    </row>
    <row r="86" spans="1:15" x14ac:dyDescent="0.2">
      <c r="A86" s="79" t="s">
        <v>151</v>
      </c>
      <c r="B86" s="79"/>
      <c r="C86" s="216"/>
      <c r="D86" s="81">
        <f>SUM(D84:D85)</f>
        <v>0</v>
      </c>
      <c r="E86" s="81">
        <f t="shared" ref="E86:O86" si="32">SUM(E84:E85)</f>
        <v>0</v>
      </c>
      <c r="F86" s="81">
        <f t="shared" si="32"/>
        <v>0</v>
      </c>
      <c r="G86" s="81">
        <f t="shared" si="32"/>
        <v>0</v>
      </c>
      <c r="H86" s="81">
        <f t="shared" si="32"/>
        <v>0</v>
      </c>
      <c r="I86" s="81">
        <f t="shared" si="32"/>
        <v>0</v>
      </c>
      <c r="J86" s="81">
        <f t="shared" si="32"/>
        <v>0</v>
      </c>
      <c r="K86" s="81">
        <f t="shared" si="32"/>
        <v>0</v>
      </c>
      <c r="L86" s="81">
        <f t="shared" si="32"/>
        <v>0</v>
      </c>
      <c r="M86" s="81">
        <f>SUM(M84:M85)</f>
        <v>0</v>
      </c>
      <c r="N86" s="81">
        <f t="shared" si="32"/>
        <v>0</v>
      </c>
      <c r="O86" s="81">
        <f t="shared" si="32"/>
        <v>0</v>
      </c>
    </row>
    <row r="87" spans="1:15" x14ac:dyDescent="0.2">
      <c r="A87"/>
      <c r="B87"/>
      <c r="C87" s="215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5" ht="18.75" customHeight="1" x14ac:dyDescent="0.2">
      <c r="A88" s="66" t="s">
        <v>195</v>
      </c>
      <c r="B88" s="67"/>
      <c r="C88" s="215"/>
      <c r="D88" s="68"/>
      <c r="E88" s="69"/>
      <c r="F88" s="69"/>
      <c r="G88" s="69"/>
      <c r="H88" s="69"/>
      <c r="I88" s="69"/>
      <c r="J88" s="69"/>
      <c r="K88" s="69"/>
      <c r="L88" s="69"/>
      <c r="M88" s="70"/>
      <c r="N88" s="69"/>
      <c r="O88" s="69"/>
    </row>
    <row r="89" spans="1:15" x14ac:dyDescent="0.2">
      <c r="A89" s="82" t="s">
        <v>196</v>
      </c>
      <c r="B89" s="16" t="s">
        <v>167</v>
      </c>
      <c r="C89" s="215"/>
      <c r="D89" s="72" t="s">
        <v>144</v>
      </c>
      <c r="E89" s="72" t="s">
        <v>144</v>
      </c>
      <c r="F89" s="72" t="s">
        <v>144</v>
      </c>
      <c r="G89" s="72" t="s">
        <v>144</v>
      </c>
      <c r="H89" s="72" t="s">
        <v>144</v>
      </c>
      <c r="I89" s="72" t="s">
        <v>144</v>
      </c>
      <c r="J89" s="72" t="s">
        <v>144</v>
      </c>
      <c r="K89" s="72" t="s">
        <v>144</v>
      </c>
      <c r="L89" s="72" t="s">
        <v>144</v>
      </c>
      <c r="M89" s="72" t="s">
        <v>144</v>
      </c>
      <c r="N89" s="72" t="s">
        <v>144</v>
      </c>
      <c r="O89" s="72" t="s">
        <v>144</v>
      </c>
    </row>
    <row r="90" spans="1:15" x14ac:dyDescent="0.2">
      <c r="A90" s="14" t="s">
        <v>197</v>
      </c>
      <c r="B90" s="74"/>
      <c r="C90" s="215"/>
      <c r="D90" s="96">
        <f>VALUE('III-A.2 - Uniforme, EPI e Equip'!$E7)</f>
        <v>0</v>
      </c>
      <c r="E90" s="96">
        <f>VALUE('III-A.2 - Uniforme, EPI e Equip'!$E7)</f>
        <v>0</v>
      </c>
      <c r="F90" s="96"/>
      <c r="G90" s="96">
        <f>VALUE('III-A.2 - Uniforme, EPI e Equip'!$E11)</f>
        <v>0</v>
      </c>
      <c r="H90" s="96">
        <f>VALUE('III-A.2 - Uniforme, EPI e Equip'!$E11)</f>
        <v>0</v>
      </c>
      <c r="I90" s="96"/>
      <c r="J90" s="97">
        <f>VALUE('III-A.2 - Uniforme, EPI e Equip'!$E15)</f>
        <v>0</v>
      </c>
      <c r="K90" s="97">
        <f>VALUE('III-A.2 - Uniforme, EPI e Equip'!$E15)</f>
        <v>0</v>
      </c>
      <c r="L90" s="97"/>
      <c r="M90" s="96">
        <f>VALUE('III-A.2 - Uniforme, EPI e Equip'!$E27)</f>
        <v>0</v>
      </c>
      <c r="N90" s="96">
        <f>VALUE('III-A.2 - Uniforme, EPI e Equip'!$E19)</f>
        <v>0</v>
      </c>
      <c r="O90" s="96">
        <f>VALUE('III-A.2 - Uniforme, EPI e Equip'!$E19)</f>
        <v>0</v>
      </c>
    </row>
    <row r="91" spans="1:15" ht="57.75" customHeight="1" x14ac:dyDescent="0.2">
      <c r="A91" s="14" t="s">
        <v>198</v>
      </c>
      <c r="B91" s="74"/>
      <c r="C91" s="215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</row>
    <row r="92" spans="1:15" ht="23.25" customHeight="1" x14ac:dyDescent="0.2">
      <c r="A92" s="14" t="s">
        <v>199</v>
      </c>
      <c r="B92" s="74"/>
      <c r="C92" s="215"/>
      <c r="D92" s="96">
        <f>VALUE('III-A.2 - Uniforme, EPI e Equip'!$E34)</f>
        <v>0</v>
      </c>
      <c r="E92" s="96">
        <f>VALUE('III-A.2 - Uniforme, EPI e Equip'!$E34)</f>
        <v>0</v>
      </c>
      <c r="F92" s="96"/>
      <c r="G92" s="96">
        <f>VALUE('III-A.2 - Uniforme, EPI e Equip'!$E38)</f>
        <v>0</v>
      </c>
      <c r="H92" s="96">
        <f>VALUE('III-A.2 - Uniforme, EPI e Equip'!$E38)</f>
        <v>0</v>
      </c>
      <c r="I92" s="96"/>
      <c r="J92" s="96">
        <f>VALUE('III-A.2 - Uniforme, EPI e Equip'!$E42)</f>
        <v>0</v>
      </c>
      <c r="K92" s="96">
        <f>VALUE('III-A.2 - Uniforme, EPI e Equip'!$E42)</f>
        <v>0</v>
      </c>
      <c r="L92" s="96"/>
      <c r="M92" s="96">
        <f>VALUE('III-A.2 - Uniforme, EPI e Equip'!$E54)</f>
        <v>0</v>
      </c>
      <c r="N92" s="96">
        <f>VALUE('III-A.2 - Uniforme, EPI e Equip'!$E46)</f>
        <v>0</v>
      </c>
      <c r="O92" s="96">
        <f>VALUE('III-A.2 - Uniforme, EPI e Equip'!$E46)</f>
        <v>0</v>
      </c>
    </row>
    <row r="93" spans="1:15" x14ac:dyDescent="0.2">
      <c r="A93" s="79" t="s">
        <v>151</v>
      </c>
      <c r="B93" s="80"/>
      <c r="C93" s="214"/>
      <c r="D93" s="81">
        <f>SUM(D90:D92)</f>
        <v>0</v>
      </c>
      <c r="E93" s="81">
        <f t="shared" ref="E93:O93" si="33">SUM(E90:E92)</f>
        <v>0</v>
      </c>
      <c r="F93" s="81">
        <f t="shared" si="33"/>
        <v>0</v>
      </c>
      <c r="G93" s="81">
        <f t="shared" si="33"/>
        <v>0</v>
      </c>
      <c r="H93" s="81">
        <f t="shared" si="33"/>
        <v>0</v>
      </c>
      <c r="I93" s="81">
        <f t="shared" si="33"/>
        <v>0</v>
      </c>
      <c r="J93" s="81">
        <f t="shared" si="33"/>
        <v>0</v>
      </c>
      <c r="K93" s="81">
        <f t="shared" si="33"/>
        <v>0</v>
      </c>
      <c r="L93" s="81">
        <f t="shared" si="33"/>
        <v>0</v>
      </c>
      <c r="M93" s="81">
        <f>SUM(M90:M92)</f>
        <v>0</v>
      </c>
      <c r="N93" s="81">
        <f t="shared" si="33"/>
        <v>0</v>
      </c>
      <c r="O93" s="81">
        <f t="shared" si="33"/>
        <v>0</v>
      </c>
    </row>
    <row r="94" spans="1:15" x14ac:dyDescent="0.2">
      <c r="A94"/>
      <c r="B94"/>
      <c r="C94" s="215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1:15" ht="18.75" customHeight="1" x14ac:dyDescent="0.2">
      <c r="A95" s="66" t="s">
        <v>200</v>
      </c>
      <c r="B95" s="67"/>
      <c r="C95" s="215"/>
      <c r="D95" s="68"/>
      <c r="E95" s="69"/>
      <c r="F95" s="69"/>
      <c r="G95" s="69"/>
      <c r="H95" s="69"/>
      <c r="I95" s="69"/>
      <c r="J95" s="69"/>
      <c r="K95" s="69"/>
      <c r="L95" s="69"/>
      <c r="M95" s="70"/>
      <c r="N95" s="69"/>
      <c r="O95" s="69"/>
    </row>
    <row r="96" spans="1:15" x14ac:dyDescent="0.2">
      <c r="A96" s="82" t="s">
        <v>201</v>
      </c>
      <c r="B96" s="16" t="s">
        <v>143</v>
      </c>
      <c r="C96" s="215"/>
      <c r="D96" s="72" t="s">
        <v>144</v>
      </c>
      <c r="E96" s="72" t="s">
        <v>144</v>
      </c>
      <c r="F96" s="72" t="s">
        <v>144</v>
      </c>
      <c r="G96" s="72" t="s">
        <v>144</v>
      </c>
      <c r="H96" s="72" t="s">
        <v>144</v>
      </c>
      <c r="I96" s="72" t="s">
        <v>144</v>
      </c>
      <c r="J96" s="72" t="s">
        <v>144</v>
      </c>
      <c r="K96" s="72" t="s">
        <v>144</v>
      </c>
      <c r="L96" s="72" t="s">
        <v>144</v>
      </c>
      <c r="M96" s="72" t="s">
        <v>144</v>
      </c>
      <c r="N96" s="72" t="s">
        <v>144</v>
      </c>
      <c r="O96" s="72" t="s">
        <v>144</v>
      </c>
    </row>
    <row r="97" spans="1:15" x14ac:dyDescent="0.2">
      <c r="A97" s="14" t="s">
        <v>202</v>
      </c>
      <c r="B97" s="74"/>
      <c r="C97" s="215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</row>
    <row r="98" spans="1:15" x14ac:dyDescent="0.2">
      <c r="A98" s="14" t="s">
        <v>203</v>
      </c>
      <c r="B98" s="76">
        <f>'V - BDI'!C5</f>
        <v>0</v>
      </c>
      <c r="C98" s="215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</row>
    <row r="99" spans="1:15" x14ac:dyDescent="0.2">
      <c r="A99" s="14" t="s">
        <v>204</v>
      </c>
      <c r="B99" s="76">
        <f>'V - BDI'!C6</f>
        <v>0</v>
      </c>
      <c r="C99" s="215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</row>
    <row r="100" spans="1:15" x14ac:dyDescent="0.2">
      <c r="A100" s="14" t="s">
        <v>205</v>
      </c>
      <c r="B100" s="76">
        <f>'V - BDI'!C7</f>
        <v>0</v>
      </c>
      <c r="C100" s="215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</row>
    <row r="101" spans="1:15" x14ac:dyDescent="0.2">
      <c r="A101" s="14" t="s">
        <v>206</v>
      </c>
      <c r="B101" s="76">
        <f>'V - BDI'!C8</f>
        <v>0</v>
      </c>
      <c r="C101" s="215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</row>
    <row r="102" spans="1:15" x14ac:dyDescent="0.2">
      <c r="A102" s="14" t="s">
        <v>207</v>
      </c>
      <c r="B102" s="74"/>
      <c r="C102" s="215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</row>
    <row r="103" spans="1:15" x14ac:dyDescent="0.2">
      <c r="A103" s="14" t="s">
        <v>208</v>
      </c>
      <c r="B103" s="74"/>
      <c r="C103" s="215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</row>
    <row r="104" spans="1:15" x14ac:dyDescent="0.2">
      <c r="A104" s="14" t="s">
        <v>209</v>
      </c>
      <c r="B104" s="76">
        <f>'V - BDI'!C11</f>
        <v>0</v>
      </c>
      <c r="C104" s="215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</row>
    <row r="105" spans="1:15" x14ac:dyDescent="0.2">
      <c r="A105" s="14" t="s">
        <v>210</v>
      </c>
      <c r="B105" s="76">
        <f>'V - BDI'!C12</f>
        <v>0</v>
      </c>
      <c r="C105" s="215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</row>
    <row r="106" spans="1:15" ht="39.75" x14ac:dyDescent="0.2">
      <c r="A106" s="14" t="s">
        <v>211</v>
      </c>
      <c r="B106" s="76">
        <f>'V - BDI'!C13</f>
        <v>4.4999999999999998E-2</v>
      </c>
      <c r="C106" s="215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</row>
    <row r="107" spans="1:15" x14ac:dyDescent="0.2">
      <c r="A107" s="14" t="s">
        <v>212</v>
      </c>
      <c r="B107" s="76">
        <f>'V - BDI'!C14</f>
        <v>0</v>
      </c>
      <c r="C107" s="215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</row>
    <row r="108" spans="1:15" x14ac:dyDescent="0.2">
      <c r="A108" s="14" t="s">
        <v>213</v>
      </c>
      <c r="B108" s="74"/>
      <c r="C108" s="215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</row>
    <row r="109" spans="1:15" x14ac:dyDescent="0.2">
      <c r="A109" s="14" t="s">
        <v>214</v>
      </c>
      <c r="B109" s="76">
        <f>'V - BDI'!C16</f>
        <v>0</v>
      </c>
      <c r="C109" s="215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</row>
    <row r="110" spans="1:15" ht="80.25" customHeight="1" x14ac:dyDescent="0.2">
      <c r="A110" s="99" t="s">
        <v>215</v>
      </c>
      <c r="B110" s="100">
        <f>'V - BDI'!C18</f>
        <v>4.7120418848167533E-2</v>
      </c>
      <c r="C110" s="214"/>
      <c r="D110" s="101">
        <f>$B$110*D121</f>
        <v>0</v>
      </c>
      <c r="E110" s="101">
        <f t="shared" ref="E110:F110" si="34">$B$110*E121</f>
        <v>0</v>
      </c>
      <c r="F110" s="101">
        <f t="shared" si="34"/>
        <v>0</v>
      </c>
      <c r="G110" s="101">
        <f>$B$110*G121</f>
        <v>0</v>
      </c>
      <c r="H110" s="101">
        <f t="shared" ref="H110:I110" si="35">$B$110*H121</f>
        <v>0</v>
      </c>
      <c r="I110" s="101">
        <f t="shared" si="35"/>
        <v>0</v>
      </c>
      <c r="J110" s="101">
        <f>$B$110*J121</f>
        <v>0</v>
      </c>
      <c r="K110" s="101">
        <f t="shared" ref="K110:L110" si="36">$B$110*K121</f>
        <v>0</v>
      </c>
      <c r="L110" s="101">
        <f t="shared" si="36"/>
        <v>0</v>
      </c>
      <c r="M110" s="101">
        <f>$B$110*M121</f>
        <v>0</v>
      </c>
      <c r="N110" s="101">
        <f>$B$110*N121</f>
        <v>0</v>
      </c>
      <c r="O110" s="101">
        <f>$B$110*O121</f>
        <v>0</v>
      </c>
    </row>
    <row r="111" spans="1:15" x14ac:dyDescent="0.2">
      <c r="A111"/>
      <c r="B111"/>
      <c r="C111" s="214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</row>
    <row r="112" spans="1:15" x14ac:dyDescent="0.2">
      <c r="A112"/>
      <c r="B112"/>
      <c r="C112" s="214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</row>
    <row r="113" spans="1:15" ht="101.25" x14ac:dyDescent="0.2">
      <c r="A113" s="102" t="s">
        <v>216</v>
      </c>
      <c r="B113" s="103"/>
      <c r="C113" s="214"/>
      <c r="D113" s="64" t="str">
        <f>D12</f>
        <v>Oficial de Manutenção Predial I (Eletricista/Instalador-Reparador de Reders Telefônicas e de comunicação de dados) –  CBO 5143-25 - Jornada 44h semanais</v>
      </c>
      <c r="E113" s="64" t="str">
        <f t="shared" ref="E113:O113" si="37">E12</f>
        <v>Oficial de Manutenção Predial I (Eletricista/Instalador-Reparador de Reders Telefônicas e de comunicação de dados) –  CBO 5143-25 - Jornada 44h semanais</v>
      </c>
      <c r="F113" s="64" t="str">
        <f t="shared" si="37"/>
        <v>Oficial de Manutenção Predial I (Eletricista/Instalador-Reparador de Reders Telefônicas e de comunicação de dados) –  CBO 5143-25 - Jornada 44h semanais</v>
      </c>
      <c r="G113" s="64" t="str">
        <f t="shared" si="37"/>
        <v>Oficial de Manutenção Predial II (Pedreiro/Bombeiro Hidráulico) – CBO 5143-25 -  Jornada 44h semanais</v>
      </c>
      <c r="H113" s="64" t="str">
        <f t="shared" si="37"/>
        <v>Oficial de Manutenção Predial II (Pedreiro/Bombeiro Hidráulico) – CBO 5143-25 -  Jornada 44h semanais</v>
      </c>
      <c r="I113" s="64" t="str">
        <f t="shared" si="37"/>
        <v>Oficial de Manutenção Predial II (Pedreiro/Bombeiro Hidráulico) – CBO 5143-25 -  Jornada 44h semanais</v>
      </c>
      <c r="J113" s="64" t="str">
        <f t="shared" si="37"/>
        <v>Auxiliar de manutenção predial (Auxiliar Eletricista/Hidráulica/Pedreiro) – CBO 5143-10 - Jornada de 44h semanais</v>
      </c>
      <c r="K113" s="64" t="str">
        <f t="shared" si="37"/>
        <v>Auxiliar de manutenção predial (Auxiliar Eletricista/Hidráulica/Pedreiro) – CBO 5143-10 - Jornada de 44h semanais</v>
      </c>
      <c r="L113" s="64" t="str">
        <f t="shared" si="37"/>
        <v>Auxiliar de manutenção predial (Auxiliar Eletricista/Hidráulica/Pedreiro) – CBO 5143-10 - Jornada de 44h semanais</v>
      </c>
      <c r="M113" s="64" t="str">
        <f>M12</f>
        <v>Encarregado de Manutenção – CBO 7102-05 - Jornada 44h semanais</v>
      </c>
      <c r="N113" s="64" t="str">
        <f t="shared" si="37"/>
        <v>Engenheiro Civil - Jornada 30h semanais</v>
      </c>
      <c r="O113" s="64" t="str">
        <f t="shared" si="37"/>
        <v>Engenheiro Eletricista - Jornada 30h semanais</v>
      </c>
    </row>
    <row r="114" spans="1:15" x14ac:dyDescent="0.2">
      <c r="A114" s="217"/>
      <c r="B114" s="218"/>
      <c r="C114" s="214"/>
      <c r="D114" s="64" t="str">
        <f>D13</f>
        <v>Porto Velho/RO</v>
      </c>
      <c r="E114" s="64" t="str">
        <f t="shared" ref="E114:O114" si="38">E13</f>
        <v>Ji-Paraná</v>
      </c>
      <c r="F114" s="64">
        <f t="shared" si="38"/>
        <v>0</v>
      </c>
      <c r="G114" s="64" t="str">
        <f t="shared" si="38"/>
        <v>Porto Velho/RO</v>
      </c>
      <c r="H114" s="64" t="str">
        <f t="shared" si="38"/>
        <v>Ji-Paraná</v>
      </c>
      <c r="I114" s="64">
        <f t="shared" si="38"/>
        <v>0</v>
      </c>
      <c r="J114" s="64" t="str">
        <f t="shared" si="38"/>
        <v>Porto Velho/RO</v>
      </c>
      <c r="K114" s="64" t="str">
        <f t="shared" si="38"/>
        <v>Ji-Paraná</v>
      </c>
      <c r="L114" s="64">
        <f t="shared" si="38"/>
        <v>0</v>
      </c>
      <c r="M114" s="64" t="str">
        <f>M13</f>
        <v>Porto Velho/RO</v>
      </c>
      <c r="N114" s="64" t="str">
        <f t="shared" si="38"/>
        <v>Porto Velho/RO</v>
      </c>
      <c r="O114" s="64" t="str">
        <f t="shared" si="38"/>
        <v>Porto Velho/RO</v>
      </c>
    </row>
    <row r="115" spans="1:15" ht="23.25" customHeight="1" x14ac:dyDescent="0.2">
      <c r="A115" s="104"/>
      <c r="B115" s="105"/>
      <c r="C115" s="214"/>
      <c r="D115" s="86" t="s">
        <v>144</v>
      </c>
      <c r="E115" s="86" t="s">
        <v>144</v>
      </c>
      <c r="F115" s="86" t="s">
        <v>144</v>
      </c>
      <c r="G115" s="86" t="s">
        <v>144</v>
      </c>
      <c r="H115" s="86" t="s">
        <v>144</v>
      </c>
      <c r="I115" s="86" t="s">
        <v>144</v>
      </c>
      <c r="J115" s="86" t="s">
        <v>144</v>
      </c>
      <c r="K115" s="86" t="s">
        <v>144</v>
      </c>
      <c r="L115" s="86" t="s">
        <v>144</v>
      </c>
      <c r="M115" s="86" t="s">
        <v>144</v>
      </c>
      <c r="N115" s="86" t="s">
        <v>144</v>
      </c>
      <c r="O115" s="86" t="s">
        <v>144</v>
      </c>
    </row>
    <row r="116" spans="1:15" ht="29.85" customHeight="1" x14ac:dyDescent="0.2">
      <c r="A116" s="106" t="s">
        <v>141</v>
      </c>
      <c r="B116" s="107"/>
      <c r="C116" s="214"/>
      <c r="D116" s="108">
        <f>D32</f>
        <v>0</v>
      </c>
      <c r="E116" s="108">
        <f t="shared" ref="E116:O116" si="39">E32</f>
        <v>0</v>
      </c>
      <c r="F116" s="108">
        <f t="shared" si="39"/>
        <v>0</v>
      </c>
      <c r="G116" s="108">
        <f t="shared" si="39"/>
        <v>0</v>
      </c>
      <c r="H116" s="108">
        <f t="shared" si="39"/>
        <v>0</v>
      </c>
      <c r="I116" s="108">
        <f t="shared" si="39"/>
        <v>0</v>
      </c>
      <c r="J116" s="108">
        <f t="shared" si="39"/>
        <v>0</v>
      </c>
      <c r="K116" s="108">
        <f t="shared" si="39"/>
        <v>0</v>
      </c>
      <c r="L116" s="108">
        <f t="shared" si="39"/>
        <v>0</v>
      </c>
      <c r="M116" s="108">
        <f>M32</f>
        <v>0</v>
      </c>
      <c r="N116" s="108">
        <f t="shared" si="39"/>
        <v>0</v>
      </c>
      <c r="O116" s="108">
        <f t="shared" si="39"/>
        <v>0</v>
      </c>
    </row>
    <row r="117" spans="1:15" ht="29.85" customHeight="1" x14ac:dyDescent="0.2">
      <c r="A117" s="106" t="s">
        <v>152</v>
      </c>
      <c r="B117" s="107"/>
      <c r="C117" s="214"/>
      <c r="D117" s="108">
        <f>D60</f>
        <v>0</v>
      </c>
      <c r="E117" s="108">
        <f t="shared" ref="E117:O117" si="40">E60</f>
        <v>0</v>
      </c>
      <c r="F117" s="108">
        <f t="shared" si="40"/>
        <v>0</v>
      </c>
      <c r="G117" s="108">
        <f t="shared" si="40"/>
        <v>0</v>
      </c>
      <c r="H117" s="108">
        <f t="shared" si="40"/>
        <v>0</v>
      </c>
      <c r="I117" s="108">
        <f t="shared" si="40"/>
        <v>0</v>
      </c>
      <c r="J117" s="108">
        <f t="shared" si="40"/>
        <v>0</v>
      </c>
      <c r="K117" s="108">
        <f t="shared" si="40"/>
        <v>0</v>
      </c>
      <c r="L117" s="108">
        <f t="shared" si="40"/>
        <v>0</v>
      </c>
      <c r="M117" s="108">
        <f>M60</f>
        <v>0</v>
      </c>
      <c r="N117" s="108">
        <f t="shared" si="40"/>
        <v>0</v>
      </c>
      <c r="O117" s="108">
        <f t="shared" si="40"/>
        <v>0</v>
      </c>
    </row>
    <row r="118" spans="1:15" ht="29.85" customHeight="1" x14ac:dyDescent="0.2">
      <c r="A118" s="106" t="s">
        <v>175</v>
      </c>
      <c r="B118" s="107"/>
      <c r="C118" s="214"/>
      <c r="D118" s="108">
        <f>D70</f>
        <v>0</v>
      </c>
      <c r="E118" s="108">
        <f t="shared" ref="E118:O118" si="41">E70</f>
        <v>0</v>
      </c>
      <c r="F118" s="108">
        <f t="shared" si="41"/>
        <v>0</v>
      </c>
      <c r="G118" s="108">
        <f t="shared" si="41"/>
        <v>0</v>
      </c>
      <c r="H118" s="108">
        <f t="shared" si="41"/>
        <v>0</v>
      </c>
      <c r="I118" s="108">
        <f t="shared" si="41"/>
        <v>0</v>
      </c>
      <c r="J118" s="108">
        <f t="shared" si="41"/>
        <v>0</v>
      </c>
      <c r="K118" s="108">
        <f t="shared" si="41"/>
        <v>0</v>
      </c>
      <c r="L118" s="108">
        <f t="shared" si="41"/>
        <v>0</v>
      </c>
      <c r="M118" s="108">
        <f>M70</f>
        <v>0</v>
      </c>
      <c r="N118" s="108">
        <f t="shared" si="41"/>
        <v>0</v>
      </c>
      <c r="O118" s="108">
        <f t="shared" si="41"/>
        <v>0</v>
      </c>
    </row>
    <row r="119" spans="1:15" ht="29.85" customHeight="1" x14ac:dyDescent="0.2">
      <c r="A119" s="106" t="s">
        <v>183</v>
      </c>
      <c r="B119" s="107"/>
      <c r="C119" s="214"/>
      <c r="D119" s="108">
        <f>D79</f>
        <v>0</v>
      </c>
      <c r="E119" s="108">
        <f t="shared" ref="E119:O119" si="42">E79</f>
        <v>0</v>
      </c>
      <c r="F119" s="108">
        <f t="shared" si="42"/>
        <v>0</v>
      </c>
      <c r="G119" s="108">
        <f t="shared" si="42"/>
        <v>0</v>
      </c>
      <c r="H119" s="108">
        <f t="shared" si="42"/>
        <v>0</v>
      </c>
      <c r="I119" s="108">
        <f t="shared" si="42"/>
        <v>0</v>
      </c>
      <c r="J119" s="108">
        <f t="shared" si="42"/>
        <v>0</v>
      </c>
      <c r="K119" s="108">
        <f t="shared" si="42"/>
        <v>0</v>
      </c>
      <c r="L119" s="108">
        <f t="shared" si="42"/>
        <v>0</v>
      </c>
      <c r="M119" s="108">
        <f>M79</f>
        <v>0</v>
      </c>
      <c r="N119" s="108">
        <f t="shared" si="42"/>
        <v>0</v>
      </c>
      <c r="O119" s="108">
        <f t="shared" si="42"/>
        <v>0</v>
      </c>
    </row>
    <row r="120" spans="1:15" ht="29.85" customHeight="1" x14ac:dyDescent="0.2">
      <c r="A120" s="106" t="s">
        <v>195</v>
      </c>
      <c r="B120" s="107"/>
      <c r="C120" s="214"/>
      <c r="D120" s="108">
        <f>D93</f>
        <v>0</v>
      </c>
      <c r="E120" s="108">
        <f t="shared" ref="E120:O120" si="43">E93</f>
        <v>0</v>
      </c>
      <c r="F120" s="108">
        <f t="shared" si="43"/>
        <v>0</v>
      </c>
      <c r="G120" s="108">
        <f t="shared" si="43"/>
        <v>0</v>
      </c>
      <c r="H120" s="108">
        <f t="shared" si="43"/>
        <v>0</v>
      </c>
      <c r="I120" s="108">
        <f t="shared" si="43"/>
        <v>0</v>
      </c>
      <c r="J120" s="108">
        <f t="shared" si="43"/>
        <v>0</v>
      </c>
      <c r="K120" s="108">
        <f t="shared" si="43"/>
        <v>0</v>
      </c>
      <c r="L120" s="108">
        <f t="shared" si="43"/>
        <v>0</v>
      </c>
      <c r="M120" s="108">
        <f>M93</f>
        <v>0</v>
      </c>
      <c r="N120" s="108">
        <f t="shared" si="43"/>
        <v>0</v>
      </c>
      <c r="O120" s="108">
        <f t="shared" si="43"/>
        <v>0</v>
      </c>
    </row>
    <row r="121" spans="1:15" ht="29.85" customHeight="1" x14ac:dyDescent="0.2">
      <c r="A121" s="106" t="s">
        <v>217</v>
      </c>
      <c r="B121" s="107"/>
      <c r="C121" s="214"/>
      <c r="D121" s="108">
        <f>SUM(D116:D120)</f>
        <v>0</v>
      </c>
      <c r="E121" s="108">
        <f t="shared" ref="E121:O121" si="44">SUM(E116:E120)</f>
        <v>0</v>
      </c>
      <c r="F121" s="108">
        <f t="shared" si="44"/>
        <v>0</v>
      </c>
      <c r="G121" s="108">
        <f t="shared" si="44"/>
        <v>0</v>
      </c>
      <c r="H121" s="108">
        <f t="shared" si="44"/>
        <v>0</v>
      </c>
      <c r="I121" s="108">
        <f t="shared" si="44"/>
        <v>0</v>
      </c>
      <c r="J121" s="108">
        <f t="shared" si="44"/>
        <v>0</v>
      </c>
      <c r="K121" s="108">
        <f t="shared" si="44"/>
        <v>0</v>
      </c>
      <c r="L121" s="108">
        <f t="shared" si="44"/>
        <v>0</v>
      </c>
      <c r="M121" s="108">
        <f>SUM(M116:M120)</f>
        <v>0</v>
      </c>
      <c r="N121" s="108">
        <f t="shared" si="44"/>
        <v>0</v>
      </c>
      <c r="O121" s="108">
        <f t="shared" si="44"/>
        <v>0</v>
      </c>
    </row>
    <row r="122" spans="1:15" ht="29.85" customHeight="1" x14ac:dyDescent="0.2">
      <c r="A122" s="106" t="s">
        <v>218</v>
      </c>
      <c r="B122" s="107"/>
      <c r="C122" s="214"/>
      <c r="D122" s="108">
        <f>D110</f>
        <v>0</v>
      </c>
      <c r="E122" s="108">
        <f t="shared" ref="E122:O122" si="45">E110</f>
        <v>0</v>
      </c>
      <c r="F122" s="108">
        <f t="shared" si="45"/>
        <v>0</v>
      </c>
      <c r="G122" s="108">
        <f t="shared" si="45"/>
        <v>0</v>
      </c>
      <c r="H122" s="108">
        <f t="shared" si="45"/>
        <v>0</v>
      </c>
      <c r="I122" s="108">
        <f t="shared" si="45"/>
        <v>0</v>
      </c>
      <c r="J122" s="108">
        <f t="shared" si="45"/>
        <v>0</v>
      </c>
      <c r="K122" s="108">
        <f t="shared" si="45"/>
        <v>0</v>
      </c>
      <c r="L122" s="108">
        <f t="shared" si="45"/>
        <v>0</v>
      </c>
      <c r="M122" s="108">
        <f>M110</f>
        <v>0</v>
      </c>
      <c r="N122" s="108">
        <f t="shared" si="45"/>
        <v>0</v>
      </c>
      <c r="O122" s="108">
        <f t="shared" si="45"/>
        <v>0</v>
      </c>
    </row>
    <row r="123" spans="1:15" ht="29.85" customHeight="1" x14ac:dyDescent="0.2">
      <c r="A123" s="109" t="s">
        <v>219</v>
      </c>
      <c r="B123" s="110"/>
      <c r="C123" s="214"/>
      <c r="D123" s="111">
        <f>SUM(D121:D122)</f>
        <v>0</v>
      </c>
      <c r="E123" s="111">
        <f t="shared" ref="E123:O123" si="46">SUM(E121:E122)</f>
        <v>0</v>
      </c>
      <c r="F123" s="111">
        <f t="shared" si="46"/>
        <v>0</v>
      </c>
      <c r="G123" s="111">
        <f t="shared" si="46"/>
        <v>0</v>
      </c>
      <c r="H123" s="111">
        <f t="shared" si="46"/>
        <v>0</v>
      </c>
      <c r="I123" s="111">
        <f t="shared" si="46"/>
        <v>0</v>
      </c>
      <c r="J123" s="111">
        <f t="shared" si="46"/>
        <v>0</v>
      </c>
      <c r="K123" s="111">
        <f t="shared" si="46"/>
        <v>0</v>
      </c>
      <c r="L123" s="111">
        <f t="shared" si="46"/>
        <v>0</v>
      </c>
      <c r="M123" s="111">
        <f>SUM(M121:M122)</f>
        <v>0</v>
      </c>
      <c r="N123" s="111">
        <f t="shared" si="46"/>
        <v>0</v>
      </c>
      <c r="O123" s="111">
        <f t="shared" si="46"/>
        <v>0</v>
      </c>
    </row>
  </sheetData>
  <mergeCells count="41">
    <mergeCell ref="D10:G10"/>
    <mergeCell ref="H8:K8"/>
    <mergeCell ref="H9:K9"/>
    <mergeCell ref="H10:K10"/>
    <mergeCell ref="H3:K3"/>
    <mergeCell ref="H4:K4"/>
    <mergeCell ref="H5:K5"/>
    <mergeCell ref="H6:K6"/>
    <mergeCell ref="H7:K7"/>
    <mergeCell ref="A1:O1"/>
    <mergeCell ref="A16:A21"/>
    <mergeCell ref="P15:R15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3:O3"/>
    <mergeCell ref="L4:O4"/>
    <mergeCell ref="L5:O5"/>
    <mergeCell ref="L6:O6"/>
    <mergeCell ref="L7:O7"/>
    <mergeCell ref="A22:B22"/>
    <mergeCell ref="A12:B12"/>
    <mergeCell ref="A5:C5"/>
    <mergeCell ref="A6:C6"/>
    <mergeCell ref="A7:C7"/>
    <mergeCell ref="A8:C8"/>
    <mergeCell ref="A9:C9"/>
    <mergeCell ref="A10:C10"/>
    <mergeCell ref="L8:O8"/>
    <mergeCell ref="L9:O9"/>
    <mergeCell ref="L10:O10"/>
    <mergeCell ref="D8:G8"/>
    <mergeCell ref="D9:G9"/>
  </mergeCells>
  <printOptions horizontalCentered="1"/>
  <pageMargins left="0.39370078740157483" right="0.39370078740157483" top="0.59055118110236227" bottom="0.39370078740157483" header="0" footer="0"/>
  <pageSetup paperSize="9" scale="51" firstPageNumber="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theme="9" tint="0.39997558519241921"/>
    <pageSetUpPr fitToPage="1"/>
  </sheetPr>
  <dimension ref="A1:E28"/>
  <sheetViews>
    <sheetView view="pageBreakPreview" zoomScaleNormal="100" zoomScaleSheetLayoutView="100" workbookViewId="0">
      <selection activeCell="D27" sqref="D27"/>
    </sheetView>
  </sheetViews>
  <sheetFormatPr defaultRowHeight="14.25" x14ac:dyDescent="0.2"/>
  <cols>
    <col min="1" max="1" width="40.625" customWidth="1"/>
    <col min="2" max="3" width="24.375" customWidth="1"/>
    <col min="4" max="4" width="24" customWidth="1"/>
    <col min="5" max="5" width="50.25" bestFit="1" customWidth="1"/>
  </cols>
  <sheetData>
    <row r="1" spans="1:5" ht="120" customHeight="1" x14ac:dyDescent="0.2">
      <c r="A1" s="394" t="s">
        <v>220</v>
      </c>
      <c r="B1" s="394"/>
      <c r="C1" s="395"/>
      <c r="D1" s="395"/>
    </row>
    <row r="2" spans="1:5" ht="24" customHeight="1" x14ac:dyDescent="0.2">
      <c r="A2" s="396" t="s">
        <v>127</v>
      </c>
      <c r="B2" s="397"/>
      <c r="C2" s="397"/>
      <c r="D2" s="398"/>
    </row>
    <row r="3" spans="1:5" ht="15" x14ac:dyDescent="0.2">
      <c r="A3" s="204" t="s">
        <v>221</v>
      </c>
      <c r="B3" s="204" t="s">
        <v>222</v>
      </c>
      <c r="C3" s="204" t="s">
        <v>223</v>
      </c>
      <c r="D3" s="204" t="s">
        <v>167</v>
      </c>
    </row>
    <row r="4" spans="1:5" ht="57" x14ac:dyDescent="0.2">
      <c r="A4" s="483" t="s">
        <v>224</v>
      </c>
      <c r="B4" s="199"/>
      <c r="C4" s="486" t="s">
        <v>802</v>
      </c>
      <c r="D4" s="202"/>
      <c r="E4" s="286"/>
    </row>
    <row r="5" spans="1:5" ht="57" x14ac:dyDescent="0.2">
      <c r="A5" s="483" t="s">
        <v>224</v>
      </c>
      <c r="B5" s="199"/>
      <c r="C5" s="486" t="s">
        <v>804</v>
      </c>
      <c r="D5" s="202"/>
    </row>
    <row r="6" spans="1:5" ht="57" hidden="1" x14ac:dyDescent="0.2">
      <c r="A6" s="483" t="s">
        <v>224</v>
      </c>
      <c r="B6" s="199"/>
      <c r="C6" s="486"/>
      <c r="D6" s="202"/>
    </row>
    <row r="7" spans="1:5" ht="42.75" x14ac:dyDescent="0.2">
      <c r="A7" s="483" t="s">
        <v>225</v>
      </c>
      <c r="B7" s="199"/>
      <c r="C7" s="486" t="s">
        <v>802</v>
      </c>
      <c r="D7" s="202"/>
    </row>
    <row r="8" spans="1:5" ht="42.75" x14ac:dyDescent="0.2">
      <c r="A8" s="483" t="s">
        <v>225</v>
      </c>
      <c r="B8" s="199"/>
      <c r="C8" s="486" t="s">
        <v>804</v>
      </c>
      <c r="D8" s="202"/>
    </row>
    <row r="9" spans="1:5" ht="42.75" hidden="1" x14ac:dyDescent="0.2">
      <c r="A9" s="483" t="s">
        <v>225</v>
      </c>
      <c r="B9" s="199"/>
      <c r="C9" s="486"/>
      <c r="D9" s="202"/>
    </row>
    <row r="10" spans="1:5" ht="42.75" x14ac:dyDescent="0.2">
      <c r="A10" s="483" t="s">
        <v>226</v>
      </c>
      <c r="B10" s="199"/>
      <c r="C10" s="486" t="s">
        <v>802</v>
      </c>
      <c r="D10" s="202"/>
    </row>
    <row r="11" spans="1:5" ht="42.75" x14ac:dyDescent="0.2">
      <c r="A11" s="483" t="s">
        <v>226</v>
      </c>
      <c r="B11" s="199"/>
      <c r="C11" s="486" t="s">
        <v>804</v>
      </c>
      <c r="D11" s="202"/>
    </row>
    <row r="12" spans="1:5" ht="42.75" hidden="1" x14ac:dyDescent="0.2">
      <c r="A12" s="483" t="s">
        <v>226</v>
      </c>
      <c r="B12" s="199"/>
      <c r="C12" s="486"/>
      <c r="D12" s="202"/>
    </row>
    <row r="13" spans="1:5" x14ac:dyDescent="0.2">
      <c r="A13" s="484" t="s">
        <v>227</v>
      </c>
      <c r="B13" s="199"/>
      <c r="C13" s="486" t="s">
        <v>802</v>
      </c>
      <c r="D13" s="202"/>
    </row>
    <row r="14" spans="1:5" x14ac:dyDescent="0.2">
      <c r="A14" s="484" t="s">
        <v>228</v>
      </c>
      <c r="B14" s="199"/>
      <c r="C14" s="486" t="s">
        <v>802</v>
      </c>
      <c r="D14" s="202"/>
    </row>
    <row r="15" spans="1:5" ht="28.5" x14ac:dyDescent="0.2">
      <c r="A15" s="484" t="s">
        <v>229</v>
      </c>
      <c r="B15" s="199"/>
      <c r="C15" s="486" t="s">
        <v>802</v>
      </c>
      <c r="D15" s="202"/>
    </row>
    <row r="16" spans="1:5" ht="15" x14ac:dyDescent="0.2">
      <c r="A16" s="396" t="s">
        <v>135</v>
      </c>
      <c r="B16" s="397"/>
      <c r="C16" s="397"/>
      <c r="D16" s="398"/>
    </row>
    <row r="17" spans="1:5" ht="15" x14ac:dyDescent="0.2">
      <c r="A17" s="204" t="s">
        <v>230</v>
      </c>
      <c r="B17" s="204" t="s">
        <v>231</v>
      </c>
      <c r="C17" s="204" t="s">
        <v>223</v>
      </c>
      <c r="D17" s="204" t="s">
        <v>167</v>
      </c>
    </row>
    <row r="18" spans="1:5" x14ac:dyDescent="0.2">
      <c r="A18" s="485" t="s">
        <v>232</v>
      </c>
      <c r="B18" s="199"/>
      <c r="C18" s="488" t="s">
        <v>802</v>
      </c>
      <c r="D18" s="202"/>
    </row>
    <row r="19" spans="1:5" x14ac:dyDescent="0.2">
      <c r="A19" s="485" t="s">
        <v>232</v>
      </c>
      <c r="B19" s="199"/>
      <c r="C19" s="488" t="s">
        <v>804</v>
      </c>
      <c r="D19" s="202"/>
    </row>
    <row r="20" spans="1:5" hidden="1" x14ac:dyDescent="0.2">
      <c r="A20" s="200"/>
      <c r="B20" s="199"/>
      <c r="C20" s="203"/>
      <c r="D20" s="202"/>
    </row>
    <row r="21" spans="1:5" ht="15" x14ac:dyDescent="0.2">
      <c r="A21" s="396" t="s">
        <v>233</v>
      </c>
      <c r="B21" s="397"/>
      <c r="C21" s="397"/>
      <c r="D21" s="398"/>
    </row>
    <row r="22" spans="1:5" ht="15" x14ac:dyDescent="0.2">
      <c r="A22" s="204" t="s">
        <v>234</v>
      </c>
      <c r="B22" s="204" t="s">
        <v>235</v>
      </c>
      <c r="C22" s="204" t="s">
        <v>223</v>
      </c>
      <c r="D22" s="204" t="s">
        <v>167</v>
      </c>
    </row>
    <row r="23" spans="1:5" ht="55.9" customHeight="1" x14ac:dyDescent="0.2">
      <c r="A23" s="486" t="s">
        <v>236</v>
      </c>
      <c r="B23" s="489"/>
      <c r="C23" s="490"/>
      <c r="D23" s="491"/>
      <c r="E23" s="292" t="s">
        <v>237</v>
      </c>
    </row>
    <row r="24" spans="1:5" ht="15" thickBot="1" x14ac:dyDescent="0.25">
      <c r="A24" s="487" t="s">
        <v>238</v>
      </c>
      <c r="B24" s="327"/>
      <c r="C24" s="328"/>
      <c r="D24" s="492"/>
    </row>
    <row r="25" spans="1:5" ht="15.75" thickBot="1" x14ac:dyDescent="0.25">
      <c r="A25" s="399" t="s">
        <v>239</v>
      </c>
      <c r="B25" s="400"/>
      <c r="C25" s="400"/>
      <c r="D25" s="401"/>
    </row>
    <row r="26" spans="1:5" ht="15" x14ac:dyDescent="0.2">
      <c r="A26" s="329" t="s">
        <v>234</v>
      </c>
      <c r="B26" s="329" t="s">
        <v>231</v>
      </c>
      <c r="C26" s="329" t="s">
        <v>240</v>
      </c>
      <c r="D26" s="329" t="s">
        <v>167</v>
      </c>
    </row>
    <row r="27" spans="1:5" x14ac:dyDescent="0.2">
      <c r="A27" s="486" t="s">
        <v>239</v>
      </c>
      <c r="B27" s="199"/>
      <c r="C27" s="201"/>
      <c r="D27" s="321"/>
    </row>
    <row r="28" spans="1:5" hidden="1" x14ac:dyDescent="0.2">
      <c r="A28" s="201" t="s">
        <v>241</v>
      </c>
      <c r="B28" s="199"/>
      <c r="C28" s="201"/>
      <c r="D28" s="219"/>
    </row>
  </sheetData>
  <mergeCells count="5">
    <mergeCell ref="A1:D1"/>
    <mergeCell ref="A2:D2"/>
    <mergeCell ref="A16:D16"/>
    <mergeCell ref="A21:D21"/>
    <mergeCell ref="A25:D25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MK64"/>
  <sheetViews>
    <sheetView view="pageBreakPreview" topLeftCell="A13" zoomScale="115" zoomScaleNormal="100" zoomScalePageLayoutView="115" workbookViewId="0">
      <selection activeCell="D80" sqref="D80"/>
    </sheetView>
  </sheetViews>
  <sheetFormatPr defaultRowHeight="14.25" x14ac:dyDescent="0.2"/>
  <cols>
    <col min="1" max="1" width="44" style="112"/>
    <col min="2" max="2" width="22.75" style="112"/>
    <col min="3" max="3" width="0" style="112" hidden="1" customWidth="1"/>
    <col min="4" max="1025" width="10.875" style="112"/>
  </cols>
  <sheetData>
    <row r="1" spans="1:2" ht="129.75" customHeight="1" x14ac:dyDescent="0.2">
      <c r="A1" s="434" t="s">
        <v>242</v>
      </c>
      <c r="B1" s="434"/>
    </row>
    <row r="2" spans="1:2" x14ac:dyDescent="0.2">
      <c r="A2"/>
      <c r="B2"/>
    </row>
    <row r="3" spans="1:2" ht="34.5" customHeight="1" x14ac:dyDescent="0.2">
      <c r="A3" s="431" t="s">
        <v>243</v>
      </c>
      <c r="B3" s="431"/>
    </row>
    <row r="4" spans="1:2" x14ac:dyDescent="0.2">
      <c r="A4"/>
      <c r="B4"/>
    </row>
    <row r="5" spans="1:2" ht="14.25" customHeight="1" x14ac:dyDescent="0.2">
      <c r="A5" s="432" t="s">
        <v>244</v>
      </c>
      <c r="B5" s="432"/>
    </row>
    <row r="6" spans="1:2" x14ac:dyDescent="0.2">
      <c r="A6" s="362" t="s">
        <v>245</v>
      </c>
      <c r="B6" s="3">
        <v>22</v>
      </c>
    </row>
    <row r="7" spans="1:2" x14ac:dyDescent="0.2">
      <c r="A7" s="362" t="s">
        <v>246</v>
      </c>
      <c r="B7" s="287">
        <v>1320</v>
      </c>
    </row>
    <row r="8" spans="1:2" x14ac:dyDescent="0.2">
      <c r="A8"/>
      <c r="B8"/>
    </row>
    <row r="9" spans="1:2" ht="14.25" customHeight="1" x14ac:dyDescent="0.2">
      <c r="A9" s="432" t="s">
        <v>247</v>
      </c>
      <c r="B9" s="432"/>
    </row>
    <row r="10" spans="1:2" ht="25.5" x14ac:dyDescent="0.2">
      <c r="A10" s="364" t="s">
        <v>248</v>
      </c>
      <c r="B10" s="113">
        <v>0.06</v>
      </c>
    </row>
    <row r="11" spans="1:2" x14ac:dyDescent="0.2">
      <c r="A11"/>
      <c r="B11"/>
    </row>
    <row r="12" spans="1:2" ht="14.25" customHeight="1" x14ac:dyDescent="0.2">
      <c r="A12" s="432" t="s">
        <v>249</v>
      </c>
      <c r="B12" s="432"/>
    </row>
    <row r="13" spans="1:2" ht="32.25" customHeight="1" x14ac:dyDescent="0.2">
      <c r="A13" s="435" t="s">
        <v>250</v>
      </c>
      <c r="B13" s="435"/>
    </row>
    <row r="14" spans="1:2" x14ac:dyDescent="0.2">
      <c r="A14"/>
      <c r="B14"/>
    </row>
    <row r="15" spans="1:2" ht="14.25" customHeight="1" x14ac:dyDescent="0.2">
      <c r="A15" s="432" t="s">
        <v>251</v>
      </c>
      <c r="B15" s="432"/>
    </row>
    <row r="16" spans="1:2" x14ac:dyDescent="0.2">
      <c r="A16" s="362" t="s">
        <v>252</v>
      </c>
      <c r="B16" s="113">
        <v>0.03</v>
      </c>
    </row>
    <row r="17" spans="1:2" x14ac:dyDescent="0.2">
      <c r="A17" s="362" t="s">
        <v>253</v>
      </c>
      <c r="B17" s="114">
        <v>1</v>
      </c>
    </row>
    <row r="18" spans="1:2" x14ac:dyDescent="0.2">
      <c r="A18"/>
      <c r="B18"/>
    </row>
    <row r="19" spans="1:2" ht="14.25" customHeight="1" x14ac:dyDescent="0.2">
      <c r="A19" s="432" t="s">
        <v>254</v>
      </c>
      <c r="B19" s="432"/>
    </row>
    <row r="20" spans="1:2" ht="38.25" x14ac:dyDescent="0.2">
      <c r="A20" s="363" t="s">
        <v>255</v>
      </c>
      <c r="B20" s="113">
        <v>0.05</v>
      </c>
    </row>
    <row r="21" spans="1:2" x14ac:dyDescent="0.2">
      <c r="A21" s="363" t="s">
        <v>256</v>
      </c>
      <c r="B21" s="3" t="s">
        <v>257</v>
      </c>
    </row>
    <row r="22" spans="1:2" x14ac:dyDescent="0.2">
      <c r="A22"/>
      <c r="B22"/>
    </row>
    <row r="23" spans="1:2" ht="14.25" customHeight="1" x14ac:dyDescent="0.2">
      <c r="A23" s="432" t="s">
        <v>254</v>
      </c>
      <c r="B23" s="432"/>
    </row>
    <row r="24" spans="1:2" ht="18.600000000000001" customHeight="1" x14ac:dyDescent="0.2">
      <c r="A24" s="433" t="s">
        <v>258</v>
      </c>
      <c r="B24" s="433"/>
    </row>
    <row r="25" spans="1:2" ht="31.5" customHeight="1" x14ac:dyDescent="0.2">
      <c r="A25" s="431" t="s">
        <v>259</v>
      </c>
      <c r="B25" s="431"/>
    </row>
    <row r="26" spans="1:2" ht="37.5" customHeight="1" x14ac:dyDescent="0.2">
      <c r="A26" s="431" t="s">
        <v>260</v>
      </c>
      <c r="B26" s="431"/>
    </row>
    <row r="27" spans="1:2" x14ac:dyDescent="0.2">
      <c r="A27"/>
      <c r="B27"/>
    </row>
    <row r="28" spans="1:2" ht="14.25" customHeight="1" x14ac:dyDescent="0.2">
      <c r="A28" s="432" t="s">
        <v>261</v>
      </c>
      <c r="B28" s="432"/>
    </row>
    <row r="29" spans="1:2" ht="14.25" customHeight="1" x14ac:dyDescent="0.2">
      <c r="A29" s="433" t="s">
        <v>262</v>
      </c>
      <c r="B29" s="433"/>
    </row>
    <row r="30" spans="1:2" ht="16.5" customHeight="1" x14ac:dyDescent="0.2">
      <c r="A30" s="431" t="s">
        <v>263</v>
      </c>
      <c r="B30" s="431"/>
    </row>
    <row r="31" spans="1:2" x14ac:dyDescent="0.2">
      <c r="A31"/>
      <c r="B31"/>
    </row>
    <row r="32" spans="1:2" ht="14.25" customHeight="1" x14ac:dyDescent="0.2">
      <c r="A32" s="432" t="s">
        <v>264</v>
      </c>
      <c r="B32" s="432"/>
    </row>
    <row r="33" spans="1:2" ht="18.2" customHeight="1" x14ac:dyDescent="0.2">
      <c r="A33" s="433" t="s">
        <v>265</v>
      </c>
      <c r="B33" s="433"/>
    </row>
    <row r="34" spans="1:2" x14ac:dyDescent="0.2">
      <c r="A34" s="363" t="s">
        <v>266</v>
      </c>
      <c r="B34" s="115">
        <v>30.4375</v>
      </c>
    </row>
    <row r="35" spans="1:2" x14ac:dyDescent="0.2">
      <c r="A35" s="363" t="s">
        <v>267</v>
      </c>
      <c r="B35" s="115">
        <v>1</v>
      </c>
    </row>
    <row r="36" spans="1:2" x14ac:dyDescent="0.2">
      <c r="A36" s="363" t="s">
        <v>268</v>
      </c>
      <c r="B36" s="115">
        <v>3.4521000000000002</v>
      </c>
    </row>
    <row r="37" spans="1:2" x14ac:dyDescent="0.2">
      <c r="A37" s="363" t="s">
        <v>269</v>
      </c>
      <c r="B37" s="115">
        <v>0.3044</v>
      </c>
    </row>
    <row r="38" spans="1:2" x14ac:dyDescent="0.2">
      <c r="A38" s="363" t="s">
        <v>270</v>
      </c>
      <c r="B38" s="115">
        <v>4.2700000000000002E-2</v>
      </c>
    </row>
    <row r="39" spans="1:2" x14ac:dyDescent="0.2">
      <c r="A39" s="363" t="s">
        <v>271</v>
      </c>
      <c r="B39" s="115">
        <v>3.6999999999999998E-2</v>
      </c>
    </row>
    <row r="40" spans="1:2" x14ac:dyDescent="0.2">
      <c r="A40" s="363" t="s">
        <v>272</v>
      </c>
      <c r="B40" s="115">
        <v>0.02</v>
      </c>
    </row>
    <row r="41" spans="1:2" x14ac:dyDescent="0.2">
      <c r="A41" s="363" t="s">
        <v>273</v>
      </c>
      <c r="B41" s="115">
        <v>4.0000000000000001E-3</v>
      </c>
    </row>
    <row r="42" spans="1:2" x14ac:dyDescent="0.2">
      <c r="A42" s="363" t="s">
        <v>274</v>
      </c>
      <c r="B42" s="115">
        <v>1.4E-3</v>
      </c>
    </row>
    <row r="43" spans="1:2" x14ac:dyDescent="0.2">
      <c r="A43" s="363" t="s">
        <v>275</v>
      </c>
      <c r="B43" s="115">
        <v>4.8616000000000001</v>
      </c>
    </row>
    <row r="44" spans="1:2" x14ac:dyDescent="0.2">
      <c r="A44"/>
      <c r="B44"/>
    </row>
    <row r="45" spans="1:2" ht="14.25" customHeight="1" x14ac:dyDescent="0.2">
      <c r="A45" s="432" t="s">
        <v>276</v>
      </c>
      <c r="B45" s="432"/>
    </row>
    <row r="46" spans="1:2" ht="21.95" customHeight="1" x14ac:dyDescent="0.2">
      <c r="A46" s="433" t="s">
        <v>277</v>
      </c>
      <c r="B46" s="433"/>
    </row>
    <row r="47" spans="1:2" ht="25.5" x14ac:dyDescent="0.2">
      <c r="A47" s="4" t="s">
        <v>278</v>
      </c>
      <c r="B47" s="116">
        <v>0.95</v>
      </c>
    </row>
    <row r="48" spans="1:2" ht="25.5" x14ac:dyDescent="0.2">
      <c r="A48" s="4" t="s">
        <v>279</v>
      </c>
      <c r="B48" s="116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432" t="s">
        <v>280</v>
      </c>
      <c r="B50" s="432"/>
      <c r="C50"/>
    </row>
    <row r="51" spans="1:3" ht="19.149999999999999" customHeight="1" x14ac:dyDescent="0.2">
      <c r="A51" s="433" t="s">
        <v>281</v>
      </c>
      <c r="B51" s="433"/>
      <c r="C51"/>
    </row>
    <row r="52" spans="1:3" x14ac:dyDescent="0.2">
      <c r="A52" s="4" t="s">
        <v>282</v>
      </c>
      <c r="B52" s="3">
        <v>0.85450000000000004</v>
      </c>
      <c r="C52"/>
    </row>
    <row r="53" spans="1:3" x14ac:dyDescent="0.2">
      <c r="A53" s="4" t="s">
        <v>266</v>
      </c>
      <c r="B53" s="3">
        <v>30.4375</v>
      </c>
      <c r="C53" s="112">
        <v>20.64</v>
      </c>
    </row>
    <row r="54" spans="1:3" x14ac:dyDescent="0.2">
      <c r="A54"/>
      <c r="B54"/>
    </row>
    <row r="55" spans="1:3" ht="14.25" customHeight="1" x14ac:dyDescent="0.2">
      <c r="A55" s="432" t="s">
        <v>283</v>
      </c>
      <c r="B55" s="432"/>
    </row>
    <row r="56" spans="1:3" ht="25.5" x14ac:dyDescent="0.2">
      <c r="A56" s="4" t="s">
        <v>284</v>
      </c>
      <c r="B56" s="116">
        <v>0.05</v>
      </c>
    </row>
    <row r="57" spans="1:3" ht="25.5" x14ac:dyDescent="0.2">
      <c r="A57" s="4" t="s">
        <v>285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432" t="s">
        <v>286</v>
      </c>
      <c r="B59" s="432"/>
    </row>
    <row r="60" spans="1:3" ht="38.25" customHeight="1" x14ac:dyDescent="0.2">
      <c r="A60" s="431" t="s">
        <v>287</v>
      </c>
      <c r="B60" s="431"/>
    </row>
    <row r="61" spans="1:3" ht="42" customHeight="1" x14ac:dyDescent="0.2">
      <c r="A61" s="431" t="s">
        <v>288</v>
      </c>
      <c r="B61" s="431"/>
    </row>
    <row r="62" spans="1:3" x14ac:dyDescent="0.2">
      <c r="A62"/>
      <c r="B62"/>
    </row>
    <row r="63" spans="1:3" ht="14.25" customHeight="1" x14ac:dyDescent="0.2">
      <c r="A63" s="432" t="s">
        <v>200</v>
      </c>
      <c r="B63" s="432"/>
    </row>
    <row r="64" spans="1:3" ht="133.5" customHeight="1" x14ac:dyDescent="0.2">
      <c r="A64" s="431" t="s">
        <v>289</v>
      </c>
      <c r="B64" s="431"/>
    </row>
  </sheetData>
  <mergeCells count="27">
    <mergeCell ref="A1:B1"/>
    <mergeCell ref="A3:B3"/>
    <mergeCell ref="A5:B5"/>
    <mergeCell ref="A12:B12"/>
    <mergeCell ref="A13:B13"/>
    <mergeCell ref="A9:B9"/>
    <mergeCell ref="A15:B15"/>
    <mergeCell ref="A19:B19"/>
    <mergeCell ref="A23:B23"/>
    <mergeCell ref="A24:B24"/>
    <mergeCell ref="A25:B25"/>
    <mergeCell ref="A26:B26"/>
    <mergeCell ref="A28:B28"/>
    <mergeCell ref="A29:B29"/>
    <mergeCell ref="A30:B30"/>
    <mergeCell ref="A32:B32"/>
    <mergeCell ref="A33:B33"/>
    <mergeCell ref="A45:B45"/>
    <mergeCell ref="A46:B46"/>
    <mergeCell ref="A50:B50"/>
    <mergeCell ref="A51:B51"/>
    <mergeCell ref="A64:B64"/>
    <mergeCell ref="A55:B55"/>
    <mergeCell ref="A59:B59"/>
    <mergeCell ref="A60:B60"/>
    <mergeCell ref="A61:B61"/>
    <mergeCell ref="A63:B63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AD47"/>
    <pageSetUpPr fitToPage="1"/>
  </sheetPr>
  <dimension ref="A1:AMK54"/>
  <sheetViews>
    <sheetView view="pageBreakPreview" zoomScaleNormal="100" workbookViewId="0">
      <selection activeCell="E54" sqref="E54"/>
    </sheetView>
  </sheetViews>
  <sheetFormatPr defaultRowHeight="14.25" x14ac:dyDescent="0.2"/>
  <cols>
    <col min="1" max="2" width="10.875" style="62"/>
    <col min="3" max="3" width="42.25" style="62"/>
    <col min="4" max="4" width="10.875" style="62"/>
    <col min="5" max="5" width="13.5" style="62"/>
    <col min="6" max="1025" width="10.875" style="62"/>
  </cols>
  <sheetData>
    <row r="1" spans="1:5" ht="96.75" customHeight="1" x14ac:dyDescent="0.2">
      <c r="A1" s="388" t="s">
        <v>290</v>
      </c>
      <c r="B1" s="388"/>
      <c r="C1" s="388"/>
      <c r="D1" s="388"/>
      <c r="E1" s="388"/>
    </row>
    <row r="2" spans="1:5" x14ac:dyDescent="0.2">
      <c r="A2"/>
      <c r="B2"/>
      <c r="C2"/>
      <c r="D2"/>
      <c r="E2"/>
    </row>
    <row r="3" spans="1:5" ht="17.45" customHeight="1" x14ac:dyDescent="0.2">
      <c r="A3" s="436" t="s">
        <v>291</v>
      </c>
      <c r="B3" s="436"/>
      <c r="C3" s="436"/>
      <c r="D3" s="436"/>
      <c r="E3" s="436"/>
    </row>
    <row r="4" spans="1:5" x14ac:dyDescent="0.2">
      <c r="A4"/>
      <c r="B4"/>
      <c r="C4"/>
      <c r="D4"/>
      <c r="E4"/>
    </row>
    <row r="5" spans="1:5" s="13" customFormat="1" ht="27.4" customHeight="1" x14ac:dyDescent="0.2">
      <c r="A5" s="436" t="str">
        <f>'CCT E VT'!$A$4</f>
        <v>Oficial de Manutenção Predial I (Eletricista/Instalador-Reparador de Reders Telefônicas e de comunicação de dados) –  CBO 5143-25 - Jornada 44h semanais</v>
      </c>
      <c r="B5" s="436"/>
      <c r="C5" s="436"/>
      <c r="D5" s="436"/>
      <c r="E5" s="436"/>
    </row>
    <row r="6" spans="1:5" ht="22.5" x14ac:dyDescent="0.2">
      <c r="A6" s="1" t="s">
        <v>292</v>
      </c>
      <c r="B6" s="1" t="s">
        <v>90</v>
      </c>
      <c r="C6" s="1" t="s">
        <v>91</v>
      </c>
      <c r="D6" s="1" t="s">
        <v>92</v>
      </c>
      <c r="E6" s="1" t="s">
        <v>293</v>
      </c>
    </row>
    <row r="7" spans="1:5" ht="22.5" x14ac:dyDescent="0.2">
      <c r="A7" s="493" t="s">
        <v>294</v>
      </c>
      <c r="B7" s="493">
        <v>43496</v>
      </c>
      <c r="C7" s="493" t="s">
        <v>295</v>
      </c>
      <c r="D7" s="493" t="s">
        <v>296</v>
      </c>
      <c r="E7" s="117"/>
    </row>
    <row r="8" spans="1:5" x14ac:dyDescent="0.2">
      <c r="A8"/>
      <c r="B8"/>
      <c r="C8"/>
      <c r="D8"/>
      <c r="E8"/>
    </row>
    <row r="9" spans="1:5" ht="14.25" customHeight="1" x14ac:dyDescent="0.2">
      <c r="A9" s="436" t="str">
        <f>'CCT E VT'!A7</f>
        <v>Oficial de Manutenção Predial II (Pedreiro/Bombeiro Hidráulico) – CBO 5143-25 -  Jornada 44h semanais</v>
      </c>
      <c r="B9" s="436"/>
      <c r="C9" s="436"/>
      <c r="D9" s="436"/>
      <c r="E9" s="436"/>
    </row>
    <row r="10" spans="1:5" ht="19.149999999999999" customHeight="1" x14ac:dyDescent="0.2">
      <c r="A10" s="1" t="s">
        <v>292</v>
      </c>
      <c r="B10" s="1" t="s">
        <v>90</v>
      </c>
      <c r="C10" s="1" t="s">
        <v>91</v>
      </c>
      <c r="D10" s="1" t="s">
        <v>92</v>
      </c>
      <c r="E10" s="1" t="s">
        <v>293</v>
      </c>
    </row>
    <row r="11" spans="1:5" ht="22.5" x14ac:dyDescent="0.2">
      <c r="A11" s="493" t="s">
        <v>294</v>
      </c>
      <c r="B11" s="493">
        <v>43501</v>
      </c>
      <c r="C11" s="493" t="s">
        <v>297</v>
      </c>
      <c r="D11" s="493" t="s">
        <v>296</v>
      </c>
      <c r="E11" s="117"/>
    </row>
    <row r="12" spans="1:5" x14ac:dyDescent="0.2">
      <c r="A12"/>
      <c r="B12"/>
      <c r="C12"/>
      <c r="D12"/>
      <c r="E12"/>
    </row>
    <row r="13" spans="1:5" ht="25.7" customHeight="1" x14ac:dyDescent="0.2">
      <c r="A13" s="436" t="str">
        <f>'CCT E VT'!A10</f>
        <v>Auxiliar de manutenção predial (Auxiliar Eletricista/Hidráulica/Pedreiro) – CBO 5143-10 - Jornada de 44h semanais</v>
      </c>
      <c r="B13" s="436"/>
      <c r="C13" s="436"/>
      <c r="D13" s="436"/>
      <c r="E13" s="436"/>
    </row>
    <row r="14" spans="1:5" ht="22.5" x14ac:dyDescent="0.2">
      <c r="A14" s="1" t="s">
        <v>292</v>
      </c>
      <c r="B14" s="1" t="s">
        <v>90</v>
      </c>
      <c r="C14" s="1" t="s">
        <v>91</v>
      </c>
      <c r="D14" s="1" t="s">
        <v>92</v>
      </c>
      <c r="E14" s="1" t="s">
        <v>293</v>
      </c>
    </row>
    <row r="15" spans="1:5" ht="22.5" x14ac:dyDescent="0.2">
      <c r="A15" s="493" t="s">
        <v>294</v>
      </c>
      <c r="B15" s="493">
        <v>43496</v>
      </c>
      <c r="C15" s="493" t="s">
        <v>295</v>
      </c>
      <c r="D15" s="493" t="s">
        <v>296</v>
      </c>
      <c r="E15" s="117"/>
    </row>
    <row r="17" spans="1:5" ht="14.25" customHeight="1" x14ac:dyDescent="0.2">
      <c r="A17" s="436" t="str">
        <f>'CCT E VT'!A13</f>
        <v>Engenheiro Civil - Jornada 30h semanais</v>
      </c>
      <c r="B17" s="436"/>
      <c r="C17" s="436"/>
      <c r="D17" s="436"/>
      <c r="E17" s="436"/>
    </row>
    <row r="18" spans="1:5" ht="22.5" x14ac:dyDescent="0.2">
      <c r="A18" s="1" t="s">
        <v>292</v>
      </c>
      <c r="B18" s="1" t="s">
        <v>90</v>
      </c>
      <c r="C18" s="1" t="s">
        <v>91</v>
      </c>
      <c r="D18" s="1" t="s">
        <v>92</v>
      </c>
      <c r="E18" s="1" t="s">
        <v>293</v>
      </c>
    </row>
    <row r="19" spans="1:5" ht="22.5" x14ac:dyDescent="0.2">
      <c r="A19" s="493" t="s">
        <v>294</v>
      </c>
      <c r="B19" s="493">
        <v>43498</v>
      </c>
      <c r="C19" s="493" t="s">
        <v>298</v>
      </c>
      <c r="D19" s="493" t="s">
        <v>299</v>
      </c>
      <c r="E19" s="117"/>
    </row>
    <row r="20" spans="1:5" x14ac:dyDescent="0.2">
      <c r="A20"/>
      <c r="B20"/>
      <c r="C20"/>
      <c r="D20"/>
      <c r="E20"/>
    </row>
    <row r="21" spans="1:5" ht="14.25" customHeight="1" x14ac:dyDescent="0.2">
      <c r="A21" s="436" t="str">
        <f>'CCT E VT'!A14</f>
        <v>Engenheiro Eletricista - Jornada 30h semanais</v>
      </c>
      <c r="B21" s="436"/>
      <c r="C21" s="436"/>
      <c r="D21" s="436"/>
      <c r="E21" s="436"/>
    </row>
    <row r="22" spans="1:5" ht="22.5" x14ac:dyDescent="0.2">
      <c r="A22" s="1" t="s">
        <v>292</v>
      </c>
      <c r="B22" s="1" t="s">
        <v>90</v>
      </c>
      <c r="C22" s="1" t="s">
        <v>91</v>
      </c>
      <c r="D22" s="1" t="s">
        <v>92</v>
      </c>
      <c r="E22" s="1" t="s">
        <v>293</v>
      </c>
    </row>
    <row r="23" spans="1:5" ht="22.5" x14ac:dyDescent="0.2">
      <c r="A23" s="493" t="s">
        <v>294</v>
      </c>
      <c r="B23" s="493">
        <v>43498</v>
      </c>
      <c r="C23" s="493" t="s">
        <v>298</v>
      </c>
      <c r="D23" s="493" t="s">
        <v>299</v>
      </c>
      <c r="E23" s="117"/>
    </row>
    <row r="24" spans="1:5" x14ac:dyDescent="0.2">
      <c r="A24"/>
      <c r="B24"/>
      <c r="C24"/>
      <c r="D24"/>
      <c r="E24"/>
    </row>
    <row r="25" spans="1:5" ht="14.25" customHeight="1" x14ac:dyDescent="0.2">
      <c r="A25" s="437" t="str">
        <f>'CCT E VT'!A15</f>
        <v>Encarregado de Manutenção – CBO 7102-05 - Jornada 44h semanais</v>
      </c>
      <c r="B25" s="437"/>
      <c r="C25" s="437"/>
      <c r="D25" s="437"/>
      <c r="E25" s="437"/>
    </row>
    <row r="26" spans="1:5" ht="22.5" x14ac:dyDescent="0.2">
      <c r="A26" s="1" t="s">
        <v>292</v>
      </c>
      <c r="B26" s="1" t="s">
        <v>90</v>
      </c>
      <c r="C26" s="1" t="s">
        <v>91</v>
      </c>
      <c r="D26" s="1" t="s">
        <v>92</v>
      </c>
      <c r="E26" s="1" t="s">
        <v>293</v>
      </c>
    </row>
    <row r="27" spans="1:5" ht="22.5" x14ac:dyDescent="0.2">
      <c r="A27" s="493" t="s">
        <v>294</v>
      </c>
      <c r="B27" s="493">
        <v>43499</v>
      </c>
      <c r="C27" s="493" t="s">
        <v>300</v>
      </c>
      <c r="D27" s="493" t="s">
        <v>299</v>
      </c>
      <c r="E27" s="117"/>
    </row>
    <row r="28" spans="1:5" x14ac:dyDescent="0.2">
      <c r="A28"/>
      <c r="B28"/>
      <c r="C28"/>
      <c r="D28"/>
      <c r="E28"/>
    </row>
    <row r="29" spans="1:5" x14ac:dyDescent="0.2">
      <c r="A29"/>
      <c r="B29"/>
      <c r="C29"/>
      <c r="D29"/>
      <c r="E29"/>
    </row>
    <row r="30" spans="1:5" ht="23.45" customHeight="1" x14ac:dyDescent="0.2">
      <c r="A30" s="436" t="s">
        <v>301</v>
      </c>
      <c r="B30" s="436"/>
      <c r="C30" s="436"/>
      <c r="D30" s="436"/>
      <c r="E30" s="436"/>
    </row>
    <row r="31" spans="1:5" x14ac:dyDescent="0.2">
      <c r="A31"/>
      <c r="B31"/>
      <c r="C31"/>
      <c r="D31"/>
      <c r="E31"/>
    </row>
    <row r="32" spans="1:5" ht="35.25" customHeight="1" x14ac:dyDescent="0.2">
      <c r="A32" s="436" t="str">
        <f>'CCT E VT'!$A$4</f>
        <v>Oficial de Manutenção Predial I (Eletricista/Instalador-Reparador de Reders Telefônicas e de comunicação de dados) –  CBO 5143-25 - Jornada 44h semanais</v>
      </c>
      <c r="B32" s="436"/>
      <c r="C32" s="436"/>
      <c r="D32" s="436"/>
      <c r="E32" s="436"/>
    </row>
    <row r="33" spans="1:5" ht="22.5" x14ac:dyDescent="0.2">
      <c r="A33" s="1" t="s">
        <v>292</v>
      </c>
      <c r="B33" s="1" t="s">
        <v>90</v>
      </c>
      <c r="C33" s="1" t="s">
        <v>91</v>
      </c>
      <c r="D33" s="1" t="s">
        <v>92</v>
      </c>
      <c r="E33" s="1" t="s">
        <v>293</v>
      </c>
    </row>
    <row r="34" spans="1:5" ht="22.5" x14ac:dyDescent="0.2">
      <c r="A34" s="493" t="s">
        <v>294</v>
      </c>
      <c r="B34" s="493">
        <v>43472</v>
      </c>
      <c r="C34" s="493" t="s">
        <v>302</v>
      </c>
      <c r="D34" s="493" t="s">
        <v>296</v>
      </c>
      <c r="E34" s="117"/>
    </row>
    <row r="35" spans="1:5" x14ac:dyDescent="0.2">
      <c r="A35"/>
      <c r="B35"/>
      <c r="C35"/>
      <c r="D35"/>
      <c r="E35"/>
    </row>
    <row r="36" spans="1:5" ht="14.25" customHeight="1" x14ac:dyDescent="0.2">
      <c r="A36" s="436" t="str">
        <f>'CCT E VT'!A7</f>
        <v>Oficial de Manutenção Predial II (Pedreiro/Bombeiro Hidráulico) – CBO 5143-25 -  Jornada 44h semanais</v>
      </c>
      <c r="B36" s="436"/>
      <c r="C36" s="436"/>
      <c r="D36" s="436"/>
      <c r="E36" s="436"/>
    </row>
    <row r="37" spans="1:5" ht="22.5" x14ac:dyDescent="0.2">
      <c r="A37" s="1" t="s">
        <v>292</v>
      </c>
      <c r="B37" s="1" t="s">
        <v>303</v>
      </c>
      <c r="C37" s="1" t="s">
        <v>91</v>
      </c>
      <c r="D37" s="1" t="s">
        <v>304</v>
      </c>
      <c r="E37" s="1" t="s">
        <v>293</v>
      </c>
    </row>
    <row r="38" spans="1:5" ht="22.5" x14ac:dyDescent="0.2">
      <c r="A38" s="493" t="s">
        <v>294</v>
      </c>
      <c r="B38" s="493">
        <v>43477</v>
      </c>
      <c r="C38" s="493" t="s">
        <v>305</v>
      </c>
      <c r="D38" s="493" t="s">
        <v>296</v>
      </c>
      <c r="E38" s="117"/>
    </row>
    <row r="39" spans="1:5" x14ac:dyDescent="0.2">
      <c r="A39"/>
      <c r="B39"/>
      <c r="C39"/>
      <c r="D39"/>
      <c r="E39"/>
    </row>
    <row r="40" spans="1:5" ht="14.25" customHeight="1" x14ac:dyDescent="0.2">
      <c r="A40" s="436" t="str">
        <f>'CCT E VT'!A10</f>
        <v>Auxiliar de manutenção predial (Auxiliar Eletricista/Hidráulica/Pedreiro) – CBO 5143-10 - Jornada de 44h semanais</v>
      </c>
      <c r="B40" s="436"/>
      <c r="C40" s="436"/>
      <c r="D40" s="436"/>
      <c r="E40" s="436"/>
    </row>
    <row r="41" spans="1:5" ht="22.5" x14ac:dyDescent="0.2">
      <c r="A41" s="1" t="s">
        <v>292</v>
      </c>
      <c r="B41" s="1" t="s">
        <v>303</v>
      </c>
      <c r="C41" s="1" t="s">
        <v>91</v>
      </c>
      <c r="D41" s="1" t="s">
        <v>304</v>
      </c>
      <c r="E41" s="1" t="s">
        <v>293</v>
      </c>
    </row>
    <row r="42" spans="1:5" ht="22.5" x14ac:dyDescent="0.2">
      <c r="A42" s="493" t="s">
        <v>294</v>
      </c>
      <c r="B42" s="493">
        <v>43472</v>
      </c>
      <c r="C42" s="493" t="s">
        <v>302</v>
      </c>
      <c r="D42" s="493" t="s">
        <v>296</v>
      </c>
      <c r="E42" s="117"/>
    </row>
    <row r="43" spans="1:5" x14ac:dyDescent="0.2">
      <c r="A43"/>
      <c r="B43"/>
      <c r="C43"/>
      <c r="D43"/>
      <c r="E43"/>
    </row>
    <row r="44" spans="1:5" ht="15.95" customHeight="1" x14ac:dyDescent="0.2">
      <c r="A44" s="436" t="str">
        <f>'CCT E VT'!A13</f>
        <v>Engenheiro Civil - Jornada 30h semanais</v>
      </c>
      <c r="B44" s="436"/>
      <c r="C44" s="436"/>
      <c r="D44" s="436"/>
      <c r="E44" s="436"/>
    </row>
    <row r="45" spans="1:5" ht="22.5" x14ac:dyDescent="0.2">
      <c r="A45" s="1" t="s">
        <v>292</v>
      </c>
      <c r="B45" s="1" t="s">
        <v>303</v>
      </c>
      <c r="C45" s="1" t="s">
        <v>91</v>
      </c>
      <c r="D45" s="1" t="s">
        <v>304</v>
      </c>
      <c r="E45" s="1" t="s">
        <v>293</v>
      </c>
    </row>
    <row r="46" spans="1:5" ht="22.5" x14ac:dyDescent="0.2">
      <c r="A46" s="493" t="s">
        <v>294</v>
      </c>
      <c r="B46" s="493">
        <v>43474</v>
      </c>
      <c r="C46" s="493" t="s">
        <v>306</v>
      </c>
      <c r="D46" s="493" t="s">
        <v>299</v>
      </c>
      <c r="E46" s="117"/>
    </row>
    <row r="47" spans="1:5" x14ac:dyDescent="0.2">
      <c r="A47"/>
      <c r="B47"/>
      <c r="C47"/>
      <c r="D47"/>
      <c r="E47"/>
    </row>
    <row r="48" spans="1:5" ht="17.45" customHeight="1" x14ac:dyDescent="0.2">
      <c r="A48" s="436" t="str">
        <f>'CCT E VT'!A14</f>
        <v>Engenheiro Eletricista - Jornada 30h semanais</v>
      </c>
      <c r="B48" s="436"/>
      <c r="C48" s="436"/>
      <c r="D48" s="436"/>
      <c r="E48" s="436"/>
    </row>
    <row r="49" spans="1:5" ht="22.5" x14ac:dyDescent="0.2">
      <c r="A49" s="1" t="s">
        <v>292</v>
      </c>
      <c r="B49" s="1" t="s">
        <v>303</v>
      </c>
      <c r="C49" s="1" t="s">
        <v>91</v>
      </c>
      <c r="D49" s="1" t="s">
        <v>304</v>
      </c>
      <c r="E49" s="1" t="s">
        <v>293</v>
      </c>
    </row>
    <row r="50" spans="1:5" ht="22.5" x14ac:dyDescent="0.2">
      <c r="A50" s="493" t="s">
        <v>294</v>
      </c>
      <c r="B50" s="493">
        <v>43474</v>
      </c>
      <c r="C50" s="493" t="s">
        <v>306</v>
      </c>
      <c r="D50" s="493" t="s">
        <v>299</v>
      </c>
      <c r="E50" s="117"/>
    </row>
    <row r="51" spans="1:5" x14ac:dyDescent="0.2">
      <c r="A51"/>
      <c r="B51"/>
      <c r="C51"/>
      <c r="D51"/>
      <c r="E51"/>
    </row>
    <row r="52" spans="1:5" ht="18.600000000000001" customHeight="1" x14ac:dyDescent="0.2">
      <c r="A52" s="436" t="str">
        <f>'CCT E VT'!A15</f>
        <v>Encarregado de Manutenção – CBO 7102-05 - Jornada 44h semanais</v>
      </c>
      <c r="B52" s="436"/>
      <c r="C52" s="436"/>
      <c r="D52" s="436"/>
      <c r="E52" s="436"/>
    </row>
    <row r="53" spans="1:5" ht="22.5" x14ac:dyDescent="0.2">
      <c r="A53" s="1" t="s">
        <v>292</v>
      </c>
      <c r="B53" s="1" t="s">
        <v>303</v>
      </c>
      <c r="C53" s="1" t="s">
        <v>91</v>
      </c>
      <c r="D53" s="1" t="s">
        <v>304</v>
      </c>
      <c r="E53" s="1" t="s">
        <v>293</v>
      </c>
    </row>
    <row r="54" spans="1:5" ht="22.5" x14ac:dyDescent="0.2">
      <c r="A54" s="493" t="s">
        <v>294</v>
      </c>
      <c r="B54" s="493">
        <v>43475</v>
      </c>
      <c r="C54" s="493" t="s">
        <v>307</v>
      </c>
      <c r="D54" s="493" t="s">
        <v>299</v>
      </c>
      <c r="E54" s="117"/>
    </row>
  </sheetData>
  <mergeCells count="15">
    <mergeCell ref="A1:E1"/>
    <mergeCell ref="A3:E3"/>
    <mergeCell ref="A5:E5"/>
    <mergeCell ref="A9:E9"/>
    <mergeCell ref="A13:E13"/>
    <mergeCell ref="A17:E17"/>
    <mergeCell ref="A21:E21"/>
    <mergeCell ref="A25:E25"/>
    <mergeCell ref="A30:E30"/>
    <mergeCell ref="A32:E32"/>
    <mergeCell ref="A36:E36"/>
    <mergeCell ref="A40:E40"/>
    <mergeCell ref="A44:E44"/>
    <mergeCell ref="A48:E48"/>
    <mergeCell ref="A52:E52"/>
  </mergeCells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AML56"/>
  <sheetViews>
    <sheetView view="pageBreakPreview" zoomScale="110" zoomScaleNormal="100" zoomScaleSheetLayoutView="110" zoomScalePageLayoutView="85" workbookViewId="0">
      <selection activeCell="G6" sqref="G6:G10"/>
    </sheetView>
  </sheetViews>
  <sheetFormatPr defaultRowHeight="14.25" x14ac:dyDescent="0.2"/>
  <cols>
    <col min="1" max="1" width="8.625" style="25"/>
    <col min="2" max="2" width="9.625" style="25" customWidth="1"/>
    <col min="3" max="3" width="24.75" style="62"/>
    <col min="4" max="4" width="8.75" style="25" customWidth="1"/>
    <col min="5" max="5" width="20.75" style="25" customWidth="1"/>
    <col min="6" max="8" width="8.75" style="25" customWidth="1"/>
    <col min="9" max="9" width="12" style="25" customWidth="1"/>
    <col min="10" max="14" width="8.75" style="25" customWidth="1"/>
    <col min="15" max="15" width="10.875" style="25"/>
    <col min="16" max="16" width="10.875" style="121"/>
    <col min="17" max="18" width="13.5" style="25" customWidth="1"/>
    <col min="19" max="19" width="25.5" style="25" customWidth="1"/>
    <col min="20" max="20" width="10.875" style="25"/>
    <col min="21" max="21" width="7" style="25"/>
    <col min="22" max="22" width="60.125" style="25"/>
    <col min="23" max="23" width="15.625" style="25"/>
    <col min="24" max="1026" width="10.875" style="25"/>
  </cols>
  <sheetData>
    <row r="1" spans="1:26" ht="85.5" customHeight="1" x14ac:dyDescent="0.2">
      <c r="A1" s="440" t="s">
        <v>839</v>
      </c>
      <c r="B1" s="441"/>
      <c r="C1" s="441"/>
      <c r="D1" s="441"/>
      <c r="E1" s="441"/>
      <c r="F1" s="441"/>
      <c r="G1" s="441"/>
      <c r="H1" s="441"/>
      <c r="I1" s="441"/>
      <c r="J1" s="441"/>
      <c r="K1" s="205"/>
      <c r="L1" s="205"/>
      <c r="M1" s="205"/>
      <c r="N1" s="205"/>
      <c r="O1" s="205"/>
      <c r="P1" s="205"/>
      <c r="Q1" s="205"/>
      <c r="R1" s="205"/>
      <c r="S1"/>
      <c r="T1"/>
      <c r="U1"/>
      <c r="V1"/>
      <c r="W1"/>
      <c r="X1"/>
      <c r="Y1"/>
      <c r="Z1"/>
    </row>
    <row r="2" spans="1:26" ht="5.25" customHeight="1" x14ac:dyDescent="0.2">
      <c r="A2"/>
      <c r="B2"/>
      <c r="C2" s="122"/>
      <c r="D2"/>
      <c r="E2"/>
      <c r="F2"/>
      <c r="G2"/>
      <c r="H2"/>
      <c r="I2"/>
      <c r="J2"/>
      <c r="K2"/>
      <c r="L2"/>
      <c r="M2"/>
      <c r="N2"/>
      <c r="O2"/>
      <c r="P2" s="119"/>
      <c r="Q2"/>
      <c r="R2"/>
      <c r="S2"/>
      <c r="T2" s="442" t="s">
        <v>311</v>
      </c>
      <c r="U2" s="442"/>
      <c r="V2" s="442"/>
      <c r="W2" s="442"/>
      <c r="X2" s="442"/>
      <c r="Y2" s="442"/>
      <c r="Z2" s="442"/>
    </row>
    <row r="3" spans="1:26" x14ac:dyDescent="0.2">
      <c r="A3"/>
      <c r="B3"/>
      <c r="C3"/>
      <c r="D3"/>
      <c r="E3"/>
      <c r="F3"/>
      <c r="G3"/>
      <c r="H3"/>
      <c r="I3"/>
      <c r="J3"/>
      <c r="K3"/>
    </row>
    <row r="4" spans="1:26" x14ac:dyDescent="0.2">
      <c r="A4" s="438" t="s">
        <v>840</v>
      </c>
      <c r="B4" s="438"/>
      <c r="C4" s="438"/>
      <c r="D4" s="438"/>
      <c r="E4" s="438"/>
      <c r="F4" s="438"/>
      <c r="G4" s="438"/>
      <c r="H4" s="438"/>
      <c r="I4" s="438"/>
      <c r="J4" s="438"/>
      <c r="K4" s="59"/>
    </row>
    <row r="5" spans="1:26" ht="33.75" x14ac:dyDescent="0.2">
      <c r="A5" s="12" t="s">
        <v>309</v>
      </c>
      <c r="B5" s="439" t="s">
        <v>330</v>
      </c>
      <c r="C5" s="439"/>
      <c r="D5" s="439"/>
      <c r="E5" s="12" t="s">
        <v>92</v>
      </c>
      <c r="F5" s="12" t="s">
        <v>335</v>
      </c>
      <c r="G5" s="12" t="s">
        <v>313</v>
      </c>
      <c r="H5" s="12" t="s">
        <v>336</v>
      </c>
      <c r="I5" s="12" t="s">
        <v>337</v>
      </c>
      <c r="J5" s="12" t="s">
        <v>338</v>
      </c>
      <c r="K5" s="285"/>
    </row>
    <row r="6" spans="1:26" x14ac:dyDescent="0.2">
      <c r="A6" s="352" t="s">
        <v>339</v>
      </c>
      <c r="B6" s="494" t="s">
        <v>340</v>
      </c>
      <c r="C6" s="494"/>
      <c r="D6" s="494"/>
      <c r="E6" s="352" t="s">
        <v>334</v>
      </c>
      <c r="F6" s="495">
        <v>48</v>
      </c>
      <c r="G6" s="130"/>
      <c r="H6" s="498">
        <f>G6*F6</f>
        <v>0</v>
      </c>
      <c r="I6" s="499">
        <f>'V - BDI'!C18</f>
        <v>4.7120418848167533E-2</v>
      </c>
      <c r="J6" s="500">
        <f>H6*(I6+1)</f>
        <v>0</v>
      </c>
      <c r="K6" s="129"/>
      <c r="L6" s="131"/>
    </row>
    <row r="7" spans="1:26" ht="25.5" customHeight="1" x14ac:dyDescent="0.2">
      <c r="A7" s="352" t="s">
        <v>341</v>
      </c>
      <c r="B7" s="494" t="s">
        <v>342</v>
      </c>
      <c r="C7" s="494"/>
      <c r="D7" s="494"/>
      <c r="E7" s="352" t="s">
        <v>334</v>
      </c>
      <c r="F7" s="352">
        <v>0</v>
      </c>
      <c r="G7" s="130"/>
      <c r="H7" s="498">
        <f>G7*F7</f>
        <v>0</v>
      </c>
      <c r="I7" s="499">
        <f>'V - BDI'!C18</f>
        <v>4.7120418848167533E-2</v>
      </c>
      <c r="J7" s="500">
        <f>H7*(I7+1)</f>
        <v>0</v>
      </c>
      <c r="K7" s="129"/>
    </row>
    <row r="8" spans="1:26" ht="22.5" customHeight="1" x14ac:dyDescent="0.2">
      <c r="A8" s="352" t="s">
        <v>343</v>
      </c>
      <c r="B8" s="494" t="s">
        <v>331</v>
      </c>
      <c r="C8" s="494"/>
      <c r="D8" s="494"/>
      <c r="E8" s="352" t="s">
        <v>326</v>
      </c>
      <c r="F8" s="496">
        <v>65.25</v>
      </c>
      <c r="G8" s="130"/>
      <c r="H8" s="498">
        <f>G8*F8</f>
        <v>0</v>
      </c>
      <c r="I8" s="499">
        <f>'V - BDI'!C18</f>
        <v>4.7120418848167533E-2</v>
      </c>
      <c r="J8" s="500">
        <f>H8*(I8+1)</f>
        <v>0</v>
      </c>
      <c r="L8" s="131"/>
    </row>
    <row r="9" spans="1:26" x14ac:dyDescent="0.2">
      <c r="A9" s="352" t="s">
        <v>344</v>
      </c>
      <c r="B9" s="494" t="s">
        <v>345</v>
      </c>
      <c r="C9" s="494"/>
      <c r="D9" s="494"/>
      <c r="E9" s="352" t="s">
        <v>346</v>
      </c>
      <c r="F9" s="497">
        <v>2</v>
      </c>
      <c r="G9" s="326"/>
      <c r="H9" s="498">
        <f>G9*F9</f>
        <v>0</v>
      </c>
      <c r="I9" s="499">
        <f>'V - BDI'!C18</f>
        <v>4.7120418848167533E-2</v>
      </c>
      <c r="J9" s="500">
        <f>H9*(I9+1)</f>
        <v>0</v>
      </c>
      <c r="K9" s="131"/>
      <c r="L9" s="131"/>
    </row>
    <row r="10" spans="1:26" ht="14.25" customHeight="1" x14ac:dyDescent="0.2">
      <c r="A10" s="352">
        <v>5</v>
      </c>
      <c r="B10" s="494" t="s">
        <v>113</v>
      </c>
      <c r="C10" s="494"/>
      <c r="D10" s="494"/>
      <c r="E10" s="352" t="s">
        <v>838</v>
      </c>
      <c r="F10" s="497">
        <v>1</v>
      </c>
      <c r="H10" s="498">
        <f>G10*F10</f>
        <v>0</v>
      </c>
      <c r="I10" s="499">
        <f>'V - BDI'!C18</f>
        <v>4.7120418848167533E-2</v>
      </c>
      <c r="J10" s="500">
        <f>H10*(I10+1)</f>
        <v>0</v>
      </c>
    </row>
    <row r="34" spans="19:25" hidden="1" x14ac:dyDescent="0.2">
      <c r="S34"/>
      <c r="X34" s="25" t="s">
        <v>347</v>
      </c>
      <c r="Y34"/>
    </row>
    <row r="35" spans="19:25" hidden="1" x14ac:dyDescent="0.2">
      <c r="S35" s="25" t="s">
        <v>348</v>
      </c>
      <c r="Y35"/>
    </row>
    <row r="36" spans="19:25" hidden="1" x14ac:dyDescent="0.2">
      <c r="S36" s="25" t="s">
        <v>349</v>
      </c>
      <c r="X36" s="25" t="s">
        <v>350</v>
      </c>
      <c r="Y36" s="25">
        <f>$X$34*X36</f>
        <v>2.8728028800000001</v>
      </c>
    </row>
    <row r="37" spans="19:25" hidden="1" x14ac:dyDescent="0.2">
      <c r="S37" s="25" t="s">
        <v>351</v>
      </c>
      <c r="Y37"/>
    </row>
    <row r="38" spans="19:25" hidden="1" x14ac:dyDescent="0.2">
      <c r="S38" s="25" t="s">
        <v>349</v>
      </c>
      <c r="X38" s="25" t="s">
        <v>352</v>
      </c>
      <c r="Y38" s="25">
        <f>$X$34*X38</f>
        <v>0.45486045599999997</v>
      </c>
    </row>
    <row r="39" spans="19:25" hidden="1" x14ac:dyDescent="0.2">
      <c r="S39" s="25" t="s">
        <v>353</v>
      </c>
      <c r="Y39"/>
    </row>
    <row r="40" spans="19:25" hidden="1" x14ac:dyDescent="0.2">
      <c r="S40" s="25" t="s">
        <v>349</v>
      </c>
      <c r="X40" s="25" t="s">
        <v>354</v>
      </c>
      <c r="Y40" s="25">
        <f>$X$34*X40</f>
        <v>0.17955018</v>
      </c>
    </row>
    <row r="41" spans="19:25" hidden="1" x14ac:dyDescent="0.2">
      <c r="S41" s="25" t="s">
        <v>355</v>
      </c>
      <c r="Y41"/>
    </row>
    <row r="42" spans="19:25" hidden="1" x14ac:dyDescent="0.2">
      <c r="S42" s="25" t="s">
        <v>349</v>
      </c>
      <c r="X42" s="25" t="s">
        <v>356</v>
      </c>
      <c r="Y42" s="25">
        <f>$X$34*X42</f>
        <v>3.5910036000000001</v>
      </c>
    </row>
    <row r="43" spans="19:25" hidden="1" x14ac:dyDescent="0.2">
      <c r="S43" s="25" t="s">
        <v>357</v>
      </c>
      <c r="Y43"/>
    </row>
    <row r="44" spans="19:25" hidden="1" x14ac:dyDescent="0.2">
      <c r="S44" s="25" t="s">
        <v>349</v>
      </c>
      <c r="X44" s="25" t="s">
        <v>358</v>
      </c>
      <c r="Y44" s="25">
        <f>X44*6</f>
        <v>40.14</v>
      </c>
    </row>
    <row r="45" spans="19:25" hidden="1" x14ac:dyDescent="0.2">
      <c r="X45"/>
      <c r="Y45"/>
    </row>
    <row r="46" spans="19:25" hidden="1" x14ac:dyDescent="0.2">
      <c r="X46"/>
      <c r="Y46" s="25">
        <f>SUM(Y36:Y44)</f>
        <v>47.238217116000001</v>
      </c>
    </row>
    <row r="47" spans="19:25" hidden="1" x14ac:dyDescent="0.2">
      <c r="X47"/>
      <c r="Y47" s="25">
        <f>Y46/80</f>
        <v>0.59047771395000004</v>
      </c>
    </row>
    <row r="54" spans="24:25" x14ac:dyDescent="0.2">
      <c r="X54" s="25">
        <v>6.69</v>
      </c>
      <c r="Y54" s="25">
        <v>80</v>
      </c>
    </row>
    <row r="55" spans="24:25" x14ac:dyDescent="0.2">
      <c r="X55" s="25">
        <f>X54/Y54</f>
        <v>8.3625000000000005E-2</v>
      </c>
    </row>
    <row r="56" spans="24:25" x14ac:dyDescent="0.2">
      <c r="X56" s="25" t="s">
        <v>359</v>
      </c>
    </row>
  </sheetData>
  <mergeCells count="9">
    <mergeCell ref="B10:D10"/>
    <mergeCell ref="A1:J1"/>
    <mergeCell ref="T2:Z2"/>
    <mergeCell ref="B8:D8"/>
    <mergeCell ref="B9:D9"/>
    <mergeCell ref="A4:J4"/>
    <mergeCell ref="B5:D5"/>
    <mergeCell ref="B6:D6"/>
    <mergeCell ref="B7:D7"/>
  </mergeCells>
  <phoneticPr fontId="12" type="noConversion"/>
  <printOptions horizontalCentered="1"/>
  <pageMargins left="0.39370078740157483" right="0.39370078740157483" top="0.59055118110236227" bottom="0.39370078740157483" header="0" footer="0"/>
  <pageSetup paperSize="9" firstPageNumber="0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E19-0BA7-4248-BD61-F3702F847588}">
  <sheetPr>
    <tabColor theme="9" tint="0.59999389629810485"/>
  </sheetPr>
  <dimension ref="A1:Z96"/>
  <sheetViews>
    <sheetView view="pageBreakPreview" topLeftCell="A10" zoomScale="85" zoomScaleNormal="100" zoomScaleSheetLayoutView="85" workbookViewId="0">
      <selection activeCell="G79" sqref="G79"/>
    </sheetView>
  </sheetViews>
  <sheetFormatPr defaultColWidth="9" defaultRowHeight="14.25" x14ac:dyDescent="0.2"/>
  <cols>
    <col min="1" max="2" width="9" style="192"/>
    <col min="3" max="3" width="10.75" style="192" customWidth="1"/>
    <col min="4" max="7" width="9" style="192" customWidth="1"/>
    <col min="8" max="8" width="9.25" style="192" bestFit="1" customWidth="1"/>
    <col min="9" max="9" width="9.375" style="193" customWidth="1"/>
    <col min="10" max="10" width="9.5" style="192" bestFit="1" customWidth="1"/>
    <col min="11" max="14" width="9" style="192" customWidth="1"/>
    <col min="15" max="15" width="7.875" style="192" customWidth="1"/>
    <col min="16" max="16" width="12" style="192" customWidth="1"/>
    <col min="17" max="17" width="11.75" style="192" customWidth="1"/>
    <col min="18" max="18" width="9" style="192"/>
    <col min="19" max="19" width="11.75" style="192" bestFit="1" customWidth="1"/>
    <col min="20" max="20" width="6.25" style="192" bestFit="1" customWidth="1"/>
    <col min="21" max="21" width="11.875" style="192" bestFit="1" customWidth="1"/>
    <col min="22" max="22" width="9" style="192"/>
    <col min="23" max="23" width="10.625" style="192" bestFit="1" customWidth="1"/>
    <col min="24" max="24" width="11.25" style="192" bestFit="1" customWidth="1"/>
    <col min="25" max="25" width="16.5" style="192" bestFit="1" customWidth="1"/>
    <col min="26" max="26" width="11.125" style="192" bestFit="1" customWidth="1"/>
    <col min="27" max="16384" width="9" style="192"/>
  </cols>
  <sheetData>
    <row r="1" spans="1:25" ht="15" x14ac:dyDescent="0.2">
      <c r="P1" s="457"/>
      <c r="Q1" s="457"/>
      <c r="R1" s="457"/>
      <c r="S1" s="457"/>
      <c r="T1" s="457"/>
      <c r="U1" s="457"/>
      <c r="V1" s="457"/>
      <c r="W1" s="457"/>
      <c r="X1" s="457"/>
      <c r="Y1" s="457"/>
    </row>
    <row r="2" spans="1:25" ht="15.75" thickBot="1" x14ac:dyDescent="0.25">
      <c r="A2" s="443" t="s">
        <v>360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333"/>
      <c r="P2" s="458" t="s">
        <v>828</v>
      </c>
      <c r="Q2" s="458"/>
      <c r="R2" s="458"/>
      <c r="S2" s="458"/>
      <c r="T2" s="458"/>
      <c r="U2" s="458"/>
      <c r="V2" s="458"/>
      <c r="W2" s="458"/>
      <c r="X2" s="458"/>
      <c r="Y2" s="458"/>
    </row>
    <row r="3" spans="1:25" ht="24.75" customHeight="1" x14ac:dyDescent="0.2">
      <c r="A3" s="445" t="s">
        <v>309</v>
      </c>
      <c r="B3" s="446" t="s">
        <v>312</v>
      </c>
      <c r="C3" s="446"/>
      <c r="D3" s="447"/>
      <c r="E3" s="448" t="s">
        <v>361</v>
      </c>
      <c r="F3" s="448"/>
      <c r="G3" s="448"/>
      <c r="H3" s="448"/>
      <c r="I3" s="448"/>
      <c r="J3" s="448"/>
      <c r="K3" s="448"/>
      <c r="L3" s="449" t="s">
        <v>362</v>
      </c>
      <c r="M3" s="449"/>
      <c r="N3" s="449"/>
      <c r="O3" s="465" t="s">
        <v>836</v>
      </c>
      <c r="P3" s="459" t="s">
        <v>540</v>
      </c>
      <c r="Q3" s="460"/>
      <c r="R3" s="467" t="s">
        <v>831</v>
      </c>
      <c r="S3" s="468"/>
      <c r="T3" s="468"/>
      <c r="U3" s="468"/>
      <c r="V3" s="468"/>
      <c r="W3" s="469"/>
      <c r="X3" s="461" t="s">
        <v>832</v>
      </c>
      <c r="Y3" s="463" t="s">
        <v>837</v>
      </c>
    </row>
    <row r="4" spans="1:25" ht="113.25" thickBot="1" x14ac:dyDescent="0.25">
      <c r="A4" s="439"/>
      <c r="B4" s="293" t="s">
        <v>314</v>
      </c>
      <c r="C4" s="293" t="s">
        <v>315</v>
      </c>
      <c r="D4" s="294" t="s">
        <v>316</v>
      </c>
      <c r="E4" s="295" t="s">
        <v>317</v>
      </c>
      <c r="F4" s="295" t="s">
        <v>230</v>
      </c>
      <c r="G4" s="296" t="s">
        <v>318</v>
      </c>
      <c r="H4" s="295" t="s">
        <v>319</v>
      </c>
      <c r="I4" s="295" t="s">
        <v>320</v>
      </c>
      <c r="J4" s="297" t="s">
        <v>321</v>
      </c>
      <c r="K4" s="295" t="s">
        <v>322</v>
      </c>
      <c r="L4" s="340" t="s">
        <v>363</v>
      </c>
      <c r="M4" s="341" t="s">
        <v>364</v>
      </c>
      <c r="N4" s="342" t="s">
        <v>829</v>
      </c>
      <c r="O4" s="466"/>
      <c r="P4" s="336" t="s">
        <v>321</v>
      </c>
      <c r="Q4" s="336" t="s">
        <v>830</v>
      </c>
      <c r="R4" s="470" t="s">
        <v>834</v>
      </c>
      <c r="S4" s="471"/>
      <c r="T4" s="472" t="s">
        <v>835</v>
      </c>
      <c r="U4" s="472"/>
      <c r="V4" s="472" t="s">
        <v>833</v>
      </c>
      <c r="W4" s="473"/>
      <c r="X4" s="462"/>
      <c r="Y4" s="464"/>
    </row>
    <row r="5" spans="1:25" ht="22.5" x14ac:dyDescent="0.2">
      <c r="A5" s="123">
        <v>1</v>
      </c>
      <c r="B5" s="124">
        <v>0</v>
      </c>
      <c r="C5" s="125" t="s">
        <v>755</v>
      </c>
      <c r="D5" s="124" t="s">
        <v>323</v>
      </c>
      <c r="E5" s="126">
        <v>0</v>
      </c>
      <c r="F5" s="196" t="s">
        <v>325</v>
      </c>
      <c r="G5" s="198">
        <v>0</v>
      </c>
      <c r="H5" s="127">
        <v>4.0084808389542523</v>
      </c>
      <c r="I5" s="209" t="s">
        <v>324</v>
      </c>
      <c r="J5" s="128">
        <v>0</v>
      </c>
      <c r="K5" s="298">
        <v>0</v>
      </c>
      <c r="L5" s="299">
        <f>J5/$J$77</f>
        <v>0</v>
      </c>
      <c r="M5" s="299">
        <f>IF(K78=0,0,K5/$K$78)</f>
        <v>0</v>
      </c>
      <c r="N5" s="299">
        <f>ROUND((IF(OR(F5="Terrestre",F5="Terrestre com Balsa"),G5,0))/$G$78,6)</f>
        <v>0</v>
      </c>
      <c r="O5" s="347">
        <f>H5/$H$77</f>
        <v>7.5566445378482949E-2</v>
      </c>
      <c r="P5" s="337">
        <f>'II - Planilha Consolidada'!$F$21*L5</f>
        <v>0</v>
      </c>
      <c r="Q5" s="337">
        <f>'II - Planilha Consolidada'!$G$23*N5+'II - Planilha Consolidada'!$G$24*O5</f>
        <v>0</v>
      </c>
      <c r="R5" s="299"/>
      <c r="S5" s="337">
        <f>R5*SUM('II - Planilha Consolidada'!$H$13:$H$14)</f>
        <v>0</v>
      </c>
      <c r="T5" s="299">
        <f>H5/$I$76</f>
        <v>0.15546719281902383</v>
      </c>
      <c r="U5" s="337">
        <f>T5*SUM('II - Planilha Consolidada'!$G$9:$G$11)</f>
        <v>0</v>
      </c>
      <c r="V5" s="347">
        <f>O5</f>
        <v>7.5566445378482949E-2</v>
      </c>
      <c r="W5" s="337">
        <f>SUM('II - Planilha Consolidada'!$G$18:$G$20)*V5</f>
        <v>0</v>
      </c>
      <c r="X5" s="337">
        <f>SUM('II - Planilha Consolidada'!$G$25:$G$26)*'V-A - ISS'!D4</f>
        <v>0</v>
      </c>
      <c r="Y5" s="337">
        <f>P5+Q5+S5+U5+W5+X5</f>
        <v>0</v>
      </c>
    </row>
    <row r="6" spans="1:25" ht="22.5" x14ac:dyDescent="0.2">
      <c r="A6" s="123">
        <v>2</v>
      </c>
      <c r="B6" s="124">
        <v>1</v>
      </c>
      <c r="C6" s="125" t="s">
        <v>757</v>
      </c>
      <c r="D6" s="124" t="s">
        <v>327</v>
      </c>
      <c r="E6" s="126">
        <v>7.58</v>
      </c>
      <c r="F6" s="196" t="s">
        <v>325</v>
      </c>
      <c r="G6" s="198">
        <v>0.33333333333333331</v>
      </c>
      <c r="H6" s="127">
        <v>1.8702061136941006</v>
      </c>
      <c r="I6" s="209" t="s">
        <v>324</v>
      </c>
      <c r="J6" s="128">
        <v>0</v>
      </c>
      <c r="K6" s="298">
        <v>0</v>
      </c>
      <c r="L6" s="299">
        <f t="shared" ref="L6:L69" si="0">J6/$J$77</f>
        <v>0</v>
      </c>
      <c r="M6" s="299">
        <f t="shared" ref="M6:M69" si="1">IF(K79=0,0,K6/$K$78)</f>
        <v>0</v>
      </c>
      <c r="N6" s="299">
        <f t="shared" ref="N6:N69" si="2">ROUND((IF(OR(F6="Terrestre",F6="Terrestre com Balsa"),G6,0))/$G$78,6)</f>
        <v>5.1089999999999998E-3</v>
      </c>
      <c r="O6" s="347">
        <f t="shared" ref="O6:O69" si="3">H6/$H$77</f>
        <v>3.5256455952983795E-2</v>
      </c>
      <c r="P6" s="337">
        <f>'II - Planilha Consolidada'!$F$21*L6</f>
        <v>0</v>
      </c>
      <c r="Q6" s="337">
        <f>'II - Planilha Consolidada'!$G$23*N6+'II - Planilha Consolidada'!$G$24*O6</f>
        <v>0</v>
      </c>
      <c r="R6" s="299"/>
      <c r="S6" s="337">
        <f>R6*SUM('II - Planilha Consolidada'!$H$13:$H$14)</f>
        <v>0</v>
      </c>
      <c r="T6" s="299">
        <f t="shared" ref="T6:T9" si="4">H6/$I$76</f>
        <v>7.2535133924913897E-2</v>
      </c>
      <c r="U6" s="337">
        <f>T6*SUM('II - Planilha Consolidada'!$G$9:$G$11)</f>
        <v>0</v>
      </c>
      <c r="V6" s="347">
        <f t="shared" ref="V6:V69" si="5">O6</f>
        <v>3.5256455952983795E-2</v>
      </c>
      <c r="W6" s="337">
        <f>SUM('II - Planilha Consolidada'!$G$18:$G$20)*V6</f>
        <v>0</v>
      </c>
      <c r="X6" s="337">
        <f>SUM('II - Planilha Consolidada'!$G$25:$G$26)*'V-A - ISS'!D5</f>
        <v>0</v>
      </c>
      <c r="Y6" s="337">
        <f t="shared" ref="Y6:Y69" si="6">P6+Q6+S6+U6+W6+X6</f>
        <v>0</v>
      </c>
    </row>
    <row r="7" spans="1:25" ht="22.5" x14ac:dyDescent="0.2">
      <c r="A7" s="123">
        <v>3</v>
      </c>
      <c r="B7" s="124">
        <v>2</v>
      </c>
      <c r="C7" s="125" t="s">
        <v>759</v>
      </c>
      <c r="D7" s="124" t="s">
        <v>327</v>
      </c>
      <c r="E7" s="126">
        <v>26.759999999999998</v>
      </c>
      <c r="F7" s="196" t="s">
        <v>325</v>
      </c>
      <c r="G7" s="198">
        <v>1.0666666666666667</v>
      </c>
      <c r="H7" s="127">
        <v>4.4848759123853172</v>
      </c>
      <c r="I7" s="209" t="s">
        <v>324</v>
      </c>
      <c r="J7" s="128">
        <v>0</v>
      </c>
      <c r="K7" s="298">
        <v>0</v>
      </c>
      <c r="L7" s="299">
        <f t="shared" si="0"/>
        <v>0</v>
      </c>
      <c r="M7" s="299">
        <f t="shared" si="1"/>
        <v>0</v>
      </c>
      <c r="N7" s="299">
        <f t="shared" si="2"/>
        <v>1.6347E-2</v>
      </c>
      <c r="O7" s="347">
        <f t="shared" si="3"/>
        <v>8.4547274710424725E-2</v>
      </c>
      <c r="P7" s="337">
        <f>'II - Planilha Consolidada'!$F$21*L7</f>
        <v>0</v>
      </c>
      <c r="Q7" s="337">
        <f>'II - Planilha Consolidada'!$G$23*N7+'II - Planilha Consolidada'!$G$24*O7</f>
        <v>0</v>
      </c>
      <c r="R7" s="299"/>
      <c r="S7" s="337">
        <f>R7*SUM('II - Planilha Consolidada'!$H$13:$H$14)</f>
        <v>0</v>
      </c>
      <c r="T7" s="299">
        <f t="shared" si="4"/>
        <v>0.17394396936224474</v>
      </c>
      <c r="U7" s="337">
        <f>T7*SUM('II - Planilha Consolidada'!$G$9:$G$11)</f>
        <v>0</v>
      </c>
      <c r="V7" s="347">
        <f t="shared" si="5"/>
        <v>8.4547274710424725E-2</v>
      </c>
      <c r="W7" s="337">
        <f>SUM('II - Planilha Consolidada'!$G$18:$G$20)*V7</f>
        <v>0</v>
      </c>
      <c r="X7" s="337">
        <f>SUM('II - Planilha Consolidada'!$G$25:$G$26)*'V-A - ISS'!D6</f>
        <v>0</v>
      </c>
      <c r="Y7" s="337">
        <f t="shared" si="6"/>
        <v>0</v>
      </c>
    </row>
    <row r="8" spans="1:25" ht="22.5" x14ac:dyDescent="0.2">
      <c r="A8" s="123">
        <v>4</v>
      </c>
      <c r="B8" s="124">
        <v>3</v>
      </c>
      <c r="C8" s="125" t="s">
        <v>761</v>
      </c>
      <c r="D8" s="124" t="s">
        <v>327</v>
      </c>
      <c r="E8" s="126">
        <v>28.200000000000003</v>
      </c>
      <c r="F8" s="196" t="s">
        <v>325</v>
      </c>
      <c r="G8" s="198">
        <v>0.93333333333333335</v>
      </c>
      <c r="H8" s="127">
        <v>4.3453215805341232</v>
      </c>
      <c r="I8" s="209" t="s">
        <v>324</v>
      </c>
      <c r="J8" s="128">
        <v>0</v>
      </c>
      <c r="K8" s="298">
        <v>0</v>
      </c>
      <c r="L8" s="299">
        <f t="shared" si="0"/>
        <v>0</v>
      </c>
      <c r="M8" s="299">
        <f t="shared" si="1"/>
        <v>0</v>
      </c>
      <c r="N8" s="299">
        <f t="shared" si="2"/>
        <v>1.4304000000000001E-2</v>
      </c>
      <c r="O8" s="347">
        <f t="shared" si="3"/>
        <v>8.1916446419396868E-2</v>
      </c>
      <c r="P8" s="337">
        <f>'II - Planilha Consolidada'!$F$21*L8</f>
        <v>0</v>
      </c>
      <c r="Q8" s="337">
        <f>'II - Planilha Consolidada'!$G$23*N8+'II - Planilha Consolidada'!$G$24*O8</f>
        <v>0</v>
      </c>
      <c r="R8" s="299"/>
      <c r="S8" s="337">
        <f>R8*SUM('II - Planilha Consolidada'!$H$13:$H$14)</f>
        <v>0</v>
      </c>
      <c r="T8" s="299">
        <f t="shared" si="4"/>
        <v>0.16853141505793132</v>
      </c>
      <c r="U8" s="337">
        <f>T8*SUM('II - Planilha Consolidada'!$G$9:$G$11)</f>
        <v>0</v>
      </c>
      <c r="V8" s="347">
        <f t="shared" si="5"/>
        <v>8.1916446419396868E-2</v>
      </c>
      <c r="W8" s="337">
        <f>SUM('II - Planilha Consolidada'!$G$18:$G$20)*V8</f>
        <v>0</v>
      </c>
      <c r="X8" s="337">
        <f>SUM('II - Planilha Consolidada'!$G$25:$G$26)*'V-A - ISS'!D7</f>
        <v>0</v>
      </c>
      <c r="Y8" s="337">
        <f t="shared" si="6"/>
        <v>0</v>
      </c>
    </row>
    <row r="9" spans="1:25" ht="22.5" x14ac:dyDescent="0.2">
      <c r="A9" s="123">
        <v>5</v>
      </c>
      <c r="B9" s="124">
        <v>4</v>
      </c>
      <c r="C9" s="125" t="s">
        <v>763</v>
      </c>
      <c r="D9" s="124" t="s">
        <v>328</v>
      </c>
      <c r="E9" s="126">
        <v>204</v>
      </c>
      <c r="F9" s="196" t="s">
        <v>325</v>
      </c>
      <c r="G9" s="198">
        <v>2.8</v>
      </c>
      <c r="H9" s="127">
        <v>2.7281872972565897</v>
      </c>
      <c r="I9" s="209" t="s">
        <v>329</v>
      </c>
      <c r="J9" s="128">
        <v>2</v>
      </c>
      <c r="K9" s="298">
        <v>0</v>
      </c>
      <c r="L9" s="299">
        <f t="shared" si="0"/>
        <v>0.1</v>
      </c>
      <c r="M9" s="299">
        <f t="shared" si="1"/>
        <v>0</v>
      </c>
      <c r="N9" s="299">
        <f t="shared" si="2"/>
        <v>4.2911999999999999E-2</v>
      </c>
      <c r="O9" s="347">
        <f t="shared" si="3"/>
        <v>5.1430809990897886E-2</v>
      </c>
      <c r="P9" s="337">
        <f>'II - Planilha Consolidada'!$F$21*L9</f>
        <v>0</v>
      </c>
      <c r="Q9" s="337">
        <f>'II - Planilha Consolidada'!$G$23*N9+'II - Planilha Consolidada'!$G$24*O9</f>
        <v>0</v>
      </c>
      <c r="R9" s="299"/>
      <c r="S9" s="337">
        <f>R9*SUM('II - Planilha Consolidada'!$H$13:$H$14)</f>
        <v>0</v>
      </c>
      <c r="T9" s="299">
        <f t="shared" si="4"/>
        <v>0.10581156244210808</v>
      </c>
      <c r="U9" s="337">
        <f>T9*SUM('II - Planilha Consolidada'!$G$9:$G$11)</f>
        <v>0</v>
      </c>
      <c r="V9" s="347">
        <f t="shared" si="5"/>
        <v>5.1430809990897886E-2</v>
      </c>
      <c r="W9" s="337">
        <f>SUM('II - Planilha Consolidada'!$G$18:$G$20)*V9</f>
        <v>0</v>
      </c>
      <c r="X9" s="337">
        <f>SUM('II - Planilha Consolidada'!$G$25:$G$26)*'V-A - ISS'!D8</f>
        <v>0</v>
      </c>
      <c r="Y9" s="337">
        <f t="shared" si="6"/>
        <v>0</v>
      </c>
    </row>
    <row r="10" spans="1:25" x14ac:dyDescent="0.2">
      <c r="A10" s="123">
        <v>6</v>
      </c>
      <c r="B10" s="124">
        <v>8</v>
      </c>
      <c r="C10" s="343" t="s">
        <v>765</v>
      </c>
      <c r="D10" s="124" t="s">
        <v>327</v>
      </c>
      <c r="E10" s="126">
        <v>648</v>
      </c>
      <c r="F10" s="196" t="s">
        <v>325</v>
      </c>
      <c r="G10" s="198">
        <v>9.6999999999999993</v>
      </c>
      <c r="H10" s="127">
        <v>3.805123725013448</v>
      </c>
      <c r="I10" s="209" t="s">
        <v>324</v>
      </c>
      <c r="J10" s="128">
        <v>0</v>
      </c>
      <c r="K10" s="298">
        <v>0</v>
      </c>
      <c r="L10" s="299">
        <f t="shared" si="0"/>
        <v>0</v>
      </c>
      <c r="M10" s="299">
        <f t="shared" si="1"/>
        <v>0</v>
      </c>
      <c r="N10" s="299">
        <f t="shared" si="2"/>
        <v>0.14865900000000001</v>
      </c>
      <c r="O10" s="347">
        <f t="shared" si="3"/>
        <v>7.173282988664921E-2</v>
      </c>
      <c r="P10" s="337">
        <f>'II - Planilha Consolidada'!$F$21*L10</f>
        <v>0</v>
      </c>
      <c r="Q10" s="337">
        <f>'II - Planilha Consolidada'!$G$23*N10+'II - Planilha Consolidada'!$G$24*O10</f>
        <v>0</v>
      </c>
      <c r="R10" s="299">
        <f>H10/$H$76</f>
        <v>0.13957443519212259</v>
      </c>
      <c r="S10" s="337">
        <f>R10*SUM('II - Planilha Consolidada'!$G$13:$G$14)</f>
        <v>0</v>
      </c>
      <c r="T10" s="299"/>
      <c r="U10" s="337"/>
      <c r="V10" s="347">
        <f t="shared" si="5"/>
        <v>7.173282988664921E-2</v>
      </c>
      <c r="W10" s="337">
        <f>SUM('II - Planilha Consolidada'!$G$18:$G$20)*V10</f>
        <v>0</v>
      </c>
      <c r="X10" s="337">
        <f>SUM('II - Planilha Consolidada'!$G$25:$G$26)*'V-A - ISS'!D9</f>
        <v>0</v>
      </c>
      <c r="Y10" s="337">
        <f t="shared" si="6"/>
        <v>0</v>
      </c>
    </row>
    <row r="11" spans="1:25" ht="33.75" x14ac:dyDescent="0.2">
      <c r="A11" s="123">
        <v>7</v>
      </c>
      <c r="B11" s="124">
        <v>10</v>
      </c>
      <c r="C11" s="343" t="s">
        <v>767</v>
      </c>
      <c r="D11" s="124" t="s">
        <v>327</v>
      </c>
      <c r="E11" s="126">
        <v>471.5</v>
      </c>
      <c r="F11" s="196" t="s">
        <v>325</v>
      </c>
      <c r="G11" s="198">
        <v>6.5333333333333332</v>
      </c>
      <c r="H11" s="127">
        <v>2.0612955424063113</v>
      </c>
      <c r="I11" s="209" t="s">
        <v>329</v>
      </c>
      <c r="J11" s="128">
        <v>2</v>
      </c>
      <c r="K11" s="298">
        <v>0</v>
      </c>
      <c r="L11" s="299">
        <f t="shared" si="0"/>
        <v>0.1</v>
      </c>
      <c r="M11" s="299">
        <f t="shared" si="1"/>
        <v>0</v>
      </c>
      <c r="N11" s="299">
        <f t="shared" si="2"/>
        <v>0.10012799999999999</v>
      </c>
      <c r="O11" s="347">
        <f t="shared" si="3"/>
        <v>3.8858805435825261E-2</v>
      </c>
      <c r="P11" s="337">
        <f>'II - Planilha Consolidada'!$F$21*L11</f>
        <v>0</v>
      </c>
      <c r="Q11" s="337">
        <f>'II - Planilha Consolidada'!$G$23*N11+'II - Planilha Consolidada'!$G$24*O11</f>
        <v>0</v>
      </c>
      <c r="R11" s="299">
        <f t="shared" ref="R11:R15" si="7">H11/$H$76</f>
        <v>7.5609673137339073E-2</v>
      </c>
      <c r="S11" s="337">
        <f>R11*SUM('II - Planilha Consolidada'!$G$13:$G$14)</f>
        <v>0</v>
      </c>
      <c r="T11" s="299"/>
      <c r="U11" s="337"/>
      <c r="V11" s="347">
        <f t="shared" si="5"/>
        <v>3.8858805435825261E-2</v>
      </c>
      <c r="W11" s="337">
        <f>SUM('II - Planilha Consolidada'!$G$18:$G$20)*V11</f>
        <v>0</v>
      </c>
      <c r="X11" s="337">
        <f>SUM('II - Planilha Consolidada'!$G$25:$G$26)*'V-A - ISS'!D10</f>
        <v>0</v>
      </c>
      <c r="Y11" s="337">
        <f t="shared" si="6"/>
        <v>0</v>
      </c>
    </row>
    <row r="12" spans="1:25" ht="22.5" x14ac:dyDescent="0.2">
      <c r="A12" s="123">
        <v>8</v>
      </c>
      <c r="B12" s="124">
        <v>0</v>
      </c>
      <c r="C12" s="343" t="s">
        <v>769</v>
      </c>
      <c r="D12" s="124" t="s">
        <v>323</v>
      </c>
      <c r="E12" s="126">
        <v>0</v>
      </c>
      <c r="F12" s="196" t="s">
        <v>325</v>
      </c>
      <c r="G12" s="198">
        <v>0</v>
      </c>
      <c r="H12" s="127">
        <v>3.1231132934696073</v>
      </c>
      <c r="I12" s="209" t="s">
        <v>324</v>
      </c>
      <c r="J12" s="128">
        <v>0</v>
      </c>
      <c r="K12" s="298">
        <v>0</v>
      </c>
      <c r="L12" s="299">
        <f t="shared" si="0"/>
        <v>0</v>
      </c>
      <c r="M12" s="299">
        <f t="shared" si="1"/>
        <v>0</v>
      </c>
      <c r="N12" s="299">
        <f t="shared" si="2"/>
        <v>0</v>
      </c>
      <c r="O12" s="347">
        <f t="shared" si="3"/>
        <v>5.8875813452398666E-2</v>
      </c>
      <c r="P12" s="337">
        <f>'II - Planilha Consolidada'!$F$21*L12</f>
        <v>0</v>
      </c>
      <c r="Q12" s="337">
        <f>'II - Planilha Consolidada'!$G$23*N12+'II - Planilha Consolidada'!$G$24*O12</f>
        <v>0</v>
      </c>
      <c r="R12" s="299">
        <f t="shared" si="7"/>
        <v>0.11455784502131784</v>
      </c>
      <c r="S12" s="337">
        <f>R12*SUM('II - Planilha Consolidada'!$G$13:$G$14)</f>
        <v>0</v>
      </c>
      <c r="T12" s="299"/>
      <c r="U12" s="337"/>
      <c r="V12" s="347">
        <f t="shared" si="5"/>
        <v>5.8875813452398666E-2</v>
      </c>
      <c r="W12" s="337">
        <f>SUM('II - Planilha Consolidada'!$G$18:$G$20)*V12</f>
        <v>0</v>
      </c>
      <c r="X12" s="337">
        <f>SUM('II - Planilha Consolidada'!$G$25:$G$26)*'V-A - ISS'!D11</f>
        <v>0</v>
      </c>
      <c r="Y12" s="337">
        <f t="shared" si="6"/>
        <v>0</v>
      </c>
    </row>
    <row r="13" spans="1:25" ht="33.75" x14ac:dyDescent="0.2">
      <c r="A13" s="123">
        <v>9</v>
      </c>
      <c r="B13" s="124">
        <v>6</v>
      </c>
      <c r="C13" s="343" t="s">
        <v>771</v>
      </c>
      <c r="D13" s="124" t="s">
        <v>327</v>
      </c>
      <c r="E13" s="126">
        <v>263.10000000000002</v>
      </c>
      <c r="F13" s="196" t="s">
        <v>325</v>
      </c>
      <c r="G13" s="198">
        <v>4.6500000000000004</v>
      </c>
      <c r="H13" s="127">
        <v>3.4606443582571274</v>
      </c>
      <c r="I13" s="209" t="s">
        <v>324</v>
      </c>
      <c r="J13" s="128">
        <v>0</v>
      </c>
      <c r="K13" s="298">
        <v>0</v>
      </c>
      <c r="L13" s="299">
        <f t="shared" si="0"/>
        <v>0</v>
      </c>
      <c r="M13" s="299">
        <f t="shared" si="1"/>
        <v>0</v>
      </c>
      <c r="N13" s="299">
        <f t="shared" si="2"/>
        <v>7.1263999999999994E-2</v>
      </c>
      <c r="O13" s="347">
        <f t="shared" si="3"/>
        <v>6.5238828219225248E-2</v>
      </c>
      <c r="P13" s="337">
        <f>'II - Planilha Consolidada'!$F$21*L13</f>
        <v>0</v>
      </c>
      <c r="Q13" s="337">
        <f>'II - Planilha Consolidada'!$G$23*N13+'II - Planilha Consolidada'!$G$24*O13</f>
        <v>0</v>
      </c>
      <c r="R13" s="299">
        <f t="shared" si="7"/>
        <v>0.12693870596884127</v>
      </c>
      <c r="S13" s="337">
        <f>R13*SUM('II - Planilha Consolidada'!$G$13:$G$14)</f>
        <v>0</v>
      </c>
      <c r="T13" s="299"/>
      <c r="U13" s="337"/>
      <c r="V13" s="347">
        <f t="shared" si="5"/>
        <v>6.5238828219225248E-2</v>
      </c>
      <c r="W13" s="337">
        <f>SUM('II - Planilha Consolidada'!$G$18:$G$20)*V13</f>
        <v>0</v>
      </c>
      <c r="X13" s="337">
        <f>SUM('II - Planilha Consolidada'!$G$25:$G$26)*'V-A - ISS'!D12</f>
        <v>0</v>
      </c>
      <c r="Y13" s="337">
        <f t="shared" si="6"/>
        <v>0</v>
      </c>
    </row>
    <row r="14" spans="1:25" ht="22.5" x14ac:dyDescent="0.2">
      <c r="A14" s="123">
        <v>10</v>
      </c>
      <c r="B14" s="124">
        <v>9</v>
      </c>
      <c r="C14" s="343" t="s">
        <v>773</v>
      </c>
      <c r="D14" s="124" t="s">
        <v>328</v>
      </c>
      <c r="E14" s="126">
        <v>108</v>
      </c>
      <c r="F14" s="196" t="s">
        <v>325</v>
      </c>
      <c r="G14" s="198">
        <v>1.5166666666666666</v>
      </c>
      <c r="H14" s="127">
        <v>2.4329471320638332</v>
      </c>
      <c r="I14" s="209" t="s">
        <v>329</v>
      </c>
      <c r="J14" s="128">
        <v>2</v>
      </c>
      <c r="K14" s="298">
        <v>0</v>
      </c>
      <c r="L14" s="299">
        <f t="shared" si="0"/>
        <v>0.1</v>
      </c>
      <c r="M14" s="299">
        <f t="shared" si="1"/>
        <v>0</v>
      </c>
      <c r="N14" s="299">
        <f t="shared" si="2"/>
        <v>2.3244000000000001E-2</v>
      </c>
      <c r="O14" s="347">
        <f t="shared" si="3"/>
        <v>4.5865048119277441E-2</v>
      </c>
      <c r="P14" s="337">
        <f>'II - Planilha Consolidada'!$F$21*L14</f>
        <v>0</v>
      </c>
      <c r="Q14" s="337">
        <f>'II - Planilha Consolidada'!$G$23*N14+'II - Planilha Consolidada'!$G$24*O14</f>
        <v>0</v>
      </c>
      <c r="R14" s="299">
        <f t="shared" si="7"/>
        <v>8.9242097327309339E-2</v>
      </c>
      <c r="S14" s="337">
        <f>R14*SUM('II - Planilha Consolidada'!$G$13:$G$14)</f>
        <v>0</v>
      </c>
      <c r="T14" s="299"/>
      <c r="U14" s="337"/>
      <c r="V14" s="347">
        <f t="shared" si="5"/>
        <v>4.5865048119277441E-2</v>
      </c>
      <c r="W14" s="337">
        <f>SUM('II - Planilha Consolidada'!$G$18:$G$20)*V14</f>
        <v>0</v>
      </c>
      <c r="X14" s="337">
        <f>SUM('II - Planilha Consolidada'!$G$25:$G$26)*'V-A - ISS'!D13</f>
        <v>0</v>
      </c>
      <c r="Y14" s="337">
        <f t="shared" si="6"/>
        <v>0</v>
      </c>
    </row>
    <row r="15" spans="1:25" x14ac:dyDescent="0.2">
      <c r="A15" s="123">
        <v>11</v>
      </c>
      <c r="B15" s="124">
        <v>10</v>
      </c>
      <c r="C15" s="343" t="s">
        <v>775</v>
      </c>
      <c r="D15" s="124" t="s">
        <v>328</v>
      </c>
      <c r="E15" s="126">
        <v>330</v>
      </c>
      <c r="F15" s="196" t="s">
        <v>325</v>
      </c>
      <c r="G15" s="198">
        <v>4.5166666666666666</v>
      </c>
      <c r="H15" s="127">
        <v>3.4502873358465127</v>
      </c>
      <c r="I15" s="209" t="s">
        <v>329</v>
      </c>
      <c r="J15" s="128">
        <v>3</v>
      </c>
      <c r="K15" s="298">
        <v>0</v>
      </c>
      <c r="L15" s="299">
        <f t="shared" si="0"/>
        <v>0.15</v>
      </c>
      <c r="M15" s="299">
        <f t="shared" si="1"/>
        <v>0</v>
      </c>
      <c r="N15" s="299">
        <f t="shared" si="2"/>
        <v>6.9221000000000005E-2</v>
      </c>
      <c r="O15" s="347">
        <f t="shared" si="3"/>
        <v>6.5043581341487994E-2</v>
      </c>
      <c r="P15" s="337">
        <f>'II - Planilha Consolidada'!$F$21*L15</f>
        <v>0</v>
      </c>
      <c r="Q15" s="337">
        <f>'II - Planilha Consolidada'!$G$23*N15+'II - Planilha Consolidada'!$G$24*O15</f>
        <v>0</v>
      </c>
      <c r="R15" s="299">
        <f t="shared" si="7"/>
        <v>0.12655880359044264</v>
      </c>
      <c r="S15" s="337">
        <f>R15*SUM('II - Planilha Consolidada'!$G$13:$G$14)</f>
        <v>0</v>
      </c>
      <c r="T15" s="299"/>
      <c r="U15" s="337"/>
      <c r="V15" s="347">
        <f t="shared" si="5"/>
        <v>6.5043581341487994E-2</v>
      </c>
      <c r="W15" s="337">
        <f>SUM('II - Planilha Consolidada'!$G$18:$G$20)*V15</f>
        <v>0</v>
      </c>
      <c r="X15" s="337">
        <f>SUM('II - Planilha Consolidada'!$G$25:$G$26)*'V-A - ISS'!D14</f>
        <v>0</v>
      </c>
      <c r="Y15" s="337">
        <f t="shared" si="6"/>
        <v>0</v>
      </c>
    </row>
    <row r="16" spans="1:25" ht="22.5" x14ac:dyDescent="0.2">
      <c r="A16" s="123">
        <v>12</v>
      </c>
      <c r="B16" s="124">
        <v>5</v>
      </c>
      <c r="C16" s="125" t="s">
        <v>777</v>
      </c>
      <c r="D16" s="124" t="s">
        <v>59</v>
      </c>
      <c r="E16" s="126">
        <v>46</v>
      </c>
      <c r="F16" s="196" t="s">
        <v>325</v>
      </c>
      <c r="G16" s="198">
        <v>0.58333333333333337</v>
      </c>
      <c r="H16" s="127">
        <v>1.5677691249775865</v>
      </c>
      <c r="I16" s="209" t="s">
        <v>329</v>
      </c>
      <c r="J16" s="128">
        <v>1</v>
      </c>
      <c r="K16" s="298">
        <v>0</v>
      </c>
      <c r="L16" s="299">
        <f t="shared" si="0"/>
        <v>0.05</v>
      </c>
      <c r="M16" s="299">
        <f t="shared" si="1"/>
        <v>0</v>
      </c>
      <c r="N16" s="299">
        <f t="shared" si="2"/>
        <v>8.94E-3</v>
      </c>
      <c r="O16" s="347">
        <f t="shared" si="3"/>
        <v>2.9555022141405044E-2</v>
      </c>
      <c r="P16" s="337">
        <f>'II - Planilha Consolidada'!$F$21*L16</f>
        <v>0</v>
      </c>
      <c r="Q16" s="337">
        <f>'II - Planilha Consolidada'!$G$23*N16+'II - Planilha Consolidada'!$G$24*O16</f>
        <v>0</v>
      </c>
      <c r="R16" s="299"/>
      <c r="S16" s="337">
        <f>R16*SUM('II - Planilha Consolidada'!$H$13:$H$14)</f>
        <v>0</v>
      </c>
      <c r="T16" s="299">
        <f t="shared" ref="T16:T17" si="8">H16/$I$76</f>
        <v>6.0805246336711846E-2</v>
      </c>
      <c r="U16" s="337">
        <f>T16*SUM('II - Planilha Consolidada'!$G$9:$G$11)</f>
        <v>0</v>
      </c>
      <c r="V16" s="347">
        <f t="shared" si="5"/>
        <v>2.9555022141405044E-2</v>
      </c>
      <c r="W16" s="337">
        <f>SUM('II - Planilha Consolidada'!$G$18:$G$20)*V16</f>
        <v>0</v>
      </c>
      <c r="X16" s="337">
        <f>SUM('II - Planilha Consolidada'!$G$25:$G$26)*'V-A - ISS'!D15</f>
        <v>0</v>
      </c>
      <c r="Y16" s="337">
        <f t="shared" si="6"/>
        <v>0</v>
      </c>
    </row>
    <row r="17" spans="1:25" x14ac:dyDescent="0.2">
      <c r="A17" s="123">
        <v>13</v>
      </c>
      <c r="B17" s="124">
        <v>4</v>
      </c>
      <c r="C17" s="125" t="s">
        <v>779</v>
      </c>
      <c r="D17" s="124" t="s">
        <v>59</v>
      </c>
      <c r="E17" s="126">
        <v>96</v>
      </c>
      <c r="F17" s="196" t="s">
        <v>325</v>
      </c>
      <c r="G17" s="198">
        <v>1.3333333333333333</v>
      </c>
      <c r="H17" s="127">
        <v>0.9895485773713466</v>
      </c>
      <c r="I17" s="209" t="s">
        <v>329</v>
      </c>
      <c r="J17" s="128">
        <v>1</v>
      </c>
      <c r="K17" s="298">
        <v>0</v>
      </c>
      <c r="L17" s="299">
        <f t="shared" si="0"/>
        <v>0.05</v>
      </c>
      <c r="M17" s="299">
        <f t="shared" si="1"/>
        <v>0</v>
      </c>
      <c r="N17" s="299">
        <f t="shared" si="2"/>
        <v>2.0434000000000001E-2</v>
      </c>
      <c r="O17" s="347">
        <f t="shared" si="3"/>
        <v>1.8654615433011622E-2</v>
      </c>
      <c r="P17" s="337">
        <f>'II - Planilha Consolidada'!$F$21*L17</f>
        <v>0</v>
      </c>
      <c r="Q17" s="337">
        <f>'II - Planilha Consolidada'!$G$23*N17+'II - Planilha Consolidada'!$G$24*O17</f>
        <v>0</v>
      </c>
      <c r="R17" s="299"/>
      <c r="S17" s="337">
        <f>R17*SUM('II - Planilha Consolidada'!$H$13:$H$14)</f>
        <v>0</v>
      </c>
      <c r="T17" s="299">
        <f t="shared" si="8"/>
        <v>3.8379212889568616E-2</v>
      </c>
      <c r="U17" s="337">
        <f>T17*SUM('II - Planilha Consolidada'!$G$9:$G$11)</f>
        <v>0</v>
      </c>
      <c r="V17" s="347">
        <f t="shared" si="5"/>
        <v>1.8654615433011622E-2</v>
      </c>
      <c r="W17" s="337">
        <f>SUM('II - Planilha Consolidada'!$G$18:$G$20)*V17</f>
        <v>0</v>
      </c>
      <c r="X17" s="337">
        <f>SUM('II - Planilha Consolidada'!$G$25:$G$26)*'V-A - ISS'!D16</f>
        <v>0</v>
      </c>
      <c r="Y17" s="337">
        <f t="shared" si="6"/>
        <v>0</v>
      </c>
    </row>
    <row r="18" spans="1:25" ht="22.5" x14ac:dyDescent="0.2">
      <c r="A18" s="123">
        <v>14</v>
      </c>
      <c r="B18" s="124">
        <v>9</v>
      </c>
      <c r="C18" s="343" t="s">
        <v>781</v>
      </c>
      <c r="D18" s="124" t="s">
        <v>59</v>
      </c>
      <c r="E18" s="126">
        <v>66.3</v>
      </c>
      <c r="F18" s="196" t="s">
        <v>325</v>
      </c>
      <c r="G18" s="198">
        <v>1</v>
      </c>
      <c r="H18" s="127">
        <v>1.2343588811188813</v>
      </c>
      <c r="I18" s="209" t="s">
        <v>329</v>
      </c>
      <c r="J18" s="128">
        <v>1</v>
      </c>
      <c r="K18" s="298">
        <v>0</v>
      </c>
      <c r="L18" s="299">
        <f t="shared" si="0"/>
        <v>0.05</v>
      </c>
      <c r="M18" s="299">
        <f t="shared" si="1"/>
        <v>0</v>
      </c>
      <c r="N18" s="299">
        <f t="shared" si="2"/>
        <v>1.5325999999999999E-2</v>
      </c>
      <c r="O18" s="347">
        <f t="shared" si="3"/>
        <v>2.3269691615103116E-2</v>
      </c>
      <c r="P18" s="337">
        <f>'II - Planilha Consolidada'!$F$21*L18</f>
        <v>0</v>
      </c>
      <c r="Q18" s="337">
        <f>'II - Planilha Consolidada'!$G$23*N18+'II - Planilha Consolidada'!$G$24*O18</f>
        <v>0</v>
      </c>
      <c r="R18" s="299">
        <f t="shared" ref="R18:R19" si="9">H18/$H$76</f>
        <v>4.5277093757559582E-2</v>
      </c>
      <c r="S18" s="337">
        <f>R18*SUM('II - Planilha Consolidada'!$G$13:$G$14)</f>
        <v>0</v>
      </c>
      <c r="T18" s="299"/>
      <c r="U18" s="337"/>
      <c r="V18" s="347">
        <f t="shared" si="5"/>
        <v>2.3269691615103116E-2</v>
      </c>
      <c r="W18" s="337">
        <f>SUM('II - Planilha Consolidada'!$G$18:$G$20)*V18</f>
        <v>0</v>
      </c>
      <c r="X18" s="337">
        <f>SUM('II - Planilha Consolidada'!$G$25:$G$26)*'V-A - ISS'!D17</f>
        <v>0</v>
      </c>
      <c r="Y18" s="337">
        <f t="shared" si="6"/>
        <v>0</v>
      </c>
    </row>
    <row r="19" spans="1:25" ht="22.5" x14ac:dyDescent="0.2">
      <c r="A19" s="123">
        <v>15</v>
      </c>
      <c r="B19" s="124">
        <v>11</v>
      </c>
      <c r="C19" s="343" t="s">
        <v>783</v>
      </c>
      <c r="D19" s="124" t="s">
        <v>59</v>
      </c>
      <c r="E19" s="126">
        <v>49.4</v>
      </c>
      <c r="F19" s="196" t="s">
        <v>325</v>
      </c>
      <c r="G19" s="198">
        <v>0.75</v>
      </c>
      <c r="H19" s="127">
        <v>1.5336875397525553</v>
      </c>
      <c r="I19" s="209" t="s">
        <v>329</v>
      </c>
      <c r="J19" s="128">
        <v>1</v>
      </c>
      <c r="K19" s="298">
        <v>0</v>
      </c>
      <c r="L19" s="299">
        <f t="shared" si="0"/>
        <v>0.05</v>
      </c>
      <c r="M19" s="299">
        <f t="shared" si="1"/>
        <v>0</v>
      </c>
      <c r="N19" s="299">
        <f t="shared" si="2"/>
        <v>1.1494000000000001E-2</v>
      </c>
      <c r="O19" s="347">
        <f t="shared" si="3"/>
        <v>2.8912528301022533E-2</v>
      </c>
      <c r="P19" s="337">
        <f>'II - Planilha Consolidada'!$F$21*L19</f>
        <v>0</v>
      </c>
      <c r="Q19" s="337">
        <f>'II - Planilha Consolidada'!$G$23*N19+'II - Planilha Consolidada'!$G$24*O19</f>
        <v>0</v>
      </c>
      <c r="R19" s="299">
        <f t="shared" si="9"/>
        <v>5.6256665378575155E-2</v>
      </c>
      <c r="S19" s="337">
        <f>R19*SUM('II - Planilha Consolidada'!$G$13:$G$14)</f>
        <v>0</v>
      </c>
      <c r="T19" s="299"/>
      <c r="U19" s="337"/>
      <c r="V19" s="347">
        <f t="shared" si="5"/>
        <v>2.8912528301022533E-2</v>
      </c>
      <c r="W19" s="337">
        <f>SUM('II - Planilha Consolidada'!$G$18:$G$20)*V19</f>
        <v>0</v>
      </c>
      <c r="X19" s="337">
        <f>SUM('II - Planilha Consolidada'!$G$25:$G$26)*'V-A - ISS'!D18</f>
        <v>0</v>
      </c>
      <c r="Y19" s="337">
        <f t="shared" si="6"/>
        <v>0</v>
      </c>
    </row>
    <row r="20" spans="1:25" ht="33.75" x14ac:dyDescent="0.2">
      <c r="A20" s="123">
        <v>16</v>
      </c>
      <c r="B20" s="124">
        <v>4</v>
      </c>
      <c r="C20" s="125" t="s">
        <v>785</v>
      </c>
      <c r="D20" s="124" t="s">
        <v>327</v>
      </c>
      <c r="E20" s="126">
        <v>448</v>
      </c>
      <c r="F20" s="196" t="s">
        <v>325</v>
      </c>
      <c r="G20" s="198">
        <v>6.4333333333333336</v>
      </c>
      <c r="H20" s="127">
        <v>1.6435543873767258</v>
      </c>
      <c r="I20" s="209" t="s">
        <v>329</v>
      </c>
      <c r="J20" s="128">
        <v>1</v>
      </c>
      <c r="K20" s="298">
        <v>0</v>
      </c>
      <c r="L20" s="299">
        <f t="shared" si="0"/>
        <v>0.05</v>
      </c>
      <c r="M20" s="299">
        <f t="shared" si="1"/>
        <v>0</v>
      </c>
      <c r="N20" s="299">
        <f t="shared" si="2"/>
        <v>9.8595000000000002E-2</v>
      </c>
      <c r="O20" s="347">
        <f t="shared" si="3"/>
        <v>3.0983698770198059E-2</v>
      </c>
      <c r="P20" s="337">
        <f>'II - Planilha Consolidada'!$F$21*L20</f>
        <v>0</v>
      </c>
      <c r="Q20" s="337">
        <f>'II - Planilha Consolidada'!$G$23*N20+'II - Planilha Consolidada'!$G$24*O20</f>
        <v>0</v>
      </c>
      <c r="R20" s="299"/>
      <c r="S20" s="337">
        <f>R20*SUM('II - Planilha Consolidada'!$H$13:$H$14)</f>
        <v>0</v>
      </c>
      <c r="T20" s="299">
        <f t="shared" ref="T20" si="10">H20/$I$76</f>
        <v>6.3744544907818668E-2</v>
      </c>
      <c r="U20" s="337">
        <f>T20*SUM('II - Planilha Consolidada'!$G$9:$G$11)</f>
        <v>0</v>
      </c>
      <c r="V20" s="347">
        <f t="shared" si="5"/>
        <v>3.0983698770198059E-2</v>
      </c>
      <c r="W20" s="337">
        <f>SUM('II - Planilha Consolidada'!$G$18:$G$20)*V20</f>
        <v>0</v>
      </c>
      <c r="X20" s="337">
        <f>SUM('II - Planilha Consolidada'!$G$25:$G$26)*'V-A - ISS'!D19</f>
        <v>0</v>
      </c>
      <c r="Y20" s="337">
        <f t="shared" si="6"/>
        <v>0</v>
      </c>
    </row>
    <row r="21" spans="1:25" ht="22.5" x14ac:dyDescent="0.2">
      <c r="A21" s="123">
        <v>17</v>
      </c>
      <c r="B21" s="124">
        <v>9</v>
      </c>
      <c r="C21" s="343" t="s">
        <v>787</v>
      </c>
      <c r="D21" s="124" t="s">
        <v>327</v>
      </c>
      <c r="E21" s="126">
        <v>197.7</v>
      </c>
      <c r="F21" s="196" t="s">
        <v>325</v>
      </c>
      <c r="G21" s="198">
        <v>3.0333333333333332</v>
      </c>
      <c r="H21" s="127">
        <v>1.6074963708086785</v>
      </c>
      <c r="I21" s="209" t="s">
        <v>329</v>
      </c>
      <c r="J21" s="128">
        <v>1</v>
      </c>
      <c r="K21" s="298">
        <v>0</v>
      </c>
      <c r="L21" s="299">
        <f t="shared" si="0"/>
        <v>0.05</v>
      </c>
      <c r="M21" s="299">
        <f t="shared" si="1"/>
        <v>0</v>
      </c>
      <c r="N21" s="299">
        <f t="shared" si="2"/>
        <v>4.6488000000000002E-2</v>
      </c>
      <c r="O21" s="347">
        <f t="shared" si="3"/>
        <v>3.0303945953877594E-2</v>
      </c>
      <c r="P21" s="337">
        <f>'II - Planilha Consolidada'!$F$21*L21</f>
        <v>0</v>
      </c>
      <c r="Q21" s="337">
        <f>'II - Planilha Consolidada'!$G$23*N21+'II - Planilha Consolidada'!$G$24*O21</f>
        <v>0</v>
      </c>
      <c r="R21" s="299">
        <f t="shared" ref="R21:R23" si="11">H21/$H$76</f>
        <v>5.8964021735775543E-2</v>
      </c>
      <c r="S21" s="337">
        <f>R21*SUM('II - Planilha Consolidada'!$G$13:$G$14)</f>
        <v>0</v>
      </c>
      <c r="T21" s="299"/>
      <c r="U21" s="337"/>
      <c r="V21" s="347">
        <f t="shared" si="5"/>
        <v>3.0303945953877594E-2</v>
      </c>
      <c r="W21" s="337">
        <f>SUM('II - Planilha Consolidada'!$G$18:$G$20)*V21</f>
        <v>0</v>
      </c>
      <c r="X21" s="337">
        <f>SUM('II - Planilha Consolidada'!$G$25:$G$26)*'V-A - ISS'!D20</f>
        <v>0</v>
      </c>
      <c r="Y21" s="337">
        <f t="shared" si="6"/>
        <v>0</v>
      </c>
    </row>
    <row r="22" spans="1:25" ht="33.75" x14ac:dyDescent="0.2">
      <c r="A22" s="123">
        <v>18</v>
      </c>
      <c r="B22" s="124">
        <v>7</v>
      </c>
      <c r="C22" s="343" t="s">
        <v>789</v>
      </c>
      <c r="D22" s="124" t="s">
        <v>327</v>
      </c>
      <c r="E22" s="126">
        <v>72.400000000000006</v>
      </c>
      <c r="F22" s="196" t="s">
        <v>325</v>
      </c>
      <c r="G22" s="198">
        <v>1.2</v>
      </c>
      <c r="H22" s="127">
        <v>1.3783297041420117</v>
      </c>
      <c r="I22" s="209" t="s">
        <v>324</v>
      </c>
      <c r="J22" s="128">
        <v>0</v>
      </c>
      <c r="K22" s="298">
        <v>0</v>
      </c>
      <c r="L22" s="299">
        <f t="shared" si="0"/>
        <v>0</v>
      </c>
      <c r="M22" s="299">
        <f t="shared" si="1"/>
        <v>0</v>
      </c>
      <c r="N22" s="299">
        <f t="shared" si="2"/>
        <v>1.8391000000000001E-2</v>
      </c>
      <c r="O22" s="347">
        <f t="shared" si="3"/>
        <v>2.5983778016202358E-2</v>
      </c>
      <c r="P22" s="337">
        <f>'II - Planilha Consolidada'!$F$21*L22</f>
        <v>0</v>
      </c>
      <c r="Q22" s="337">
        <f>'II - Planilha Consolidada'!$G$23*N22+'II - Planilha Consolidada'!$G$24*O22</f>
        <v>0</v>
      </c>
      <c r="R22" s="299">
        <f t="shared" si="11"/>
        <v>5.0558038021080859E-2</v>
      </c>
      <c r="S22" s="337">
        <f>R22*SUM('II - Planilha Consolidada'!$G$13:$G$14)</f>
        <v>0</v>
      </c>
      <c r="T22" s="299"/>
      <c r="U22" s="337"/>
      <c r="V22" s="347">
        <f t="shared" si="5"/>
        <v>2.5983778016202358E-2</v>
      </c>
      <c r="W22" s="337">
        <f>SUM('II - Planilha Consolidada'!$G$18:$G$20)*V22</f>
        <v>0</v>
      </c>
      <c r="X22" s="337">
        <f>SUM('II - Planilha Consolidada'!$G$25:$G$26)*'V-A - ISS'!D21</f>
        <v>0</v>
      </c>
      <c r="Y22" s="337">
        <f t="shared" si="6"/>
        <v>0</v>
      </c>
    </row>
    <row r="23" spans="1:25" ht="33.75" x14ac:dyDescent="0.2">
      <c r="A23" s="123">
        <v>19</v>
      </c>
      <c r="B23" s="124">
        <v>11</v>
      </c>
      <c r="C23" s="343" t="s">
        <v>791</v>
      </c>
      <c r="D23" s="124" t="s">
        <v>327</v>
      </c>
      <c r="E23" s="126">
        <v>220.1</v>
      </c>
      <c r="F23" s="196" t="s">
        <v>325</v>
      </c>
      <c r="G23" s="198">
        <v>3.5166666666666666</v>
      </c>
      <c r="H23" s="127">
        <v>1.667913037475345</v>
      </c>
      <c r="I23" s="209" t="s">
        <v>329</v>
      </c>
      <c r="J23" s="128">
        <v>1</v>
      </c>
      <c r="K23" s="298">
        <v>0</v>
      </c>
      <c r="L23" s="299">
        <f t="shared" si="0"/>
        <v>0.05</v>
      </c>
      <c r="M23" s="299">
        <f t="shared" si="1"/>
        <v>0</v>
      </c>
      <c r="N23" s="299">
        <f t="shared" si="2"/>
        <v>5.3894999999999998E-2</v>
      </c>
      <c r="O23" s="347">
        <f t="shared" si="3"/>
        <v>3.1442899319264694E-2</v>
      </c>
      <c r="P23" s="337">
        <f>'II - Planilha Consolidada'!$F$21*L23</f>
        <v>0</v>
      </c>
      <c r="Q23" s="337">
        <f>'II - Planilha Consolidada'!$G$23*N23+'II - Planilha Consolidada'!$G$24*O23</f>
        <v>0</v>
      </c>
      <c r="R23" s="299">
        <f t="shared" si="11"/>
        <v>6.1180144715104141E-2</v>
      </c>
      <c r="S23" s="337">
        <f>R23*SUM('II - Planilha Consolidada'!$G$13:$G$14)</f>
        <v>0</v>
      </c>
      <c r="T23" s="299"/>
      <c r="U23" s="337"/>
      <c r="V23" s="347">
        <f t="shared" si="5"/>
        <v>3.1442899319264694E-2</v>
      </c>
      <c r="W23" s="337">
        <f>SUM('II - Planilha Consolidada'!$G$18:$G$20)*V23</f>
        <v>0</v>
      </c>
      <c r="X23" s="337">
        <f>SUM('II - Planilha Consolidada'!$G$25:$G$26)*'V-A - ISS'!D22</f>
        <v>0</v>
      </c>
      <c r="Y23" s="337">
        <f t="shared" si="6"/>
        <v>0</v>
      </c>
    </row>
    <row r="24" spans="1:25" x14ac:dyDescent="0.2">
      <c r="A24" s="123">
        <v>20</v>
      </c>
      <c r="B24" s="124">
        <v>5</v>
      </c>
      <c r="C24" s="125" t="s">
        <v>793</v>
      </c>
      <c r="D24" s="124" t="s">
        <v>327</v>
      </c>
      <c r="E24" s="126">
        <v>555</v>
      </c>
      <c r="F24" s="196" t="s">
        <v>325</v>
      </c>
      <c r="G24" s="198">
        <v>9.65</v>
      </c>
      <c r="H24" s="127">
        <v>2.4508788757396447</v>
      </c>
      <c r="I24" s="209" t="s">
        <v>329</v>
      </c>
      <c r="J24" s="128">
        <v>2</v>
      </c>
      <c r="K24" s="298">
        <v>0</v>
      </c>
      <c r="L24" s="299">
        <f t="shared" si="0"/>
        <v>0.1</v>
      </c>
      <c r="M24" s="299">
        <f t="shared" si="1"/>
        <v>0</v>
      </c>
      <c r="N24" s="299">
        <f t="shared" si="2"/>
        <v>0.147893</v>
      </c>
      <c r="O24" s="347">
        <f t="shared" si="3"/>
        <v>4.6203090929873153E-2</v>
      </c>
      <c r="P24" s="337">
        <f>'II - Planilha Consolidada'!$F$21*L24</f>
        <v>0</v>
      </c>
      <c r="Q24" s="337">
        <f>'II - Planilha Consolidada'!$G$23*N24+'II - Planilha Consolidada'!$G$24*O24</f>
        <v>0</v>
      </c>
      <c r="R24" s="299"/>
      <c r="S24" s="337">
        <f>R24*SUM('II - Planilha Consolidada'!$H$13:$H$14)</f>
        <v>0</v>
      </c>
      <c r="T24" s="299">
        <f t="shared" ref="T24" si="12">H24/$I$76</f>
        <v>9.5056275446758168E-2</v>
      </c>
      <c r="U24" s="337">
        <f>T24*SUM('II - Planilha Consolidada'!$G$9:$G$11)</f>
        <v>0</v>
      </c>
      <c r="V24" s="347">
        <f t="shared" si="5"/>
        <v>4.6203090929873153E-2</v>
      </c>
      <c r="W24" s="337">
        <f>SUM('II - Planilha Consolidada'!$G$18:$G$20)*V24</f>
        <v>0</v>
      </c>
      <c r="X24" s="337">
        <f>SUM('II - Planilha Consolidada'!$G$25:$G$26)*'V-A - ISS'!D23</f>
        <v>0</v>
      </c>
      <c r="Y24" s="337">
        <f t="shared" si="6"/>
        <v>0</v>
      </c>
    </row>
    <row r="25" spans="1:25" ht="33.75" x14ac:dyDescent="0.2">
      <c r="A25" s="123">
        <v>21</v>
      </c>
      <c r="B25" s="124">
        <v>11</v>
      </c>
      <c r="C25" s="343" t="s">
        <v>795</v>
      </c>
      <c r="D25" s="124" t="s">
        <v>328</v>
      </c>
      <c r="E25" s="126">
        <v>148</v>
      </c>
      <c r="F25" s="196" t="s">
        <v>325</v>
      </c>
      <c r="G25" s="198">
        <v>2.1</v>
      </c>
      <c r="H25" s="127">
        <v>1.5071288757396448</v>
      </c>
      <c r="I25" s="209" t="s">
        <v>329</v>
      </c>
      <c r="J25" s="128">
        <v>1</v>
      </c>
      <c r="K25" s="298">
        <v>0</v>
      </c>
      <c r="L25" s="299">
        <f t="shared" si="0"/>
        <v>0.05</v>
      </c>
      <c r="M25" s="299">
        <f t="shared" si="1"/>
        <v>0</v>
      </c>
      <c r="N25" s="299">
        <f t="shared" si="2"/>
        <v>3.2183999999999997E-2</v>
      </c>
      <c r="O25" s="347">
        <f t="shared" si="3"/>
        <v>2.8411853877446977E-2</v>
      </c>
      <c r="P25" s="337">
        <f>'II - Planilha Consolidada'!$F$21*L25</f>
        <v>0</v>
      </c>
      <c r="Q25" s="337">
        <f>'II - Planilha Consolidada'!$G$23*N25+'II - Planilha Consolidada'!$G$24*O25</f>
        <v>0</v>
      </c>
      <c r="R25" s="299">
        <f>H25/$H$76</f>
        <v>5.5282476154531926E-2</v>
      </c>
      <c r="S25" s="337">
        <f>R25*SUM('II - Planilha Consolidada'!$G$13:$G$14)</f>
        <v>0</v>
      </c>
      <c r="T25" s="299"/>
      <c r="U25" s="337"/>
      <c r="V25" s="347">
        <f t="shared" si="5"/>
        <v>2.8411853877446977E-2</v>
      </c>
      <c r="W25" s="337">
        <f>SUM('II - Planilha Consolidada'!$G$18:$G$20)*V25</f>
        <v>0</v>
      </c>
      <c r="X25" s="337">
        <f>SUM('II - Planilha Consolidada'!$G$25:$G$26)*'V-A - ISS'!D24</f>
        <v>0</v>
      </c>
      <c r="Y25" s="337">
        <f t="shared" si="6"/>
        <v>0</v>
      </c>
    </row>
    <row r="26" spans="1:25" ht="22.5" x14ac:dyDescent="0.2">
      <c r="A26" s="123">
        <v>22</v>
      </c>
      <c r="B26" s="124">
        <v>5</v>
      </c>
      <c r="C26" s="125" t="s">
        <v>797</v>
      </c>
      <c r="D26" s="124" t="s">
        <v>328</v>
      </c>
      <c r="E26" s="126">
        <v>281</v>
      </c>
      <c r="F26" s="196" t="s">
        <v>325</v>
      </c>
      <c r="G26" s="198">
        <v>3.6</v>
      </c>
      <c r="H26" s="127">
        <v>1.6946288757396448</v>
      </c>
      <c r="I26" s="209" t="s">
        <v>329</v>
      </c>
      <c r="J26" s="128">
        <v>1</v>
      </c>
      <c r="K26" s="298">
        <v>0</v>
      </c>
      <c r="L26" s="299">
        <f t="shared" si="0"/>
        <v>0.05</v>
      </c>
      <c r="M26" s="299">
        <f t="shared" si="1"/>
        <v>0</v>
      </c>
      <c r="N26" s="299">
        <f t="shared" si="2"/>
        <v>5.5171999999999999E-2</v>
      </c>
      <c r="O26" s="347">
        <f t="shared" si="3"/>
        <v>3.1946536735544893E-2</v>
      </c>
      <c r="P26" s="337">
        <f>'II - Planilha Consolidada'!$F$21*L26</f>
        <v>0</v>
      </c>
      <c r="Q26" s="337">
        <f>'II - Planilha Consolidada'!$G$23*N26+'II - Planilha Consolidada'!$G$24*O26</f>
        <v>0</v>
      </c>
      <c r="R26" s="299"/>
      <c r="S26" s="337">
        <f>R26*SUM('II - Planilha Consolidada'!$H$13:$H$14)</f>
        <v>0</v>
      </c>
      <c r="T26" s="299">
        <f t="shared" ref="T26" si="13">H26/$I$76</f>
        <v>6.5725446812921071E-2</v>
      </c>
      <c r="U26" s="337">
        <f>T26*SUM('II - Planilha Consolidada'!$G$9:$G$11)</f>
        <v>0</v>
      </c>
      <c r="V26" s="347">
        <f t="shared" si="5"/>
        <v>3.1946536735544893E-2</v>
      </c>
      <c r="W26" s="337">
        <f>SUM('II - Planilha Consolidada'!$G$18:$G$20)*V26</f>
        <v>0</v>
      </c>
      <c r="X26" s="337">
        <f>SUM('II - Planilha Consolidada'!$G$25:$G$26)*'V-A - ISS'!D25</f>
        <v>0</v>
      </c>
      <c r="Y26" s="337">
        <f t="shared" si="6"/>
        <v>0</v>
      </c>
    </row>
    <row r="27" spans="1:25" hidden="1" x14ac:dyDescent="0.2">
      <c r="A27" s="123"/>
      <c r="B27" s="124"/>
      <c r="C27" s="125"/>
      <c r="D27" s="124"/>
      <c r="E27" s="126"/>
      <c r="F27" s="196"/>
      <c r="G27" s="198"/>
      <c r="H27" s="127"/>
      <c r="I27" s="209"/>
      <c r="J27" s="128"/>
      <c r="K27" s="298"/>
      <c r="L27" s="299"/>
      <c r="M27" s="299"/>
      <c r="N27" s="299"/>
      <c r="O27" s="299"/>
      <c r="Q27" s="337"/>
      <c r="S27" s="337"/>
      <c r="U27" s="337"/>
      <c r="V27" s="346"/>
      <c r="W27" s="337"/>
      <c r="X27" s="337"/>
      <c r="Y27" s="337"/>
    </row>
    <row r="28" spans="1:25" hidden="1" x14ac:dyDescent="0.2">
      <c r="A28" s="7"/>
      <c r="B28" s="124"/>
      <c r="C28" s="125"/>
      <c r="D28" s="124"/>
      <c r="E28" s="126"/>
      <c r="F28" s="196"/>
      <c r="G28" s="198"/>
      <c r="H28" s="127"/>
      <c r="I28" s="209"/>
      <c r="J28" s="128"/>
      <c r="K28" s="298"/>
      <c r="L28" s="299"/>
      <c r="M28" s="299"/>
      <c r="N28" s="299"/>
      <c r="O28" s="299"/>
      <c r="Q28" s="337"/>
      <c r="S28" s="337"/>
      <c r="U28" s="337"/>
      <c r="V28" s="346"/>
      <c r="W28" s="337"/>
      <c r="X28" s="337"/>
      <c r="Y28" s="337"/>
    </row>
    <row r="29" spans="1:25" hidden="1" x14ac:dyDescent="0.2">
      <c r="A29" s="7"/>
      <c r="B29" s="124"/>
      <c r="C29" s="125"/>
      <c r="D29" s="124"/>
      <c r="E29" s="126"/>
      <c r="F29" s="196"/>
      <c r="G29" s="198"/>
      <c r="H29" s="127"/>
      <c r="I29" s="209"/>
      <c r="J29" s="128"/>
      <c r="K29" s="298"/>
      <c r="L29" s="299"/>
      <c r="M29" s="299"/>
      <c r="N29" s="299"/>
      <c r="O29" s="299"/>
      <c r="Q29" s="337"/>
      <c r="S29" s="337"/>
      <c r="U29" s="337"/>
      <c r="V29" s="346"/>
      <c r="W29" s="337"/>
      <c r="X29" s="337"/>
      <c r="Y29" s="337"/>
    </row>
    <row r="30" spans="1:25" hidden="1" x14ac:dyDescent="0.2">
      <c r="A30" s="7"/>
      <c r="B30" s="124"/>
      <c r="C30" s="125"/>
      <c r="D30" s="124"/>
      <c r="E30" s="126"/>
      <c r="F30" s="196"/>
      <c r="G30" s="198"/>
      <c r="H30" s="127"/>
      <c r="I30" s="209"/>
      <c r="J30" s="128"/>
      <c r="K30" s="298"/>
      <c r="L30" s="299"/>
      <c r="M30" s="299"/>
      <c r="N30" s="299"/>
      <c r="O30" s="299"/>
      <c r="Q30" s="337"/>
      <c r="S30" s="337"/>
      <c r="U30" s="337"/>
      <c r="V30" s="346"/>
      <c r="W30" s="337"/>
      <c r="X30" s="337"/>
      <c r="Y30" s="337"/>
    </row>
    <row r="31" spans="1:25" hidden="1" x14ac:dyDescent="0.2">
      <c r="A31" s="7"/>
      <c r="B31" s="124"/>
      <c r="C31" s="125"/>
      <c r="D31" s="124"/>
      <c r="E31" s="126"/>
      <c r="F31" s="196"/>
      <c r="G31" s="198"/>
      <c r="H31" s="127"/>
      <c r="I31" s="209"/>
      <c r="J31" s="128"/>
      <c r="K31" s="298"/>
      <c r="L31" s="299"/>
      <c r="M31" s="299"/>
      <c r="N31" s="299"/>
      <c r="O31" s="299"/>
      <c r="Q31" s="337"/>
      <c r="S31" s="337"/>
      <c r="U31" s="337"/>
      <c r="V31" s="346"/>
      <c r="W31" s="337"/>
      <c r="X31" s="337"/>
      <c r="Y31" s="337"/>
    </row>
    <row r="32" spans="1:25" hidden="1" x14ac:dyDescent="0.2">
      <c r="A32" s="7"/>
      <c r="B32" s="124"/>
      <c r="C32" s="125"/>
      <c r="D32" s="124"/>
      <c r="E32" s="126"/>
      <c r="F32" s="196"/>
      <c r="G32" s="198"/>
      <c r="H32" s="127"/>
      <c r="I32" s="209"/>
      <c r="J32" s="128"/>
      <c r="K32" s="298"/>
      <c r="L32" s="299"/>
      <c r="M32" s="299"/>
      <c r="N32" s="299"/>
      <c r="O32" s="299"/>
      <c r="Q32" s="337"/>
      <c r="S32" s="337"/>
      <c r="U32" s="337"/>
      <c r="V32" s="346"/>
      <c r="W32" s="337"/>
      <c r="X32" s="337"/>
      <c r="Y32" s="337"/>
    </row>
    <row r="33" spans="1:25" hidden="1" x14ac:dyDescent="0.2">
      <c r="A33" s="7"/>
      <c r="B33" s="124"/>
      <c r="C33" s="125"/>
      <c r="D33" s="124"/>
      <c r="E33" s="126"/>
      <c r="F33" s="196"/>
      <c r="G33" s="198"/>
      <c r="H33" s="127"/>
      <c r="I33" s="209"/>
      <c r="J33" s="128"/>
      <c r="K33" s="298"/>
      <c r="L33" s="299"/>
      <c r="M33" s="299"/>
      <c r="N33" s="299"/>
      <c r="O33" s="299"/>
      <c r="Q33" s="337"/>
      <c r="S33" s="337"/>
      <c r="U33" s="337"/>
      <c r="V33" s="346"/>
      <c r="W33" s="337"/>
      <c r="X33" s="337"/>
      <c r="Y33" s="337"/>
    </row>
    <row r="34" spans="1:25" hidden="1" x14ac:dyDescent="0.2">
      <c r="A34" s="7"/>
      <c r="B34" s="124"/>
      <c r="C34" s="125"/>
      <c r="D34" s="124"/>
      <c r="E34" s="126"/>
      <c r="F34" s="196"/>
      <c r="G34" s="198"/>
      <c r="H34" s="127"/>
      <c r="I34" s="209"/>
      <c r="J34" s="128"/>
      <c r="K34" s="298"/>
      <c r="L34" s="299"/>
      <c r="M34" s="299"/>
      <c r="N34" s="299"/>
      <c r="O34" s="299"/>
      <c r="Q34" s="337"/>
      <c r="S34" s="337"/>
      <c r="U34" s="337"/>
      <c r="V34" s="346"/>
      <c r="W34" s="337"/>
      <c r="X34" s="337"/>
      <c r="Y34" s="337"/>
    </row>
    <row r="35" spans="1:25" hidden="1" x14ac:dyDescent="0.2">
      <c r="A35" s="7"/>
      <c r="B35" s="124"/>
      <c r="C35" s="125"/>
      <c r="D35" s="124"/>
      <c r="E35" s="126"/>
      <c r="F35" s="196"/>
      <c r="G35" s="198"/>
      <c r="H35" s="127"/>
      <c r="I35" s="209"/>
      <c r="J35" s="128"/>
      <c r="K35" s="298"/>
      <c r="L35" s="299"/>
      <c r="M35" s="299"/>
      <c r="N35" s="299"/>
      <c r="O35" s="299"/>
      <c r="Q35" s="337"/>
      <c r="S35" s="337"/>
      <c r="U35" s="337"/>
      <c r="V35" s="346"/>
      <c r="W35" s="337"/>
      <c r="X35" s="337"/>
      <c r="Y35" s="337"/>
    </row>
    <row r="36" spans="1:25" hidden="1" x14ac:dyDescent="0.2">
      <c r="A36" s="7"/>
      <c r="B36" s="124"/>
      <c r="C36" s="125"/>
      <c r="D36" s="124"/>
      <c r="E36" s="126"/>
      <c r="F36" s="196"/>
      <c r="G36" s="198"/>
      <c r="H36" s="127"/>
      <c r="I36" s="209"/>
      <c r="J36" s="128"/>
      <c r="K36" s="298"/>
      <c r="L36" s="299"/>
      <c r="M36" s="299"/>
      <c r="N36" s="299"/>
      <c r="O36" s="299"/>
      <c r="Q36" s="337"/>
      <c r="S36" s="337"/>
      <c r="U36" s="337"/>
      <c r="V36" s="346"/>
      <c r="W36" s="337"/>
      <c r="X36" s="337"/>
      <c r="Y36" s="337"/>
    </row>
    <row r="37" spans="1:25" hidden="1" x14ac:dyDescent="0.2">
      <c r="A37" s="7"/>
      <c r="B37" s="124"/>
      <c r="C37" s="125"/>
      <c r="D37" s="124"/>
      <c r="E37" s="126"/>
      <c r="F37" s="196"/>
      <c r="G37" s="198"/>
      <c r="H37" s="127"/>
      <c r="I37" s="209"/>
      <c r="J37" s="128"/>
      <c r="K37" s="298"/>
      <c r="L37" s="299"/>
      <c r="M37" s="299"/>
      <c r="N37" s="299"/>
      <c r="O37" s="299"/>
      <c r="Q37" s="337"/>
      <c r="S37" s="337"/>
      <c r="U37" s="337"/>
      <c r="V37" s="346"/>
      <c r="W37" s="337"/>
      <c r="X37" s="337"/>
      <c r="Y37" s="337"/>
    </row>
    <row r="38" spans="1:25" hidden="1" x14ac:dyDescent="0.2">
      <c r="A38" s="7"/>
      <c r="B38" s="124"/>
      <c r="C38" s="125"/>
      <c r="D38" s="124"/>
      <c r="E38" s="126"/>
      <c r="F38" s="196"/>
      <c r="G38" s="198"/>
      <c r="H38" s="127"/>
      <c r="I38" s="209"/>
      <c r="J38" s="128"/>
      <c r="K38" s="298"/>
      <c r="L38" s="299"/>
      <c r="M38" s="299"/>
      <c r="N38" s="299"/>
      <c r="O38" s="299"/>
      <c r="Q38" s="337"/>
      <c r="S38" s="337"/>
      <c r="U38" s="337"/>
      <c r="V38" s="346"/>
      <c r="W38" s="337"/>
      <c r="X38" s="337"/>
      <c r="Y38" s="337"/>
    </row>
    <row r="39" spans="1:25" hidden="1" x14ac:dyDescent="0.2">
      <c r="A39" s="7"/>
      <c r="B39" s="124"/>
      <c r="C39" s="125"/>
      <c r="D39" s="124"/>
      <c r="E39" s="126"/>
      <c r="F39" s="196"/>
      <c r="G39" s="198"/>
      <c r="H39" s="127"/>
      <c r="I39" s="209"/>
      <c r="J39" s="128"/>
      <c r="K39" s="298"/>
      <c r="L39" s="299"/>
      <c r="M39" s="299"/>
      <c r="N39" s="299"/>
      <c r="O39" s="299"/>
      <c r="Q39" s="337"/>
      <c r="S39" s="337"/>
      <c r="U39" s="337"/>
      <c r="V39" s="346"/>
      <c r="W39" s="337"/>
      <c r="X39" s="337"/>
      <c r="Y39" s="337"/>
    </row>
    <row r="40" spans="1:25" hidden="1" x14ac:dyDescent="0.2">
      <c r="A40" s="7"/>
      <c r="B40" s="124"/>
      <c r="C40" s="125"/>
      <c r="D40" s="124"/>
      <c r="E40" s="126"/>
      <c r="F40" s="196"/>
      <c r="G40" s="198"/>
      <c r="H40" s="127"/>
      <c r="I40" s="209"/>
      <c r="J40" s="128"/>
      <c r="K40" s="298"/>
      <c r="L40" s="299"/>
      <c r="M40" s="299"/>
      <c r="N40" s="299"/>
      <c r="O40" s="299"/>
      <c r="Q40" s="337"/>
      <c r="S40" s="337"/>
      <c r="U40" s="337"/>
      <c r="V40" s="346"/>
      <c r="W40" s="337"/>
      <c r="X40" s="337"/>
      <c r="Y40" s="337"/>
    </row>
    <row r="41" spans="1:25" hidden="1" x14ac:dyDescent="0.2">
      <c r="A41" s="7"/>
      <c r="B41" s="124"/>
      <c r="C41" s="125"/>
      <c r="D41" s="124"/>
      <c r="E41" s="126"/>
      <c r="F41" s="196"/>
      <c r="G41" s="198"/>
      <c r="H41" s="127"/>
      <c r="I41" s="209"/>
      <c r="J41" s="128"/>
      <c r="K41" s="298"/>
      <c r="L41" s="299"/>
      <c r="M41" s="299"/>
      <c r="N41" s="299"/>
      <c r="O41" s="299"/>
      <c r="Q41" s="337"/>
      <c r="S41" s="337"/>
      <c r="U41" s="337"/>
      <c r="V41" s="346"/>
      <c r="W41" s="337"/>
      <c r="X41" s="337"/>
      <c r="Y41" s="337"/>
    </row>
    <row r="42" spans="1:25" hidden="1" x14ac:dyDescent="0.2">
      <c r="A42" s="7"/>
      <c r="B42" s="124"/>
      <c r="C42" s="125"/>
      <c r="D42" s="124"/>
      <c r="E42" s="126"/>
      <c r="F42" s="196"/>
      <c r="G42" s="198"/>
      <c r="H42" s="127"/>
      <c r="I42" s="209"/>
      <c r="J42" s="128"/>
      <c r="K42" s="298"/>
      <c r="L42" s="299"/>
      <c r="M42" s="299"/>
      <c r="N42" s="299"/>
      <c r="O42" s="299"/>
      <c r="Q42" s="337"/>
      <c r="S42" s="337"/>
      <c r="U42" s="337"/>
      <c r="V42" s="346"/>
      <c r="W42" s="337"/>
      <c r="X42" s="337"/>
      <c r="Y42" s="337"/>
    </row>
    <row r="43" spans="1:25" hidden="1" x14ac:dyDescent="0.2">
      <c r="A43" s="7"/>
      <c r="B43" s="124"/>
      <c r="C43" s="125"/>
      <c r="D43" s="124"/>
      <c r="E43" s="126"/>
      <c r="F43" s="196"/>
      <c r="G43" s="198"/>
      <c r="H43" s="127"/>
      <c r="I43" s="209"/>
      <c r="J43" s="128"/>
      <c r="K43" s="298"/>
      <c r="L43" s="299"/>
      <c r="M43" s="299"/>
      <c r="N43" s="299"/>
      <c r="O43" s="299"/>
      <c r="Q43" s="337"/>
      <c r="S43" s="337"/>
      <c r="U43" s="337"/>
      <c r="V43" s="346"/>
      <c r="W43" s="337"/>
      <c r="X43" s="337"/>
      <c r="Y43" s="337"/>
    </row>
    <row r="44" spans="1:25" hidden="1" x14ac:dyDescent="0.2">
      <c r="A44" s="7"/>
      <c r="B44" s="124"/>
      <c r="C44" s="125"/>
      <c r="D44" s="124"/>
      <c r="E44" s="126"/>
      <c r="F44" s="196"/>
      <c r="G44" s="198"/>
      <c r="H44" s="127"/>
      <c r="I44" s="209"/>
      <c r="J44" s="128"/>
      <c r="K44" s="298"/>
      <c r="L44" s="299"/>
      <c r="M44" s="299"/>
      <c r="N44" s="299"/>
      <c r="O44" s="299"/>
      <c r="Q44" s="337"/>
      <c r="S44" s="337"/>
      <c r="U44" s="337"/>
      <c r="V44" s="346"/>
      <c r="W44" s="337"/>
      <c r="X44" s="337"/>
      <c r="Y44" s="337"/>
    </row>
    <row r="45" spans="1:25" hidden="1" x14ac:dyDescent="0.2">
      <c r="A45" s="7"/>
      <c r="B45" s="124"/>
      <c r="C45" s="125"/>
      <c r="D45" s="124"/>
      <c r="E45" s="126"/>
      <c r="F45" s="196"/>
      <c r="G45" s="198"/>
      <c r="H45" s="127"/>
      <c r="I45" s="209"/>
      <c r="J45" s="128"/>
      <c r="K45" s="298"/>
      <c r="L45" s="299"/>
      <c r="M45" s="299"/>
      <c r="N45" s="299"/>
      <c r="O45" s="299"/>
      <c r="Q45" s="337"/>
      <c r="S45" s="337"/>
      <c r="U45" s="337"/>
      <c r="V45" s="346"/>
      <c r="W45" s="337"/>
      <c r="X45" s="337"/>
      <c r="Y45" s="337"/>
    </row>
    <row r="46" spans="1:25" hidden="1" x14ac:dyDescent="0.2">
      <c r="A46" s="7"/>
      <c r="B46" s="124"/>
      <c r="C46" s="125"/>
      <c r="D46" s="124"/>
      <c r="E46" s="126"/>
      <c r="F46" s="196"/>
      <c r="G46" s="198"/>
      <c r="H46" s="127"/>
      <c r="I46" s="209"/>
      <c r="J46" s="128"/>
      <c r="K46" s="298"/>
      <c r="L46" s="299"/>
      <c r="M46" s="299"/>
      <c r="N46" s="299"/>
      <c r="O46" s="299"/>
      <c r="Q46" s="337"/>
      <c r="S46" s="337"/>
      <c r="U46" s="337"/>
      <c r="V46" s="346"/>
      <c r="W46" s="337"/>
      <c r="X46" s="337"/>
      <c r="Y46" s="337"/>
    </row>
    <row r="47" spans="1:25" hidden="1" x14ac:dyDescent="0.2">
      <c r="A47" s="7"/>
      <c r="B47" s="124"/>
      <c r="C47" s="125"/>
      <c r="D47" s="124"/>
      <c r="E47" s="126"/>
      <c r="F47" s="196"/>
      <c r="G47" s="198"/>
      <c r="H47" s="127"/>
      <c r="I47" s="209"/>
      <c r="J47" s="128"/>
      <c r="K47" s="298"/>
      <c r="L47" s="299"/>
      <c r="M47" s="299"/>
      <c r="N47" s="299"/>
      <c r="O47" s="299"/>
      <c r="Q47" s="337"/>
      <c r="S47" s="337"/>
      <c r="U47" s="337"/>
      <c r="V47" s="346"/>
      <c r="W47" s="337"/>
      <c r="X47" s="337"/>
      <c r="Y47" s="337"/>
    </row>
    <row r="48" spans="1:25" hidden="1" x14ac:dyDescent="0.2">
      <c r="A48" s="7"/>
      <c r="B48" s="124"/>
      <c r="C48" s="125"/>
      <c r="D48" s="124"/>
      <c r="E48" s="126"/>
      <c r="F48" s="196"/>
      <c r="G48" s="198"/>
      <c r="H48" s="127"/>
      <c r="I48" s="209"/>
      <c r="J48" s="128"/>
      <c r="K48" s="298"/>
      <c r="L48" s="299"/>
      <c r="M48" s="299"/>
      <c r="N48" s="299"/>
      <c r="O48" s="299"/>
      <c r="Q48" s="337"/>
      <c r="S48" s="337"/>
      <c r="U48" s="337"/>
      <c r="V48" s="346"/>
      <c r="W48" s="337"/>
      <c r="X48" s="337"/>
      <c r="Y48" s="337"/>
    </row>
    <row r="49" spans="1:25" hidden="1" x14ac:dyDescent="0.2">
      <c r="A49" s="7"/>
      <c r="B49" s="124"/>
      <c r="C49" s="125"/>
      <c r="D49" s="124"/>
      <c r="E49" s="126"/>
      <c r="F49" s="196"/>
      <c r="G49" s="198"/>
      <c r="H49" s="127"/>
      <c r="I49" s="209"/>
      <c r="J49" s="128"/>
      <c r="K49" s="298"/>
      <c r="L49" s="299"/>
      <c r="M49" s="299"/>
      <c r="N49" s="299"/>
      <c r="O49" s="299"/>
      <c r="Q49" s="337"/>
      <c r="S49" s="337"/>
      <c r="U49" s="337"/>
      <c r="V49" s="346"/>
      <c r="W49" s="337"/>
      <c r="X49" s="337"/>
      <c r="Y49" s="337"/>
    </row>
    <row r="50" spans="1:25" hidden="1" x14ac:dyDescent="0.2">
      <c r="A50" s="7"/>
      <c r="B50" s="124"/>
      <c r="C50" s="125"/>
      <c r="D50" s="124"/>
      <c r="E50" s="126"/>
      <c r="F50" s="196"/>
      <c r="G50" s="198"/>
      <c r="H50" s="127"/>
      <c r="I50" s="209"/>
      <c r="J50" s="128"/>
      <c r="K50" s="298"/>
      <c r="L50" s="299"/>
      <c r="M50" s="299"/>
      <c r="N50" s="299"/>
      <c r="O50" s="299"/>
      <c r="Q50" s="337"/>
      <c r="S50" s="337"/>
      <c r="U50" s="337"/>
      <c r="V50" s="346"/>
      <c r="W50" s="337"/>
      <c r="X50" s="337"/>
      <c r="Y50" s="337"/>
    </row>
    <row r="51" spans="1:25" hidden="1" x14ac:dyDescent="0.2">
      <c r="A51" s="7"/>
      <c r="B51" s="124"/>
      <c r="C51" s="125"/>
      <c r="D51" s="124"/>
      <c r="E51" s="126"/>
      <c r="F51" s="196"/>
      <c r="G51" s="198"/>
      <c r="H51" s="127"/>
      <c r="I51" s="209"/>
      <c r="J51" s="128"/>
      <c r="K51" s="298"/>
      <c r="L51" s="299"/>
      <c r="M51" s="299"/>
      <c r="N51" s="299"/>
      <c r="O51" s="299"/>
      <c r="Q51" s="337"/>
      <c r="S51" s="337"/>
      <c r="U51" s="337"/>
      <c r="V51" s="346"/>
      <c r="W51" s="337"/>
      <c r="X51" s="337"/>
      <c r="Y51" s="337"/>
    </row>
    <row r="52" spans="1:25" hidden="1" x14ac:dyDescent="0.2">
      <c r="A52" s="7"/>
      <c r="B52" s="124"/>
      <c r="C52" s="125"/>
      <c r="D52" s="124"/>
      <c r="E52" s="126"/>
      <c r="F52" s="196"/>
      <c r="G52" s="198"/>
      <c r="H52" s="127"/>
      <c r="I52" s="209"/>
      <c r="J52" s="128"/>
      <c r="K52" s="298"/>
      <c r="L52" s="299"/>
      <c r="M52" s="299"/>
      <c r="N52" s="299"/>
      <c r="O52" s="299"/>
      <c r="Q52" s="337"/>
      <c r="S52" s="337"/>
      <c r="U52" s="337"/>
      <c r="V52" s="346"/>
      <c r="W52" s="337"/>
      <c r="X52" s="337"/>
      <c r="Y52" s="337"/>
    </row>
    <row r="53" spans="1:25" hidden="1" x14ac:dyDescent="0.2">
      <c r="A53" s="7"/>
      <c r="B53" s="124"/>
      <c r="C53" s="125"/>
      <c r="D53" s="124"/>
      <c r="E53" s="126"/>
      <c r="F53" s="196"/>
      <c r="G53" s="198"/>
      <c r="H53" s="127"/>
      <c r="I53" s="209"/>
      <c r="J53" s="128"/>
      <c r="K53" s="298"/>
      <c r="L53" s="299"/>
      <c r="M53" s="299"/>
      <c r="N53" s="299"/>
      <c r="O53" s="299"/>
      <c r="Q53" s="337"/>
      <c r="S53" s="337"/>
      <c r="U53" s="337"/>
      <c r="V53" s="346"/>
      <c r="W53" s="337"/>
      <c r="X53" s="337"/>
      <c r="Y53" s="337"/>
    </row>
    <row r="54" spans="1:25" hidden="1" x14ac:dyDescent="0.2">
      <c r="A54" s="7"/>
      <c r="B54" s="124"/>
      <c r="C54" s="125"/>
      <c r="D54" s="124"/>
      <c r="E54" s="126"/>
      <c r="F54" s="196"/>
      <c r="G54" s="198"/>
      <c r="H54" s="127"/>
      <c r="I54" s="209"/>
      <c r="J54" s="128"/>
      <c r="K54" s="298"/>
      <c r="L54" s="299"/>
      <c r="M54" s="299"/>
      <c r="N54" s="299"/>
      <c r="O54" s="299"/>
      <c r="Q54" s="337"/>
      <c r="S54" s="337"/>
      <c r="U54" s="337"/>
      <c r="V54" s="346"/>
      <c r="W54" s="337"/>
      <c r="X54" s="337"/>
      <c r="Y54" s="337"/>
    </row>
    <row r="55" spans="1:25" hidden="1" x14ac:dyDescent="0.2">
      <c r="A55" s="7"/>
      <c r="B55" s="124"/>
      <c r="C55" s="125"/>
      <c r="D55" s="124"/>
      <c r="E55" s="126"/>
      <c r="F55" s="196"/>
      <c r="G55" s="198"/>
      <c r="H55" s="127"/>
      <c r="I55" s="209"/>
      <c r="J55" s="128"/>
      <c r="K55" s="298"/>
      <c r="L55" s="299"/>
      <c r="M55" s="299"/>
      <c r="N55" s="299"/>
      <c r="O55" s="299"/>
      <c r="Q55" s="337"/>
      <c r="S55" s="337"/>
      <c r="U55" s="337"/>
      <c r="V55" s="346"/>
      <c r="W55" s="337"/>
      <c r="X55" s="337"/>
      <c r="Y55" s="337"/>
    </row>
    <row r="56" spans="1:25" hidden="1" x14ac:dyDescent="0.2">
      <c r="A56" s="7"/>
      <c r="B56" s="124"/>
      <c r="C56" s="125"/>
      <c r="D56" s="124"/>
      <c r="E56" s="126"/>
      <c r="F56" s="196"/>
      <c r="G56" s="198"/>
      <c r="H56" s="127"/>
      <c r="I56" s="209"/>
      <c r="J56" s="128"/>
      <c r="K56" s="298"/>
      <c r="L56" s="299"/>
      <c r="M56" s="299"/>
      <c r="N56" s="299"/>
      <c r="O56" s="299"/>
      <c r="Q56" s="337"/>
      <c r="S56" s="337"/>
      <c r="U56" s="337"/>
      <c r="V56" s="346"/>
      <c r="W56" s="337"/>
      <c r="X56" s="337"/>
      <c r="Y56" s="337"/>
    </row>
    <row r="57" spans="1:25" hidden="1" x14ac:dyDescent="0.2">
      <c r="A57" s="7"/>
      <c r="B57" s="124"/>
      <c r="C57" s="125"/>
      <c r="D57" s="124"/>
      <c r="E57" s="126"/>
      <c r="F57" s="196"/>
      <c r="G57" s="198"/>
      <c r="H57" s="127"/>
      <c r="I57" s="209"/>
      <c r="J57" s="128"/>
      <c r="K57" s="298"/>
      <c r="L57" s="299"/>
      <c r="M57" s="299"/>
      <c r="N57" s="299"/>
      <c r="O57" s="299"/>
      <c r="Q57" s="337"/>
      <c r="S57" s="337"/>
      <c r="U57" s="337"/>
      <c r="V57" s="346"/>
      <c r="W57" s="337"/>
      <c r="X57" s="337"/>
      <c r="Y57" s="337"/>
    </row>
    <row r="58" spans="1:25" hidden="1" x14ac:dyDescent="0.2">
      <c r="A58" s="7"/>
      <c r="B58" s="124"/>
      <c r="C58" s="125"/>
      <c r="D58" s="124"/>
      <c r="E58" s="126"/>
      <c r="F58" s="196"/>
      <c r="G58" s="198"/>
      <c r="H58" s="127"/>
      <c r="I58" s="209"/>
      <c r="J58" s="128"/>
      <c r="K58" s="298"/>
      <c r="L58" s="299"/>
      <c r="M58" s="299"/>
      <c r="N58" s="299"/>
      <c r="O58" s="299"/>
      <c r="Q58" s="337"/>
      <c r="S58" s="337"/>
      <c r="U58" s="337"/>
      <c r="V58" s="346"/>
      <c r="W58" s="337"/>
      <c r="X58" s="337"/>
      <c r="Y58" s="337"/>
    </row>
    <row r="59" spans="1:25" hidden="1" x14ac:dyDescent="0.2">
      <c r="A59" s="7"/>
      <c r="B59" s="124"/>
      <c r="C59" s="125"/>
      <c r="D59" s="124"/>
      <c r="E59" s="126"/>
      <c r="F59" s="196"/>
      <c r="G59" s="198"/>
      <c r="H59" s="127"/>
      <c r="I59" s="209"/>
      <c r="J59" s="128"/>
      <c r="K59" s="298"/>
      <c r="L59" s="299"/>
      <c r="M59" s="299"/>
      <c r="N59" s="299"/>
      <c r="O59" s="299"/>
      <c r="Q59" s="337"/>
      <c r="S59" s="337"/>
      <c r="U59" s="337"/>
      <c r="V59" s="346"/>
      <c r="W59" s="337"/>
      <c r="X59" s="337"/>
      <c r="Y59" s="337"/>
    </row>
    <row r="60" spans="1:25" hidden="1" x14ac:dyDescent="0.2">
      <c r="A60" s="7"/>
      <c r="B60" s="124"/>
      <c r="C60" s="125"/>
      <c r="D60" s="124"/>
      <c r="E60" s="126"/>
      <c r="F60" s="196"/>
      <c r="G60" s="198"/>
      <c r="H60" s="127"/>
      <c r="I60" s="209"/>
      <c r="J60" s="128"/>
      <c r="K60" s="298"/>
      <c r="L60" s="299"/>
      <c r="M60" s="299"/>
      <c r="N60" s="299"/>
      <c r="O60" s="299"/>
      <c r="Q60" s="337"/>
      <c r="S60" s="337"/>
      <c r="U60" s="337"/>
      <c r="V60" s="346"/>
      <c r="W60" s="337"/>
      <c r="X60" s="337"/>
      <c r="Y60" s="337"/>
    </row>
    <row r="61" spans="1:25" hidden="1" x14ac:dyDescent="0.2">
      <c r="A61" s="7"/>
      <c r="B61" s="124"/>
      <c r="C61" s="125"/>
      <c r="D61" s="124"/>
      <c r="E61" s="126"/>
      <c r="F61" s="196"/>
      <c r="G61" s="198"/>
      <c r="H61" s="127"/>
      <c r="I61" s="209"/>
      <c r="J61" s="128"/>
      <c r="K61" s="298"/>
      <c r="L61" s="299"/>
      <c r="M61" s="299"/>
      <c r="N61" s="299"/>
      <c r="O61" s="299"/>
      <c r="Q61" s="337"/>
      <c r="S61" s="337"/>
      <c r="U61" s="337"/>
      <c r="V61" s="346"/>
      <c r="W61" s="337"/>
      <c r="X61" s="337"/>
      <c r="Y61" s="337"/>
    </row>
    <row r="62" spans="1:25" hidden="1" x14ac:dyDescent="0.2">
      <c r="A62" s="7"/>
      <c r="B62" s="124"/>
      <c r="C62" s="125"/>
      <c r="D62" s="124"/>
      <c r="E62" s="126"/>
      <c r="F62" s="196"/>
      <c r="G62" s="198"/>
      <c r="H62" s="127"/>
      <c r="I62" s="209"/>
      <c r="J62" s="128"/>
      <c r="K62" s="298"/>
      <c r="L62" s="299"/>
      <c r="M62" s="299"/>
      <c r="N62" s="299"/>
      <c r="O62" s="299"/>
      <c r="Q62" s="337"/>
      <c r="S62" s="337"/>
      <c r="U62" s="337"/>
      <c r="V62" s="346"/>
      <c r="W62" s="337"/>
      <c r="X62" s="337"/>
      <c r="Y62" s="337"/>
    </row>
    <row r="63" spans="1:25" hidden="1" x14ac:dyDescent="0.2">
      <c r="A63" s="7"/>
      <c r="B63" s="124"/>
      <c r="C63" s="125"/>
      <c r="D63" s="124"/>
      <c r="E63" s="126"/>
      <c r="F63" s="196"/>
      <c r="G63" s="198"/>
      <c r="H63" s="127"/>
      <c r="I63" s="209"/>
      <c r="J63" s="128"/>
      <c r="K63" s="298"/>
      <c r="L63" s="299"/>
      <c r="M63" s="299"/>
      <c r="N63" s="299"/>
      <c r="O63" s="299"/>
      <c r="Q63" s="337"/>
      <c r="S63" s="337"/>
      <c r="U63" s="337"/>
      <c r="V63" s="346"/>
      <c r="W63" s="337"/>
      <c r="X63" s="337"/>
      <c r="Y63" s="337"/>
    </row>
    <row r="64" spans="1:25" hidden="1" x14ac:dyDescent="0.2">
      <c r="A64" s="123"/>
      <c r="B64" s="124"/>
      <c r="C64" s="125"/>
      <c r="D64" s="124"/>
      <c r="E64" s="126"/>
      <c r="F64" s="196"/>
      <c r="G64" s="198"/>
      <c r="H64" s="127"/>
      <c r="I64" s="209"/>
      <c r="J64" s="128"/>
      <c r="K64" s="298"/>
      <c r="L64" s="299"/>
      <c r="M64" s="299"/>
      <c r="N64" s="299"/>
      <c r="O64" s="299"/>
      <c r="Q64" s="337"/>
      <c r="S64" s="337"/>
      <c r="U64" s="337"/>
      <c r="V64" s="346"/>
      <c r="W64" s="337"/>
      <c r="X64" s="337"/>
      <c r="Y64" s="337"/>
    </row>
    <row r="65" spans="1:26" hidden="1" x14ac:dyDescent="0.2">
      <c r="A65" s="123"/>
      <c r="B65" s="124"/>
      <c r="C65" s="125"/>
      <c r="D65" s="124"/>
      <c r="E65" s="126"/>
      <c r="F65" s="196"/>
      <c r="G65" s="198"/>
      <c r="H65" s="127"/>
      <c r="I65" s="209"/>
      <c r="J65" s="128"/>
      <c r="K65" s="298"/>
      <c r="L65" s="299"/>
      <c r="M65" s="299"/>
      <c r="N65" s="299"/>
      <c r="O65" s="299"/>
      <c r="Q65" s="337"/>
      <c r="S65" s="337"/>
      <c r="U65" s="337"/>
      <c r="V65" s="346"/>
      <c r="W65" s="337"/>
      <c r="X65" s="337"/>
      <c r="Y65" s="337"/>
    </row>
    <row r="66" spans="1:26" hidden="1" x14ac:dyDescent="0.2">
      <c r="A66" s="123"/>
      <c r="B66" s="124"/>
      <c r="C66" s="125"/>
      <c r="D66" s="124"/>
      <c r="E66" s="126"/>
      <c r="F66" s="196"/>
      <c r="G66" s="198"/>
      <c r="H66" s="127"/>
      <c r="I66" s="209"/>
      <c r="J66" s="128"/>
      <c r="K66" s="298"/>
      <c r="L66" s="299"/>
      <c r="M66" s="299"/>
      <c r="N66" s="299"/>
      <c r="O66" s="299"/>
      <c r="Q66" s="337"/>
      <c r="S66" s="337"/>
      <c r="U66" s="337"/>
      <c r="V66" s="346"/>
      <c r="W66" s="337"/>
      <c r="X66" s="337"/>
      <c r="Y66" s="337"/>
    </row>
    <row r="67" spans="1:26" hidden="1" x14ac:dyDescent="0.2">
      <c r="A67" s="123"/>
      <c r="B67" s="124"/>
      <c r="C67" s="125"/>
      <c r="D67" s="124"/>
      <c r="E67" s="126"/>
      <c r="F67" s="196"/>
      <c r="G67" s="198"/>
      <c r="H67" s="127"/>
      <c r="I67" s="209"/>
      <c r="J67" s="128"/>
      <c r="K67" s="298"/>
      <c r="L67" s="299"/>
      <c r="M67" s="299"/>
      <c r="N67" s="299"/>
      <c r="O67" s="299"/>
      <c r="Q67" s="337"/>
      <c r="S67" s="337"/>
      <c r="U67" s="337"/>
      <c r="V67" s="346"/>
      <c r="W67" s="337"/>
      <c r="X67" s="337"/>
      <c r="Y67" s="337"/>
    </row>
    <row r="68" spans="1:26" hidden="1" x14ac:dyDescent="0.2">
      <c r="A68" s="123"/>
      <c r="B68" s="124"/>
      <c r="C68" s="125"/>
      <c r="D68" s="124"/>
      <c r="E68" s="126"/>
      <c r="F68" s="196"/>
      <c r="G68" s="198"/>
      <c r="H68" s="127"/>
      <c r="I68" s="209"/>
      <c r="J68" s="128"/>
      <c r="K68" s="298"/>
      <c r="L68" s="299"/>
      <c r="M68" s="299"/>
      <c r="N68" s="299"/>
      <c r="O68" s="299"/>
      <c r="Q68" s="337"/>
      <c r="S68" s="337"/>
      <c r="U68" s="337"/>
      <c r="V68" s="346"/>
      <c r="W68" s="337"/>
      <c r="X68" s="337"/>
      <c r="Y68" s="337"/>
    </row>
    <row r="69" spans="1:26" hidden="1" x14ac:dyDescent="0.2">
      <c r="A69" s="123"/>
      <c r="B69" s="124"/>
      <c r="C69" s="125"/>
      <c r="D69" s="124"/>
      <c r="E69" s="126"/>
      <c r="F69" s="196"/>
      <c r="G69" s="198"/>
      <c r="H69" s="127"/>
      <c r="I69" s="209"/>
      <c r="J69" s="128"/>
      <c r="K69" s="298"/>
      <c r="L69" s="299"/>
      <c r="M69" s="299"/>
      <c r="N69" s="299"/>
      <c r="O69" s="299"/>
      <c r="Q69" s="337"/>
      <c r="S69" s="337"/>
      <c r="U69" s="337"/>
      <c r="V69" s="346"/>
      <c r="W69" s="337"/>
      <c r="X69" s="337"/>
      <c r="Y69" s="337"/>
    </row>
    <row r="70" spans="1:26" hidden="1" x14ac:dyDescent="0.2">
      <c r="A70" s="123"/>
      <c r="B70" s="124"/>
      <c r="C70" s="125"/>
      <c r="D70" s="124"/>
      <c r="E70" s="126"/>
      <c r="F70" s="196"/>
      <c r="G70" s="198"/>
      <c r="H70" s="127"/>
      <c r="I70" s="209"/>
      <c r="J70" s="128"/>
      <c r="K70" s="298"/>
      <c r="L70" s="299"/>
      <c r="M70" s="299"/>
      <c r="N70" s="299"/>
      <c r="O70" s="299"/>
      <c r="Q70" s="337"/>
      <c r="S70" s="337"/>
      <c r="U70" s="337"/>
      <c r="V70" s="346"/>
      <c r="W70" s="337"/>
      <c r="X70" s="337"/>
      <c r="Y70" s="337"/>
    </row>
    <row r="71" spans="1:26" hidden="1" x14ac:dyDescent="0.2">
      <c r="A71" s="123"/>
      <c r="B71" s="124"/>
      <c r="C71" s="125"/>
      <c r="D71" s="124"/>
      <c r="E71" s="126"/>
      <c r="F71" s="196"/>
      <c r="G71" s="198"/>
      <c r="H71" s="127"/>
      <c r="I71" s="209"/>
      <c r="J71" s="128"/>
      <c r="K71" s="298"/>
      <c r="L71" s="299"/>
      <c r="M71" s="299"/>
      <c r="N71" s="299"/>
      <c r="O71" s="299"/>
      <c r="Q71" s="337"/>
      <c r="S71" s="337"/>
      <c r="U71" s="337"/>
      <c r="V71" s="346"/>
      <c r="W71" s="337"/>
      <c r="X71" s="337"/>
      <c r="Y71" s="337"/>
    </row>
    <row r="72" spans="1:26" hidden="1" x14ac:dyDescent="0.2">
      <c r="A72" s="123"/>
      <c r="B72" s="124"/>
      <c r="C72" s="125"/>
      <c r="D72" s="124"/>
      <c r="E72" s="126"/>
      <c r="F72" s="196"/>
      <c r="G72" s="198"/>
      <c r="H72" s="127"/>
      <c r="I72" s="209"/>
      <c r="J72" s="128"/>
      <c r="K72" s="298"/>
      <c r="L72" s="299"/>
      <c r="M72" s="299"/>
      <c r="N72" s="299"/>
      <c r="O72" s="299"/>
      <c r="Q72" s="337"/>
      <c r="S72" s="337"/>
      <c r="U72" s="337"/>
      <c r="V72" s="346"/>
      <c r="W72" s="337"/>
      <c r="X72" s="337"/>
      <c r="Y72" s="337"/>
    </row>
    <row r="73" spans="1:26" hidden="1" x14ac:dyDescent="0.2">
      <c r="A73" s="123"/>
      <c r="B73" s="124"/>
      <c r="C73" s="125"/>
      <c r="D73" s="124"/>
      <c r="E73" s="126"/>
      <c r="F73" s="196"/>
      <c r="G73" s="198"/>
      <c r="H73" s="127"/>
      <c r="I73" s="209"/>
      <c r="J73" s="128"/>
      <c r="K73" s="298"/>
      <c r="L73" s="299"/>
      <c r="M73" s="299"/>
      <c r="N73" s="299"/>
      <c r="O73" s="299"/>
      <c r="Q73" s="337"/>
      <c r="S73" s="337"/>
      <c r="U73" s="337"/>
      <c r="V73" s="346"/>
      <c r="W73" s="337"/>
      <c r="X73" s="337"/>
      <c r="Y73" s="337"/>
    </row>
    <row r="74" spans="1:26" hidden="1" x14ac:dyDescent="0.2">
      <c r="A74" s="123"/>
      <c r="B74" s="124"/>
      <c r="C74" s="125"/>
      <c r="D74" s="124"/>
      <c r="E74" s="126"/>
      <c r="F74" s="196"/>
      <c r="G74" s="198"/>
      <c r="H74" s="127"/>
      <c r="I74" s="209"/>
      <c r="J74" s="128"/>
      <c r="K74" s="298"/>
      <c r="L74" s="299"/>
      <c r="M74" s="299"/>
      <c r="N74" s="299"/>
      <c r="O74" s="300"/>
      <c r="X74" s="337">
        <f>SUM('II - Planilha Consolidada'!$G$25:$G$26)*'V-A - ISS'!D73</f>
        <v>0</v>
      </c>
      <c r="Y74" s="337">
        <f t="shared" ref="Y70:Y74" si="14">P74+Q74+S74+U74+W74+X74</f>
        <v>0</v>
      </c>
    </row>
    <row r="75" spans="1:26" hidden="1" x14ac:dyDescent="0.2">
      <c r="A75" s="123"/>
      <c r="B75" s="124"/>
      <c r="C75" s="125"/>
      <c r="D75" s="124"/>
      <c r="E75" s="126"/>
      <c r="F75" s="196"/>
      <c r="G75" s="198"/>
      <c r="H75" s="127"/>
      <c r="I75" s="209"/>
      <c r="J75" s="128"/>
      <c r="K75" s="298"/>
      <c r="L75" s="299"/>
      <c r="M75" s="299"/>
      <c r="N75" s="299"/>
      <c r="O75" s="299"/>
      <c r="P75" s="299"/>
      <c r="Q75" s="299"/>
      <c r="R75" s="299"/>
      <c r="S75" s="299"/>
      <c r="T75" s="299"/>
      <c r="U75" s="299"/>
      <c r="V75" s="299"/>
      <c r="W75" s="299"/>
      <c r="X75" s="299"/>
      <c r="Y75" s="299"/>
    </row>
    <row r="76" spans="1:26" x14ac:dyDescent="0.2">
      <c r="A76"/>
      <c r="B76"/>
      <c r="C76"/>
      <c r="D76"/>
      <c r="E76" s="43"/>
      <c r="F76" s="43"/>
      <c r="G76" s="43"/>
      <c r="H76" s="344">
        <f>SUM(H10:H15,H18:H19,H21:H23,H25)</f>
        <v>27.262325796093958</v>
      </c>
      <c r="I76" s="345">
        <f>H77-H76</f>
        <v>25.783451584029326</v>
      </c>
      <c r="J76" s="43"/>
      <c r="K76" s="43"/>
      <c r="L76" s="300">
        <f>SUM(L5:L73)</f>
        <v>1.0000000000000004</v>
      </c>
      <c r="M76" s="300">
        <f>SUM(M5:M73)</f>
        <v>0</v>
      </c>
      <c r="N76" s="300">
        <f>SUM(N5:N73)</f>
        <v>0.99999999999999978</v>
      </c>
      <c r="O76" s="300">
        <f>SUM(O5:O73)</f>
        <v>1</v>
      </c>
      <c r="P76" s="338">
        <f>SUM(P5:P26)</f>
        <v>0</v>
      </c>
      <c r="Q76" s="338">
        <f>SUM(Q5:Q26)</f>
        <v>0</v>
      </c>
      <c r="R76" s="300">
        <f>SUM(R5:R73)</f>
        <v>1</v>
      </c>
      <c r="S76" s="338">
        <f>SUM(S5:S26)</f>
        <v>0</v>
      </c>
      <c r="T76" s="300">
        <f>SUM(T5:T73)</f>
        <v>1.0000000000000002</v>
      </c>
      <c r="U76" s="338">
        <f>SUM(U5:U26)</f>
        <v>0</v>
      </c>
      <c r="V76" s="300">
        <f>SUM(V5:V73)</f>
        <v>1</v>
      </c>
      <c r="W76" s="338">
        <f>SUM(W5:W26)</f>
        <v>0</v>
      </c>
      <c r="X76" s="338">
        <f>SUM(X5:X26)</f>
        <v>0</v>
      </c>
      <c r="Y76" s="338">
        <f>SUM(Y5:Y26)</f>
        <v>0</v>
      </c>
      <c r="Z76" s="348"/>
    </row>
    <row r="77" spans="1:26" ht="22.5" x14ac:dyDescent="0.2">
      <c r="A77" s="7"/>
      <c r="B77" s="7"/>
      <c r="C77" s="301"/>
      <c r="D77" s="302" t="s">
        <v>365</v>
      </c>
      <c r="E77" s="303">
        <f>SUM(E5:E73)</f>
        <v>4267.04</v>
      </c>
      <c r="F77" s="304" t="s">
        <v>366</v>
      </c>
      <c r="G77" s="305">
        <f>SUM(G5:G73)</f>
        <v>65.25</v>
      </c>
      <c r="H77" s="339">
        <f>SUM(H5:H75)</f>
        <v>53.045777380123283</v>
      </c>
      <c r="I77" s="349" t="s">
        <v>367</v>
      </c>
      <c r="J77" s="306">
        <f t="shared" ref="J77:K77" si="15">SUM(J5:J73)</f>
        <v>20</v>
      </c>
      <c r="K77" s="320">
        <f t="shared" si="15"/>
        <v>0</v>
      </c>
      <c r="L77" s="43"/>
      <c r="M77" s="43"/>
      <c r="Y77" s="338">
        <f>Y76*12</f>
        <v>0</v>
      </c>
    </row>
    <row r="78" spans="1:26" x14ac:dyDescent="0.2">
      <c r="D78" s="450" t="s">
        <v>368</v>
      </c>
      <c r="E78" s="451"/>
      <c r="F78" s="452"/>
      <c r="G78" s="305">
        <f>G77</f>
        <v>65.25</v>
      </c>
      <c r="H78" s="450" t="s">
        <v>369</v>
      </c>
      <c r="I78" s="451"/>
      <c r="J78" s="451"/>
      <c r="K78" s="319">
        <f>K77</f>
        <v>0</v>
      </c>
      <c r="L78" s="43"/>
      <c r="M78" s="43"/>
    </row>
    <row r="79" spans="1:26" ht="6.75" customHeight="1" x14ac:dyDescent="0.2">
      <c r="D79" s="59"/>
      <c r="E79" s="59"/>
      <c r="F79" s="59"/>
      <c r="H79" s="43"/>
      <c r="I79" s="25"/>
      <c r="J79" s="43"/>
      <c r="K79" s="43"/>
      <c r="L79" s="43"/>
      <c r="M79" s="43"/>
    </row>
    <row r="80" spans="1:26" x14ac:dyDescent="0.2">
      <c r="A80" s="307" t="s">
        <v>370</v>
      </c>
      <c r="B80" s="308"/>
      <c r="C80" s="308"/>
      <c r="D80" s="308"/>
      <c r="E80" s="308"/>
      <c r="F80" s="309" t="s">
        <v>371</v>
      </c>
      <c r="G80" s="310" t="s">
        <v>371</v>
      </c>
      <c r="H80" s="310" t="s">
        <v>371</v>
      </c>
      <c r="I80" s="310" t="s">
        <v>371</v>
      </c>
      <c r="J80" s="311" t="s">
        <v>371</v>
      </c>
      <c r="K80" s="43"/>
      <c r="L80" s="43"/>
      <c r="M80" s="43"/>
    </row>
    <row r="81" spans="1:13" x14ac:dyDescent="0.2">
      <c r="A81" s="312" t="s">
        <v>372</v>
      </c>
      <c r="B81" s="313"/>
      <c r="C81" s="23"/>
      <c r="D81" s="23"/>
      <c r="E81" s="23"/>
      <c r="F81" s="194"/>
      <c r="G81" s="23"/>
      <c r="H81" s="23"/>
      <c r="I81" s="23"/>
      <c r="J81" s="314" t="s">
        <v>371</v>
      </c>
      <c r="K81" s="43"/>
      <c r="L81" s="43"/>
      <c r="M81" s="43"/>
    </row>
    <row r="82" spans="1:13" x14ac:dyDescent="0.2">
      <c r="A82" s="315" t="s">
        <v>373</v>
      </c>
      <c r="B82" s="23"/>
      <c r="C82" s="23"/>
      <c r="D82" s="23"/>
      <c r="E82" s="23"/>
      <c r="F82" s="23"/>
      <c r="G82" s="23"/>
      <c r="H82" s="23"/>
      <c r="I82" s="23"/>
      <c r="J82" s="314" t="s">
        <v>371</v>
      </c>
      <c r="K82" s="43"/>
      <c r="L82" s="43"/>
      <c r="M82" s="43"/>
    </row>
    <row r="83" spans="1:13" x14ac:dyDescent="0.2">
      <c r="A83" s="315" t="s">
        <v>374</v>
      </c>
      <c r="B83" s="23"/>
      <c r="C83" s="23"/>
      <c r="D83" s="23"/>
      <c r="E83" s="23"/>
      <c r="F83" s="23"/>
      <c r="G83" s="23"/>
      <c r="H83" s="23"/>
      <c r="I83" s="23"/>
      <c r="J83" s="314" t="s">
        <v>371</v>
      </c>
      <c r="K83" s="43"/>
      <c r="L83" s="43"/>
      <c r="M83" s="43"/>
    </row>
    <row r="84" spans="1:13" x14ac:dyDescent="0.2">
      <c r="A84" s="312" t="s">
        <v>375</v>
      </c>
      <c r="B84" s="313"/>
      <c r="C84" s="23"/>
      <c r="D84" s="23"/>
      <c r="E84" s="23"/>
      <c r="F84" s="194"/>
      <c r="G84" s="23"/>
      <c r="H84" s="23"/>
      <c r="I84" s="23"/>
      <c r="J84" s="314" t="s">
        <v>371</v>
      </c>
      <c r="K84" s="43"/>
      <c r="L84" s="43"/>
      <c r="M84" s="43"/>
    </row>
    <row r="85" spans="1:13" x14ac:dyDescent="0.2">
      <c r="A85" s="315" t="s">
        <v>376</v>
      </c>
      <c r="B85" s="23" t="s">
        <v>377</v>
      </c>
      <c r="C85" s="23"/>
      <c r="D85" s="23"/>
      <c r="E85" s="23"/>
      <c r="F85" s="194"/>
      <c r="G85" s="23"/>
      <c r="H85" s="23"/>
      <c r="I85" s="23"/>
      <c r="J85" s="314" t="s">
        <v>371</v>
      </c>
    </row>
    <row r="86" spans="1:13" x14ac:dyDescent="0.2">
      <c r="A86" s="315" t="s">
        <v>378</v>
      </c>
      <c r="B86" s="23" t="s">
        <v>379</v>
      </c>
      <c r="C86" s="23"/>
      <c r="D86" s="23"/>
      <c r="E86" s="23"/>
      <c r="F86" s="194"/>
      <c r="G86" s="23"/>
      <c r="H86" s="23"/>
      <c r="I86" s="23"/>
      <c r="J86" s="314" t="s">
        <v>371</v>
      </c>
    </row>
    <row r="87" spans="1:13" x14ac:dyDescent="0.2">
      <c r="A87" s="315" t="s">
        <v>380</v>
      </c>
      <c r="B87" s="23" t="s">
        <v>381</v>
      </c>
      <c r="C87" s="23"/>
      <c r="D87" s="23"/>
      <c r="E87" s="23"/>
      <c r="F87" s="194"/>
      <c r="G87" s="23"/>
      <c r="H87" s="23"/>
      <c r="I87" s="23"/>
      <c r="J87" s="314" t="s">
        <v>371</v>
      </c>
    </row>
    <row r="88" spans="1:13" x14ac:dyDescent="0.2">
      <c r="A88" s="315" t="s">
        <v>382</v>
      </c>
      <c r="B88" s="23" t="s">
        <v>383</v>
      </c>
      <c r="C88" s="23"/>
      <c r="D88" s="23"/>
      <c r="E88" s="23"/>
      <c r="F88" s="23"/>
      <c r="G88" s="23"/>
      <c r="H88" s="23"/>
      <c r="I88" s="23"/>
      <c r="J88" s="314" t="s">
        <v>371</v>
      </c>
    </row>
    <row r="89" spans="1:13" x14ac:dyDescent="0.2">
      <c r="A89" s="315" t="s">
        <v>78</v>
      </c>
      <c r="B89" s="23" t="s">
        <v>384</v>
      </c>
      <c r="C89" s="23"/>
      <c r="D89" s="23"/>
      <c r="E89" s="23"/>
      <c r="F89" s="23"/>
      <c r="G89" s="23"/>
      <c r="H89" s="23"/>
      <c r="I89" s="23"/>
      <c r="J89" s="314" t="s">
        <v>371</v>
      </c>
    </row>
    <row r="90" spans="1:13" x14ac:dyDescent="0.2">
      <c r="A90" s="312" t="s">
        <v>385</v>
      </c>
      <c r="B90" s="313"/>
      <c r="C90" s="313"/>
      <c r="D90" s="313"/>
      <c r="E90" s="313"/>
      <c r="F90" s="313"/>
      <c r="G90" s="313"/>
      <c r="H90" s="23"/>
      <c r="I90" s="23"/>
      <c r="J90" s="314" t="s">
        <v>371</v>
      </c>
    </row>
    <row r="91" spans="1:13" x14ac:dyDescent="0.2">
      <c r="A91" s="453" t="s">
        <v>386</v>
      </c>
      <c r="B91" s="454"/>
      <c r="C91" s="454"/>
      <c r="D91" s="314" t="s">
        <v>387</v>
      </c>
      <c r="E91" s="23"/>
      <c r="F91" s="23"/>
      <c r="G91" s="23"/>
      <c r="H91" s="23"/>
      <c r="I91" s="23"/>
      <c r="J91" s="314"/>
    </row>
    <row r="92" spans="1:13" x14ac:dyDescent="0.2">
      <c r="A92" s="453" t="s">
        <v>388</v>
      </c>
      <c r="B92" s="454"/>
      <c r="C92" s="454"/>
      <c r="D92" s="23" t="s">
        <v>389</v>
      </c>
      <c r="E92" s="23"/>
      <c r="F92" s="23"/>
      <c r="G92" s="23"/>
      <c r="H92" s="23"/>
      <c r="I92" s="23"/>
      <c r="J92" s="314" t="s">
        <v>371</v>
      </c>
    </row>
    <row r="93" spans="1:13" x14ac:dyDescent="0.2">
      <c r="A93" s="453" t="s">
        <v>390</v>
      </c>
      <c r="B93" s="454"/>
      <c r="C93" s="454"/>
      <c r="D93" s="455" t="s">
        <v>391</v>
      </c>
      <c r="E93" s="455"/>
      <c r="F93" s="455"/>
      <c r="G93" s="455"/>
      <c r="H93" s="455"/>
      <c r="I93" s="455"/>
      <c r="J93" s="456"/>
    </row>
    <row r="94" spans="1:13" x14ac:dyDescent="0.2">
      <c r="A94" s="315" t="s">
        <v>371</v>
      </c>
      <c r="B94" s="23"/>
      <c r="C94" s="23"/>
      <c r="D94" s="455"/>
      <c r="E94" s="455"/>
      <c r="F94" s="455"/>
      <c r="G94" s="455"/>
      <c r="H94" s="455"/>
      <c r="I94" s="455"/>
      <c r="J94" s="456"/>
    </row>
    <row r="95" spans="1:13" x14ac:dyDescent="0.2">
      <c r="A95" s="312" t="s">
        <v>392</v>
      </c>
      <c r="B95" s="313"/>
      <c r="C95" s="23"/>
      <c r="D95" s="23"/>
      <c r="E95" s="23"/>
      <c r="F95" s="194"/>
      <c r="G95" s="23"/>
      <c r="H95" s="23"/>
      <c r="I95" s="23"/>
      <c r="J95" s="314" t="s">
        <v>371</v>
      </c>
    </row>
    <row r="96" spans="1:13" x14ac:dyDescent="0.2">
      <c r="A96" s="316" t="s">
        <v>393</v>
      </c>
      <c r="B96" s="317"/>
      <c r="C96" s="317"/>
      <c r="D96" s="317"/>
      <c r="E96" s="317"/>
      <c r="F96" s="317"/>
      <c r="G96" s="317"/>
      <c r="H96" s="317"/>
      <c r="I96" s="317"/>
      <c r="J96" s="318" t="s">
        <v>371</v>
      </c>
    </row>
  </sheetData>
  <mergeCells count="21">
    <mergeCell ref="O3:O4"/>
    <mergeCell ref="R3:W3"/>
    <mergeCell ref="R4:S4"/>
    <mergeCell ref="T4:U4"/>
    <mergeCell ref="V4:W4"/>
    <mergeCell ref="P1:Y1"/>
    <mergeCell ref="P2:Y2"/>
    <mergeCell ref="P3:Q3"/>
    <mergeCell ref="X3:X4"/>
    <mergeCell ref="Y3:Y4"/>
    <mergeCell ref="D78:F78"/>
    <mergeCell ref="H78:J78"/>
    <mergeCell ref="A91:C91"/>
    <mergeCell ref="A92:C92"/>
    <mergeCell ref="A93:C93"/>
    <mergeCell ref="D93:J94"/>
    <mergeCell ref="A2:N2"/>
    <mergeCell ref="A3:A4"/>
    <mergeCell ref="B3:D3"/>
    <mergeCell ref="E3:K3"/>
    <mergeCell ref="L3:N3"/>
  </mergeCells>
  <dataValidations disablePrompts="1" count="1">
    <dataValidation type="list" allowBlank="1" showInputMessage="1" showErrorMessage="1" sqref="D74:D75" xr:uid="{69735FE3-446C-4740-9C82-F89A065958C3}">
      <formula1>"O,N,C,F"</formula1>
      <formula2>0</formula2>
    </dataValidation>
  </dataValidations>
  <pageMargins left="0.51181102362204722" right="0.51181102362204722" top="0.74803149606299213" bottom="0.74803149606299213" header="0.11811023622047245" footer="0"/>
  <pageSetup paperSize="8" scale="75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4" ma:contentTypeDescription="Crie um novo documento." ma:contentTypeScope="" ma:versionID="9f692f23515c6da9122f149022479697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e93e98c993945904bb24a07c088335b2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BDC9B-91D3-435E-B46B-9DC022F9C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8DB83-2215-48F5-8393-A9E8C23A1C03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c1d20c7-c41c-4f96-83d3-d97c3c4339c4"/>
    <ds:schemaRef ds:uri="http://purl.org/dc/elements/1.1/"/>
    <ds:schemaRef ds:uri="http://purl.org/dc/terms/"/>
    <ds:schemaRef ds:uri="http://schemas.openxmlformats.org/package/2006/metadata/core-properties"/>
    <ds:schemaRef ds:uri="4ebcde11-4a9e-423a-9d88-69bed67db18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Orientações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Desloc, Pern e Sistema</vt:lpstr>
      <vt:lpstr>III-C1-Ajuste Deslocamento</vt:lpstr>
      <vt:lpstr>III-E - Materiais de Consumo</vt:lpstr>
      <vt:lpstr>V - BDI</vt:lpstr>
      <vt:lpstr>V-A - ISS</vt:lpstr>
      <vt:lpstr>'CCT E VT'!Area_de_impressao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'III-C - Desloc, Pern e Sistema'!Area_de_impressao</vt:lpstr>
      <vt:lpstr>'III-E - Materiais de Consumo'!Area_de_impressao</vt:lpstr>
      <vt:lpstr>'V-A - ISS'!Area_de_impressao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ANDRE HENRIQUE KREIN LEITE</cp:lastModifiedBy>
  <cp:revision>127</cp:revision>
  <cp:lastPrinted>2023-11-22T13:35:46Z</cp:lastPrinted>
  <dcterms:created xsi:type="dcterms:W3CDTF">2021-07-21T17:15:42Z</dcterms:created>
  <dcterms:modified xsi:type="dcterms:W3CDTF">2023-11-22T15:07:57Z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