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li\Downloads\"/>
    </mc:Choice>
  </mc:AlternateContent>
  <xr:revisionPtr revIDLastSave="0" documentId="13_ncr:1_{06D8ED69-1F56-463C-8F32-EE7709788399}" xr6:coauthVersionLast="47" xr6:coauthVersionMax="47" xr10:uidLastSave="{00000000-0000-0000-0000-000000000000}"/>
  <bookViews>
    <workbookView xWindow="-120" yWindow="-120" windowWidth="38640" windowHeight="15720" tabRatio="987" activeTab="10" xr2:uid="{00000000-000D-0000-FFFF-FFFF00000000}"/>
  </bookViews>
  <sheets>
    <sheet name="Orientações" sheetId="1" r:id="rId1"/>
    <sheet name="II - Planilha Consolidada" sheetId="2" r:id="rId2"/>
    <sheet name="III - Parcela Fixa" sheetId="3" r:id="rId3"/>
    <sheet name="III-A - Mão de Obra (CCT)" sheetId="4" r:id="rId4"/>
    <sheet name="CCT E VT" sheetId="23" r:id="rId5"/>
    <sheet name="III-A.1 - Memorial de Cálculo" sheetId="5" r:id="rId6"/>
    <sheet name="III-A.2 - Uniforme, EPI e Equip" sheetId="6" r:id="rId7"/>
    <sheet name="III-C - Desloc e Pern" sheetId="8" r:id="rId8"/>
    <sheet name="III-E - Materiais de Consumo" sheetId="10" r:id="rId9"/>
    <sheet name="V - BDI" sheetId="13" r:id="rId10"/>
    <sheet name="V-A - ISS" sheetId="14" r:id="rId11"/>
  </sheets>
  <externalReferences>
    <externalReference r:id="rId12"/>
  </externalReferences>
  <definedNames>
    <definedName name="_xlnm.Print_Area" localSheetId="4">'CCT E VT'!$A$1:$D$28</definedName>
    <definedName name="_xlnm.Print_Area" localSheetId="1">'II - Planilha Consolidada'!$A$1:$I$52</definedName>
    <definedName name="_xlnm.Print_Area" localSheetId="2">'III - Parcela Fixa'!$A$1:$G$28</definedName>
    <definedName name="_xlnm.Print_Area" localSheetId="3">'III-A - Mão de Obra (CCT)'!$A$1:$O$123</definedName>
    <definedName name="_xlnm.Print_Area" localSheetId="5">'III-A.1 - Memorial de Cálculo'!$A$1:$B$64</definedName>
    <definedName name="_xlnm.Print_Area" localSheetId="7">'III-C - Desloc e Pern'!$A$1:$K$8</definedName>
    <definedName name="_xlnm.Print_Area" localSheetId="8">'III-E - Materiais de Consumo'!$A$1:$I$329</definedName>
    <definedName name="_xlnm.Print_Area" localSheetId="10">'V-A - ISS'!$A$1:$G$84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3" l="1"/>
  <c r="L28" i="2" l="1"/>
  <c r="E24" i="2"/>
  <c r="E19" i="2"/>
  <c r="D19" i="2"/>
  <c r="C19" i="2"/>
  <c r="B19" i="2"/>
  <c r="E18" i="2"/>
  <c r="D18" i="2"/>
  <c r="C18" i="2"/>
  <c r="B18" i="2"/>
  <c r="E17" i="2"/>
  <c r="D17" i="2"/>
  <c r="C17" i="2"/>
  <c r="B17" i="2"/>
  <c r="E15" i="2"/>
  <c r="D15" i="2"/>
  <c r="C15" i="2"/>
  <c r="B15" i="2"/>
  <c r="E14" i="2"/>
  <c r="D14" i="2"/>
  <c r="C14" i="2"/>
  <c r="B14" i="2"/>
  <c r="E13" i="2"/>
  <c r="D13" i="2"/>
  <c r="C13" i="2"/>
  <c r="B13" i="2"/>
  <c r="D11" i="2"/>
  <c r="C11" i="2"/>
  <c r="B11" i="2"/>
  <c r="D10" i="2"/>
  <c r="C10" i="2"/>
  <c r="B10" i="2"/>
  <c r="E11" i="2"/>
  <c r="E10" i="2"/>
  <c r="E9" i="2"/>
  <c r="D9" i="2"/>
  <c r="C9" i="2"/>
  <c r="B9" i="2"/>
  <c r="D16" i="3" l="1"/>
  <c r="D13" i="3"/>
  <c r="D17" i="3"/>
  <c r="D12" i="3"/>
  <c r="D15" i="3"/>
  <c r="D11" i="3"/>
  <c r="M18" i="4"/>
  <c r="M51" i="4" s="1"/>
  <c r="L18" i="4"/>
  <c r="L51" i="4" s="1"/>
  <c r="K18" i="4"/>
  <c r="K51" i="4" s="1"/>
  <c r="J18" i="4"/>
  <c r="J51" i="4" s="1"/>
  <c r="I18" i="4"/>
  <c r="I51" i="4" s="1"/>
  <c r="H18" i="4"/>
  <c r="H51" i="4" s="1"/>
  <c r="G18" i="4"/>
  <c r="F18" i="4"/>
  <c r="F51" i="4" s="1"/>
  <c r="E18" i="4"/>
  <c r="E51" i="4" s="1"/>
  <c r="D18" i="4"/>
  <c r="D51" i="4" s="1"/>
  <c r="M21" i="4"/>
  <c r="M54" i="4" s="1"/>
  <c r="D14" i="4"/>
  <c r="D17" i="4" s="1"/>
  <c r="D50" i="4" s="1"/>
  <c r="G14" i="4"/>
  <c r="G17" i="4" s="1"/>
  <c r="J14" i="4"/>
  <c r="J17" i="4" s="1"/>
  <c r="E14" i="4"/>
  <c r="E17" i="4" s="1"/>
  <c r="F14" i="4"/>
  <c r="F17" i="4" s="1"/>
  <c r="H14" i="4"/>
  <c r="H17" i="4" s="1"/>
  <c r="I14" i="4"/>
  <c r="I17" i="4" s="1"/>
  <c r="K14" i="4"/>
  <c r="K17" i="4" s="1"/>
  <c r="L14" i="4"/>
  <c r="L17" i="4" s="1"/>
  <c r="M14" i="4"/>
  <c r="M17" i="4" s="1"/>
  <c r="D9" i="3"/>
  <c r="D8" i="3"/>
  <c r="D7" i="3"/>
  <c r="M114" i="4"/>
  <c r="O114" i="4"/>
  <c r="N114" i="4"/>
  <c r="L114" i="4"/>
  <c r="K114" i="4"/>
  <c r="J114" i="4"/>
  <c r="I114" i="4"/>
  <c r="H114" i="4"/>
  <c r="G114" i="4"/>
  <c r="F114" i="4"/>
  <c r="E114" i="4"/>
  <c r="M113" i="4"/>
  <c r="O113" i="4"/>
  <c r="N113" i="4"/>
  <c r="L113" i="4"/>
  <c r="K113" i="4"/>
  <c r="J113" i="4"/>
  <c r="I113" i="4"/>
  <c r="H113" i="4"/>
  <c r="G113" i="4"/>
  <c r="F113" i="4"/>
  <c r="E113" i="4"/>
  <c r="D114" i="4"/>
  <c r="D113" i="4"/>
  <c r="M82" i="4"/>
  <c r="M85" i="4" s="1"/>
  <c r="O82" i="4"/>
  <c r="O85" i="4" s="1"/>
  <c r="N82" i="4"/>
  <c r="N85" i="4" s="1"/>
  <c r="L82" i="4"/>
  <c r="L85" i="4" s="1"/>
  <c r="K82" i="4"/>
  <c r="K85" i="4" s="1"/>
  <c r="J82" i="4"/>
  <c r="J85" i="4" s="1"/>
  <c r="I82" i="4"/>
  <c r="I85" i="4" s="1"/>
  <c r="H82" i="4"/>
  <c r="H85" i="4" s="1"/>
  <c r="G82" i="4"/>
  <c r="G85" i="4" s="1"/>
  <c r="F82" i="4"/>
  <c r="F85" i="4" s="1"/>
  <c r="E82" i="4"/>
  <c r="E85" i="4" s="1"/>
  <c r="O54" i="4"/>
  <c r="N54" i="4"/>
  <c r="M53" i="4"/>
  <c r="O53" i="4"/>
  <c r="N53" i="4"/>
  <c r="L53" i="4"/>
  <c r="K53" i="4"/>
  <c r="J53" i="4"/>
  <c r="I53" i="4"/>
  <c r="H53" i="4"/>
  <c r="G53" i="4"/>
  <c r="F53" i="4"/>
  <c r="E53" i="4"/>
  <c r="M52" i="4"/>
  <c r="O52" i="4"/>
  <c r="N52" i="4"/>
  <c r="L52" i="4"/>
  <c r="K52" i="4"/>
  <c r="J52" i="4"/>
  <c r="I52" i="4"/>
  <c r="H52" i="4"/>
  <c r="G52" i="4"/>
  <c r="F52" i="4"/>
  <c r="E52" i="4"/>
  <c r="O51" i="4"/>
  <c r="N51" i="4"/>
  <c r="G51" i="4"/>
  <c r="O14" i="4"/>
  <c r="N14" i="4"/>
  <c r="C13" i="13"/>
  <c r="B106" i="4" s="1"/>
  <c r="D4" i="13"/>
  <c r="C4" i="13"/>
  <c r="Q54" i="8"/>
  <c r="R43" i="8"/>
  <c r="R41" i="8"/>
  <c r="R39" i="8"/>
  <c r="R37" i="8"/>
  <c r="R35" i="8"/>
  <c r="F67" i="2"/>
  <c r="M92" i="4"/>
  <c r="B107" i="4"/>
  <c r="B105" i="4"/>
  <c r="B104" i="4"/>
  <c r="B101" i="4"/>
  <c r="B100" i="4"/>
  <c r="B99" i="4"/>
  <c r="B98" i="4"/>
  <c r="D82" i="4"/>
  <c r="D85" i="4" s="1"/>
  <c r="B78" i="4"/>
  <c r="B77" i="4"/>
  <c r="B76" i="4"/>
  <c r="B75" i="4"/>
  <c r="B74" i="4"/>
  <c r="B69" i="4"/>
  <c r="B67" i="4"/>
  <c r="B64" i="4"/>
  <c r="D53" i="4"/>
  <c r="D52" i="4"/>
  <c r="B40" i="4"/>
  <c r="B37" i="4"/>
  <c r="B36" i="4"/>
  <c r="F72" i="2"/>
  <c r="D26" i="4" l="1"/>
  <c r="D27" i="4" s="1"/>
  <c r="R45" i="8"/>
  <c r="R46" i="8" s="1"/>
  <c r="F21" i="4"/>
  <c r="F54" i="4" s="1"/>
  <c r="G21" i="4"/>
  <c r="G54" i="4" s="1"/>
  <c r="H21" i="4"/>
  <c r="H54" i="4" s="1"/>
  <c r="I21" i="4"/>
  <c r="I54" i="4" s="1"/>
  <c r="J21" i="4"/>
  <c r="J54" i="4" s="1"/>
  <c r="K21" i="4"/>
  <c r="K54" i="4" s="1"/>
  <c r="D21" i="4"/>
  <c r="D54" i="4" s="1"/>
  <c r="D55" i="4" s="1"/>
  <c r="D59" i="4" s="1"/>
  <c r="L21" i="4"/>
  <c r="L54" i="4" s="1"/>
  <c r="E21" i="4"/>
  <c r="E54" i="4" s="1"/>
  <c r="N26" i="4"/>
  <c r="N32" i="4" s="1"/>
  <c r="N116" i="4" s="1"/>
  <c r="N17" i="4"/>
  <c r="N50" i="4" s="1"/>
  <c r="N55" i="4" s="1"/>
  <c r="N59" i="4" s="1"/>
  <c r="O26" i="4"/>
  <c r="O32" i="4" s="1"/>
  <c r="O116" i="4" s="1"/>
  <c r="O17" i="4"/>
  <c r="O50" i="4" s="1"/>
  <c r="O55" i="4" s="1"/>
  <c r="O59" i="4" s="1"/>
  <c r="F90" i="4"/>
  <c r="E90" i="4"/>
  <c r="I90" i="4"/>
  <c r="H90" i="4"/>
  <c r="G90" i="4"/>
  <c r="L90" i="4"/>
  <c r="K90" i="4"/>
  <c r="J90" i="4"/>
  <c r="O90" i="4"/>
  <c r="N90" i="4"/>
  <c r="M90" i="4"/>
  <c r="M93" i="4" s="1"/>
  <c r="M120" i="4" s="1"/>
  <c r="F92" i="4"/>
  <c r="E92" i="4"/>
  <c r="D92" i="4"/>
  <c r="I92" i="4"/>
  <c r="H92" i="4"/>
  <c r="G92" i="4"/>
  <c r="L92" i="4"/>
  <c r="K92" i="4"/>
  <c r="J92" i="4"/>
  <c r="O92" i="4"/>
  <c r="N92" i="4"/>
  <c r="E26" i="4"/>
  <c r="E50" i="4"/>
  <c r="F26" i="4"/>
  <c r="F50" i="4"/>
  <c r="G26" i="4"/>
  <c r="G32" i="4" s="1"/>
  <c r="G116" i="4" s="1"/>
  <c r="G50" i="4"/>
  <c r="H26" i="4"/>
  <c r="H32" i="4" s="1"/>
  <c r="H116" i="4" s="1"/>
  <c r="H50" i="4"/>
  <c r="I26" i="4"/>
  <c r="I32" i="4" s="1"/>
  <c r="I116" i="4" s="1"/>
  <c r="I50" i="4"/>
  <c r="J26" i="4"/>
  <c r="J32" i="4" s="1"/>
  <c r="J116" i="4" s="1"/>
  <c r="J50" i="4"/>
  <c r="K26" i="4"/>
  <c r="K32" i="4" s="1"/>
  <c r="K116" i="4" s="1"/>
  <c r="K50" i="4"/>
  <c r="L26" i="4"/>
  <c r="L32" i="4" s="1"/>
  <c r="L116" i="4" s="1"/>
  <c r="L50" i="4"/>
  <c r="M26" i="4"/>
  <c r="M32" i="4" s="1"/>
  <c r="M116" i="4" s="1"/>
  <c r="M50" i="4"/>
  <c r="M55" i="4" s="1"/>
  <c r="M59" i="4" s="1"/>
  <c r="D90" i="4"/>
  <c r="D32" i="4"/>
  <c r="B38" i="4"/>
  <c r="B48" i="4"/>
  <c r="B68" i="4" s="1"/>
  <c r="B65" i="4"/>
  <c r="H6" i="8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97" i="10"/>
  <c r="I198" i="10"/>
  <c r="I199" i="10"/>
  <c r="I200" i="10"/>
  <c r="I201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5" i="10"/>
  <c r="I256" i="10"/>
  <c r="I257" i="10"/>
  <c r="I258" i="10"/>
  <c r="I259" i="10"/>
  <c r="I260" i="10"/>
  <c r="I261" i="10"/>
  <c r="I262" i="10"/>
  <c r="I263" i="10"/>
  <c r="I264" i="10"/>
  <c r="I267" i="10"/>
  <c r="I269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D13" i="13"/>
  <c r="C73" i="14"/>
  <c r="D15" i="14" l="1"/>
  <c r="F15" i="14" s="1"/>
  <c r="D21" i="14"/>
  <c r="D25" i="14"/>
  <c r="D29" i="14"/>
  <c r="D33" i="14"/>
  <c r="F33" i="14" s="1"/>
  <c r="D41" i="14"/>
  <c r="F41" i="14" s="1"/>
  <c r="D45" i="14"/>
  <c r="F45" i="14" s="1"/>
  <c r="D53" i="14"/>
  <c r="F53" i="14" s="1"/>
  <c r="D59" i="14"/>
  <c r="F59" i="14" s="1"/>
  <c r="D65" i="14"/>
  <c r="D17" i="14"/>
  <c r="D37" i="14"/>
  <c r="D51" i="14"/>
  <c r="D67" i="14"/>
  <c r="D13" i="14"/>
  <c r="F13" i="14" s="1"/>
  <c r="D11" i="14"/>
  <c r="F11" i="14" s="1"/>
  <c r="D19" i="14"/>
  <c r="D23" i="14"/>
  <c r="D27" i="14"/>
  <c r="D31" i="14"/>
  <c r="F31" i="14" s="1"/>
  <c r="D35" i="14"/>
  <c r="D43" i="14"/>
  <c r="F43" i="14" s="1"/>
  <c r="D47" i="14"/>
  <c r="F47" i="14" s="1"/>
  <c r="D57" i="14"/>
  <c r="F57" i="14" s="1"/>
  <c r="D61" i="14"/>
  <c r="F61" i="14" s="1"/>
  <c r="D69" i="14"/>
  <c r="D7" i="14"/>
  <c r="D49" i="14"/>
  <c r="D71" i="14"/>
  <c r="F71" i="14" s="1"/>
  <c r="D9" i="14"/>
  <c r="F9" i="14" s="1"/>
  <c r="D39" i="14"/>
  <c r="F39" i="14" s="1"/>
  <c r="D55" i="14"/>
  <c r="F55" i="14" s="1"/>
  <c r="D63" i="14"/>
  <c r="F63" i="14" s="1"/>
  <c r="D5" i="14"/>
  <c r="D48" i="14"/>
  <c r="D18" i="14"/>
  <c r="D44" i="14"/>
  <c r="F44" i="14" s="1"/>
  <c r="D56" i="14"/>
  <c r="D22" i="14"/>
  <c r="F22" i="14" s="1"/>
  <c r="D70" i="14"/>
  <c r="F70" i="14" s="1"/>
  <c r="D62" i="14"/>
  <c r="F62" i="14" s="1"/>
  <c r="D8" i="14"/>
  <c r="D68" i="14"/>
  <c r="D46" i="14"/>
  <c r="D38" i="14"/>
  <c r="D52" i="14"/>
  <c r="F52" i="14" s="1"/>
  <c r="D24" i="14"/>
  <c r="F24" i="14" s="1"/>
  <c r="D10" i="14"/>
  <c r="F10" i="14" s="1"/>
  <c r="D36" i="14"/>
  <c r="D32" i="14"/>
  <c r="D14" i="14"/>
  <c r="D6" i="14"/>
  <c r="D20" i="14"/>
  <c r="F20" i="14" s="1"/>
  <c r="D12" i="14"/>
  <c r="F12" i="14" s="1"/>
  <c r="D66" i="14"/>
  <c r="F66" i="14" s="1"/>
  <c r="D40" i="14"/>
  <c r="F40" i="14" s="1"/>
  <c r="D28" i="14"/>
  <c r="F28" i="14" s="1"/>
  <c r="D54" i="14"/>
  <c r="D4" i="14"/>
  <c r="F4" i="14" s="1"/>
  <c r="D34" i="14"/>
  <c r="D26" i="14"/>
  <c r="F26" i="14" s="1"/>
  <c r="D58" i="14"/>
  <c r="F58" i="14" s="1"/>
  <c r="D64" i="14"/>
  <c r="F64" i="14" s="1"/>
  <c r="D42" i="14"/>
  <c r="F42" i="14" s="1"/>
  <c r="D16" i="14"/>
  <c r="F16" i="14" s="1"/>
  <c r="D50" i="14"/>
  <c r="D60" i="14"/>
  <c r="D30" i="14"/>
  <c r="I55" i="4"/>
  <c r="I59" i="4" s="1"/>
  <c r="J55" i="4"/>
  <c r="J59" i="4" s="1"/>
  <c r="O36" i="4"/>
  <c r="F55" i="4"/>
  <c r="F59" i="4" s="1"/>
  <c r="E55" i="4"/>
  <c r="E59" i="4" s="1"/>
  <c r="N93" i="4"/>
  <c r="N120" i="4" s="1"/>
  <c r="O93" i="4"/>
  <c r="O120" i="4" s="1"/>
  <c r="I253" i="10"/>
  <c r="I254" i="10"/>
  <c r="I304" i="10"/>
  <c r="I266" i="10"/>
  <c r="I280" i="10"/>
  <c r="I202" i="10"/>
  <c r="I268" i="10"/>
  <c r="I113" i="10"/>
  <c r="I203" i="10"/>
  <c r="I265" i="10"/>
  <c r="I270" i="10"/>
  <c r="O37" i="4"/>
  <c r="O38" i="4" s="1"/>
  <c r="N37" i="4"/>
  <c r="N36" i="4"/>
  <c r="L55" i="4"/>
  <c r="L59" i="4" s="1"/>
  <c r="H55" i="4"/>
  <c r="H59" i="4" s="1"/>
  <c r="K55" i="4"/>
  <c r="K59" i="4" s="1"/>
  <c r="G55" i="4"/>
  <c r="G59" i="4" s="1"/>
  <c r="D36" i="4"/>
  <c r="D37" i="4"/>
  <c r="M36" i="4"/>
  <c r="M37" i="4"/>
  <c r="L36" i="4"/>
  <c r="L37" i="4"/>
  <c r="K36" i="4"/>
  <c r="K37" i="4"/>
  <c r="J36" i="4"/>
  <c r="J37" i="4"/>
  <c r="I36" i="4"/>
  <c r="I37" i="4"/>
  <c r="H36" i="4"/>
  <c r="H37" i="4"/>
  <c r="G36" i="4"/>
  <c r="G37" i="4"/>
  <c r="F27" i="4"/>
  <c r="F32" i="4" s="1"/>
  <c r="F116" i="4" s="1"/>
  <c r="E27" i="4"/>
  <c r="E32" i="4" s="1"/>
  <c r="E116" i="4" s="1"/>
  <c r="J93" i="4"/>
  <c r="J120" i="4" s="1"/>
  <c r="K93" i="4"/>
  <c r="K120" i="4" s="1"/>
  <c r="L93" i="4"/>
  <c r="L120" i="4" s="1"/>
  <c r="G93" i="4"/>
  <c r="G120" i="4" s="1"/>
  <c r="H93" i="4"/>
  <c r="H120" i="4" s="1"/>
  <c r="I93" i="4"/>
  <c r="I120" i="4" s="1"/>
  <c r="E93" i="4"/>
  <c r="E120" i="4" s="1"/>
  <c r="F93" i="4"/>
  <c r="F120" i="4" s="1"/>
  <c r="D93" i="4"/>
  <c r="D120" i="4" s="1"/>
  <c r="F5" i="14"/>
  <c r="F6" i="14"/>
  <c r="F7" i="14"/>
  <c r="F8" i="14"/>
  <c r="F14" i="14"/>
  <c r="F17" i="14"/>
  <c r="F18" i="14"/>
  <c r="F19" i="14"/>
  <c r="F21" i="14"/>
  <c r="F23" i="14"/>
  <c r="F25" i="14"/>
  <c r="F27" i="14"/>
  <c r="F29" i="14"/>
  <c r="F30" i="14"/>
  <c r="F32" i="14"/>
  <c r="F34" i="14"/>
  <c r="F35" i="14"/>
  <c r="F36" i="14"/>
  <c r="F37" i="14"/>
  <c r="F38" i="14"/>
  <c r="F46" i="14"/>
  <c r="F49" i="14"/>
  <c r="F50" i="14"/>
  <c r="F51" i="14"/>
  <c r="F54" i="14"/>
  <c r="F56" i="14"/>
  <c r="F60" i="14"/>
  <c r="F65" i="14"/>
  <c r="F67" i="14"/>
  <c r="F68" i="14"/>
  <c r="F69" i="14"/>
  <c r="F48" i="14"/>
  <c r="D19" i="13"/>
  <c r="D9" i="13"/>
  <c r="B70" i="4"/>
  <c r="D116" i="4"/>
  <c r="D38" i="4" l="1"/>
  <c r="D66" i="4" s="1"/>
  <c r="F73" i="14"/>
  <c r="N38" i="4"/>
  <c r="E23" i="2"/>
  <c r="H8" i="8"/>
  <c r="I191" i="10"/>
  <c r="I142" i="10"/>
  <c r="I99" i="10"/>
  <c r="I45" i="10"/>
  <c r="I194" i="10"/>
  <c r="I192" i="10"/>
  <c r="I186" i="10"/>
  <c r="I175" i="10"/>
  <c r="I158" i="10"/>
  <c r="I157" i="10"/>
  <c r="I154" i="10"/>
  <c r="I143" i="10"/>
  <c r="I138" i="10"/>
  <c r="I127" i="10"/>
  <c r="I123" i="10"/>
  <c r="I115" i="10"/>
  <c r="I106" i="10"/>
  <c r="I100" i="10"/>
  <c r="I77" i="10"/>
  <c r="I85" i="10"/>
  <c r="I72" i="10"/>
  <c r="I58" i="10"/>
  <c r="I66" i="10"/>
  <c r="I46" i="10"/>
  <c r="I38" i="10"/>
  <c r="I30" i="10"/>
  <c r="I22" i="10"/>
  <c r="I298" i="10"/>
  <c r="I290" i="10"/>
  <c r="I281" i="10"/>
  <c r="I185" i="10"/>
  <c r="I126" i="10"/>
  <c r="I84" i="10"/>
  <c r="I29" i="10"/>
  <c r="I187" i="10"/>
  <c r="I179" i="10"/>
  <c r="I176" i="10"/>
  <c r="I159" i="10"/>
  <c r="I161" i="10"/>
  <c r="I148" i="10"/>
  <c r="I144" i="10"/>
  <c r="I132" i="10"/>
  <c r="I128" i="10"/>
  <c r="I120" i="10"/>
  <c r="I109" i="10"/>
  <c r="I103" i="10"/>
  <c r="I93" i="10"/>
  <c r="I78" i="10"/>
  <c r="I86" i="10"/>
  <c r="I73" i="10"/>
  <c r="I59" i="10"/>
  <c r="I67" i="10"/>
  <c r="I47" i="10"/>
  <c r="I39" i="10"/>
  <c r="I31" i="10"/>
  <c r="I23" i="10"/>
  <c r="I295" i="10"/>
  <c r="I287" i="10"/>
  <c r="I282" i="10"/>
  <c r="I153" i="10"/>
  <c r="I105" i="10"/>
  <c r="I53" i="10"/>
  <c r="I289" i="10"/>
  <c r="I188" i="10"/>
  <c r="I180" i="10"/>
  <c r="I171" i="10"/>
  <c r="I160" i="10"/>
  <c r="I162" i="10"/>
  <c r="I149" i="10"/>
  <c r="I139" i="10"/>
  <c r="I133" i="10"/>
  <c r="I121" i="10"/>
  <c r="I110" i="10"/>
  <c r="I104" i="10"/>
  <c r="I94" i="10"/>
  <c r="I79" i="10"/>
  <c r="I87" i="10"/>
  <c r="I70" i="10"/>
  <c r="I60" i="10"/>
  <c r="I68" i="10"/>
  <c r="I48" i="10"/>
  <c r="I40" i="10"/>
  <c r="I32" i="10"/>
  <c r="I24" i="10"/>
  <c r="I301" i="10"/>
  <c r="I296" i="10"/>
  <c r="I288" i="10"/>
  <c r="I170" i="10"/>
  <c r="I114" i="10"/>
  <c r="I65" i="10"/>
  <c r="I297" i="10"/>
  <c r="I189" i="10"/>
  <c r="I181" i="10"/>
  <c r="I172" i="10"/>
  <c r="I165" i="10"/>
  <c r="I163" i="10"/>
  <c r="I150" i="10"/>
  <c r="I140" i="10"/>
  <c r="I134" i="10"/>
  <c r="I118" i="10"/>
  <c r="I111" i="10"/>
  <c r="I101" i="10"/>
  <c r="I95" i="10"/>
  <c r="I80" i="10"/>
  <c r="I88" i="10"/>
  <c r="I71" i="10"/>
  <c r="I61" i="10"/>
  <c r="I69" i="10"/>
  <c r="I49" i="10"/>
  <c r="I41" i="10"/>
  <c r="I33" i="10"/>
  <c r="I25" i="10"/>
  <c r="I302" i="10"/>
  <c r="I293" i="10"/>
  <c r="I285" i="10"/>
  <c r="I278" i="10"/>
  <c r="I137" i="10"/>
  <c r="I76" i="10"/>
  <c r="I37" i="10"/>
  <c r="I273" i="10"/>
  <c r="I190" i="10"/>
  <c r="I182" i="10"/>
  <c r="I173" i="10"/>
  <c r="I166" i="10"/>
  <c r="I164" i="10"/>
  <c r="I145" i="10"/>
  <c r="I141" i="10"/>
  <c r="I129" i="10"/>
  <c r="I119" i="10"/>
  <c r="I112" i="10"/>
  <c r="I102" i="10"/>
  <c r="I96" i="10"/>
  <c r="I81" i="10"/>
  <c r="I89" i="10"/>
  <c r="I62" i="10"/>
  <c r="I54" i="10"/>
  <c r="I50" i="10"/>
  <c r="I42" i="10"/>
  <c r="I34" i="10"/>
  <c r="I26" i="10"/>
  <c r="I18" i="10"/>
  <c r="I303" i="10"/>
  <c r="I294" i="10"/>
  <c r="I286" i="10"/>
  <c r="I279" i="10"/>
  <c r="I195" i="10"/>
  <c r="I174" i="10"/>
  <c r="I122" i="10"/>
  <c r="I92" i="10"/>
  <c r="I21" i="10"/>
  <c r="I183" i="10"/>
  <c r="I177" i="10"/>
  <c r="I168" i="10"/>
  <c r="I167" i="10"/>
  <c r="I151" i="10"/>
  <c r="I146" i="10"/>
  <c r="I135" i="10"/>
  <c r="I130" i="10"/>
  <c r="I124" i="10"/>
  <c r="I116" i="10"/>
  <c r="I107" i="10"/>
  <c r="I97" i="10"/>
  <c r="I74" i="10"/>
  <c r="I82" i="10"/>
  <c r="I90" i="10"/>
  <c r="I63" i="10"/>
  <c r="I55" i="10"/>
  <c r="I51" i="10"/>
  <c r="I43" i="10"/>
  <c r="I35" i="10"/>
  <c r="I27" i="10"/>
  <c r="I19" i="10"/>
  <c r="I299" i="10"/>
  <c r="I291" i="10"/>
  <c r="I283" i="10"/>
  <c r="I271" i="10"/>
  <c r="I196" i="10"/>
  <c r="I156" i="10"/>
  <c r="I57" i="10"/>
  <c r="I184" i="10"/>
  <c r="I178" i="10"/>
  <c r="I169" i="10"/>
  <c r="I155" i="10"/>
  <c r="I152" i="10"/>
  <c r="I147" i="10"/>
  <c r="I136" i="10"/>
  <c r="I131" i="10"/>
  <c r="I125" i="10"/>
  <c r="I117" i="10"/>
  <c r="I108" i="10"/>
  <c r="I98" i="10"/>
  <c r="I75" i="10"/>
  <c r="I83" i="10"/>
  <c r="I91" i="10"/>
  <c r="I64" i="10"/>
  <c r="I56" i="10"/>
  <c r="I52" i="10"/>
  <c r="I44" i="10"/>
  <c r="I36" i="10"/>
  <c r="I28" i="10"/>
  <c r="I20" i="10"/>
  <c r="I300" i="10"/>
  <c r="I292" i="10"/>
  <c r="I284" i="10"/>
  <c r="I272" i="10"/>
  <c r="I193" i="10"/>
  <c r="D47" i="4"/>
  <c r="D46" i="4"/>
  <c r="D45" i="4"/>
  <c r="D44" i="4"/>
  <c r="D43" i="4"/>
  <c r="D42" i="4"/>
  <c r="D41" i="4"/>
  <c r="D40" i="4"/>
  <c r="O57" i="4"/>
  <c r="O40" i="4"/>
  <c r="O64" i="4"/>
  <c r="O67" i="4"/>
  <c r="O69" i="4"/>
  <c r="O66" i="4"/>
  <c r="O47" i="4"/>
  <c r="O46" i="4"/>
  <c r="O45" i="4"/>
  <c r="O44" i="4"/>
  <c r="O43" i="4"/>
  <c r="O42" i="4"/>
  <c r="O41" i="4"/>
  <c r="O65" i="4"/>
  <c r="O68" i="4"/>
  <c r="N57" i="4"/>
  <c r="N40" i="4"/>
  <c r="N64" i="4"/>
  <c r="N67" i="4"/>
  <c r="N69" i="4"/>
  <c r="N66" i="4"/>
  <c r="N47" i="4"/>
  <c r="N46" i="4"/>
  <c r="N45" i="4"/>
  <c r="N44" i="4"/>
  <c r="N43" i="4"/>
  <c r="N42" i="4"/>
  <c r="N41" i="4"/>
  <c r="N65" i="4"/>
  <c r="N68" i="4"/>
  <c r="E36" i="4"/>
  <c r="E37" i="4"/>
  <c r="F36" i="4"/>
  <c r="F37" i="4"/>
  <c r="G38" i="4"/>
  <c r="H38" i="4"/>
  <c r="I38" i="4"/>
  <c r="J38" i="4"/>
  <c r="K38" i="4"/>
  <c r="L38" i="4"/>
  <c r="M38" i="4"/>
  <c r="D57" i="4"/>
  <c r="D64" i="4"/>
  <c r="D67" i="4"/>
  <c r="D69" i="4"/>
  <c r="D65" i="4"/>
  <c r="D68" i="4"/>
  <c r="D48" i="4" l="1"/>
  <c r="D78" i="4" s="1"/>
  <c r="E22" i="2"/>
  <c r="I276" i="10"/>
  <c r="I277" i="10"/>
  <c r="I274" i="10"/>
  <c r="I275" i="10"/>
  <c r="H7" i="8"/>
  <c r="M57" i="4"/>
  <c r="M65" i="4"/>
  <c r="M68" i="4"/>
  <c r="M66" i="4"/>
  <c r="M47" i="4"/>
  <c r="M46" i="4"/>
  <c r="M45" i="4"/>
  <c r="M44" i="4"/>
  <c r="M43" i="4"/>
  <c r="M42" i="4"/>
  <c r="M41" i="4"/>
  <c r="M40" i="4"/>
  <c r="M64" i="4"/>
  <c r="M67" i="4"/>
  <c r="M69" i="4"/>
  <c r="L57" i="4"/>
  <c r="L65" i="4"/>
  <c r="L68" i="4"/>
  <c r="L66" i="4"/>
  <c r="L47" i="4"/>
  <c r="L46" i="4"/>
  <c r="L45" i="4"/>
  <c r="L44" i="4"/>
  <c r="L43" i="4"/>
  <c r="L42" i="4"/>
  <c r="L41" i="4"/>
  <c r="L40" i="4"/>
  <c r="L64" i="4"/>
  <c r="L67" i="4"/>
  <c r="L69" i="4"/>
  <c r="K57" i="4"/>
  <c r="K65" i="4"/>
  <c r="K68" i="4"/>
  <c r="K66" i="4"/>
  <c r="K47" i="4"/>
  <c r="K46" i="4"/>
  <c r="K45" i="4"/>
  <c r="K44" i="4"/>
  <c r="K43" i="4"/>
  <c r="K42" i="4"/>
  <c r="K41" i="4"/>
  <c r="K40" i="4"/>
  <c r="K64" i="4"/>
  <c r="K67" i="4"/>
  <c r="K69" i="4"/>
  <c r="J57" i="4"/>
  <c r="J65" i="4"/>
  <c r="J68" i="4"/>
  <c r="J66" i="4"/>
  <c r="J47" i="4"/>
  <c r="J46" i="4"/>
  <c r="J45" i="4"/>
  <c r="J44" i="4"/>
  <c r="J43" i="4"/>
  <c r="J42" i="4"/>
  <c r="J41" i="4"/>
  <c r="J40" i="4"/>
  <c r="J64" i="4"/>
  <c r="J67" i="4"/>
  <c r="J69" i="4"/>
  <c r="I57" i="4"/>
  <c r="I65" i="4"/>
  <c r="I68" i="4"/>
  <c r="I66" i="4"/>
  <c r="I47" i="4"/>
  <c r="I46" i="4"/>
  <c r="I45" i="4"/>
  <c r="I44" i="4"/>
  <c r="I43" i="4"/>
  <c r="I42" i="4"/>
  <c r="I41" i="4"/>
  <c r="I40" i="4"/>
  <c r="I64" i="4"/>
  <c r="I67" i="4"/>
  <c r="I69" i="4"/>
  <c r="H57" i="4"/>
  <c r="H65" i="4"/>
  <c r="H68" i="4"/>
  <c r="H66" i="4"/>
  <c r="H47" i="4"/>
  <c r="H46" i="4"/>
  <c r="H45" i="4"/>
  <c r="H44" i="4"/>
  <c r="H43" i="4"/>
  <c r="H42" i="4"/>
  <c r="H41" i="4"/>
  <c r="H40" i="4"/>
  <c r="H64" i="4"/>
  <c r="H67" i="4"/>
  <c r="H69" i="4"/>
  <c r="G57" i="4"/>
  <c r="G65" i="4"/>
  <c r="G68" i="4"/>
  <c r="G66" i="4"/>
  <c r="G47" i="4"/>
  <c r="G46" i="4"/>
  <c r="G45" i="4"/>
  <c r="G44" i="4"/>
  <c r="G43" i="4"/>
  <c r="G42" i="4"/>
  <c r="G41" i="4"/>
  <c r="G40" i="4"/>
  <c r="G64" i="4"/>
  <c r="G67" i="4"/>
  <c r="G69" i="4"/>
  <c r="F38" i="4"/>
  <c r="E38" i="4"/>
  <c r="N70" i="4"/>
  <c r="N118" i="4" s="1"/>
  <c r="N48" i="4"/>
  <c r="O70" i="4"/>
  <c r="O118" i="4" s="1"/>
  <c r="O48" i="4"/>
  <c r="D70" i="4"/>
  <c r="D118" i="4" s="1"/>
  <c r="D58" i="4"/>
  <c r="D60" i="4" s="1"/>
  <c r="H48" i="4" l="1"/>
  <c r="J48" i="4"/>
  <c r="I48" i="4"/>
  <c r="G48" i="4"/>
  <c r="M48" i="4"/>
  <c r="L48" i="4"/>
  <c r="L58" i="4" s="1"/>
  <c r="L60" i="4" s="1"/>
  <c r="L117" i="4" s="1"/>
  <c r="K48" i="4"/>
  <c r="K78" i="4" s="1"/>
  <c r="I323" i="10"/>
  <c r="I325" i="10" s="1"/>
  <c r="O58" i="4"/>
  <c r="O60" i="4" s="1"/>
  <c r="O117" i="4" s="1"/>
  <c r="O78" i="4"/>
  <c r="N58" i="4"/>
  <c r="N60" i="4" s="1"/>
  <c r="N117" i="4" s="1"/>
  <c r="N78" i="4"/>
  <c r="E57" i="4"/>
  <c r="E66" i="4"/>
  <c r="E47" i="4"/>
  <c r="E46" i="4"/>
  <c r="E45" i="4"/>
  <c r="E44" i="4"/>
  <c r="E43" i="4"/>
  <c r="E42" i="4"/>
  <c r="E41" i="4"/>
  <c r="E40" i="4"/>
  <c r="E64" i="4"/>
  <c r="E67" i="4"/>
  <c r="E69" i="4"/>
  <c r="E65" i="4"/>
  <c r="E68" i="4"/>
  <c r="F57" i="4"/>
  <c r="F66" i="4"/>
  <c r="F47" i="4"/>
  <c r="F46" i="4"/>
  <c r="F45" i="4"/>
  <c r="F44" i="4"/>
  <c r="F43" i="4"/>
  <c r="F42" i="4"/>
  <c r="F41" i="4"/>
  <c r="F40" i="4"/>
  <c r="F64" i="4"/>
  <c r="F67" i="4"/>
  <c r="F69" i="4"/>
  <c r="F65" i="4"/>
  <c r="F68" i="4"/>
  <c r="G70" i="4"/>
  <c r="G118" i="4" s="1"/>
  <c r="G58" i="4"/>
  <c r="G60" i="4" s="1"/>
  <c r="G117" i="4" s="1"/>
  <c r="G78" i="4"/>
  <c r="H70" i="4"/>
  <c r="H118" i="4" s="1"/>
  <c r="H58" i="4"/>
  <c r="H60" i="4" s="1"/>
  <c r="H117" i="4" s="1"/>
  <c r="H78" i="4"/>
  <c r="I70" i="4"/>
  <c r="I118" i="4" s="1"/>
  <c r="I58" i="4"/>
  <c r="I60" i="4" s="1"/>
  <c r="I117" i="4" s="1"/>
  <c r="I78" i="4"/>
  <c r="J70" i="4"/>
  <c r="J118" i="4" s="1"/>
  <c r="J58" i="4"/>
  <c r="J60" i="4" s="1"/>
  <c r="J117" i="4" s="1"/>
  <c r="J78" i="4"/>
  <c r="K70" i="4"/>
  <c r="K118" i="4" s="1"/>
  <c r="K58" i="4"/>
  <c r="K60" i="4" s="1"/>
  <c r="K117" i="4" s="1"/>
  <c r="L70" i="4"/>
  <c r="L118" i="4" s="1"/>
  <c r="M70" i="4"/>
  <c r="M118" i="4" s="1"/>
  <c r="M58" i="4"/>
  <c r="M60" i="4" s="1"/>
  <c r="M117" i="4" s="1"/>
  <c r="M78" i="4"/>
  <c r="D117" i="4"/>
  <c r="D74" i="4"/>
  <c r="D75" i="4"/>
  <c r="D76" i="4"/>
  <c r="D77" i="4"/>
  <c r="L78" i="4" l="1"/>
  <c r="E48" i="4"/>
  <c r="E58" i="4" s="1"/>
  <c r="E60" i="4" s="1"/>
  <c r="E117" i="4" s="1"/>
  <c r="F48" i="4"/>
  <c r="F58" i="4" s="1"/>
  <c r="F60" i="4" s="1"/>
  <c r="F117" i="4" s="1"/>
  <c r="M74" i="4"/>
  <c r="M75" i="4"/>
  <c r="M76" i="4"/>
  <c r="M77" i="4"/>
  <c r="L74" i="4"/>
  <c r="L75" i="4"/>
  <c r="L76" i="4"/>
  <c r="L77" i="4"/>
  <c r="K74" i="4"/>
  <c r="K75" i="4"/>
  <c r="K76" i="4"/>
  <c r="K77" i="4"/>
  <c r="J74" i="4"/>
  <c r="J75" i="4"/>
  <c r="J76" i="4"/>
  <c r="J77" i="4"/>
  <c r="I74" i="4"/>
  <c r="I75" i="4"/>
  <c r="I76" i="4"/>
  <c r="I77" i="4"/>
  <c r="H74" i="4"/>
  <c r="H75" i="4"/>
  <c r="H76" i="4"/>
  <c r="H77" i="4"/>
  <c r="G74" i="4"/>
  <c r="G75" i="4"/>
  <c r="G76" i="4"/>
  <c r="G77" i="4"/>
  <c r="F70" i="4"/>
  <c r="F118" i="4" s="1"/>
  <c r="E70" i="4"/>
  <c r="E118" i="4" s="1"/>
  <c r="E78" i="4"/>
  <c r="N74" i="4"/>
  <c r="N75" i="4"/>
  <c r="N76" i="4"/>
  <c r="N77" i="4"/>
  <c r="O74" i="4"/>
  <c r="O75" i="4"/>
  <c r="O76" i="4"/>
  <c r="O77" i="4"/>
  <c r="D79" i="4"/>
  <c r="F78" i="4" l="1"/>
  <c r="H5" i="8"/>
  <c r="O79" i="4"/>
  <c r="N79" i="4"/>
  <c r="E74" i="4"/>
  <c r="E75" i="4"/>
  <c r="E76" i="4"/>
  <c r="E77" i="4"/>
  <c r="F74" i="4"/>
  <c r="F75" i="4"/>
  <c r="F76" i="4"/>
  <c r="F77" i="4"/>
  <c r="G79" i="4"/>
  <c r="H79" i="4"/>
  <c r="I79" i="4"/>
  <c r="J79" i="4"/>
  <c r="K79" i="4"/>
  <c r="L79" i="4"/>
  <c r="M79" i="4"/>
  <c r="D119" i="4"/>
  <c r="D121" i="4" s="1"/>
  <c r="D84" i="4"/>
  <c r="D86" i="4" s="1"/>
  <c r="H7" i="3" l="1"/>
  <c r="I7" i="3" s="1"/>
  <c r="M84" i="4"/>
  <c r="M86" i="4" s="1"/>
  <c r="M119" i="4"/>
  <c r="M121" i="4" s="1"/>
  <c r="L84" i="4"/>
  <c r="L86" i="4" s="1"/>
  <c r="L119" i="4"/>
  <c r="L121" i="4" s="1"/>
  <c r="K84" i="4"/>
  <c r="K86" i="4" s="1"/>
  <c r="K119" i="4"/>
  <c r="K121" i="4" s="1"/>
  <c r="J84" i="4"/>
  <c r="J86" i="4" s="1"/>
  <c r="J119" i="4"/>
  <c r="J121" i="4" s="1"/>
  <c r="I84" i="4"/>
  <c r="I86" i="4" s="1"/>
  <c r="I119" i="4"/>
  <c r="I121" i="4" s="1"/>
  <c r="H84" i="4"/>
  <c r="H86" i="4" s="1"/>
  <c r="H119" i="4"/>
  <c r="H121" i="4" s="1"/>
  <c r="G84" i="4"/>
  <c r="G86" i="4" s="1"/>
  <c r="G119" i="4"/>
  <c r="G121" i="4" s="1"/>
  <c r="N84" i="4"/>
  <c r="N86" i="4" s="1"/>
  <c r="N119" i="4"/>
  <c r="N121" i="4" s="1"/>
  <c r="O84" i="4"/>
  <c r="O86" i="4" s="1"/>
  <c r="O119" i="4"/>
  <c r="O121" i="4" s="1"/>
  <c r="F79" i="4"/>
  <c r="E79" i="4"/>
  <c r="H21" i="3" l="1"/>
  <c r="I21" i="3" s="1"/>
  <c r="H20" i="3"/>
  <c r="I20" i="3" s="1"/>
  <c r="H12" i="3"/>
  <c r="I12" i="3" s="1"/>
  <c r="H22" i="3"/>
  <c r="I22" i="3" s="1"/>
  <c r="H9" i="3"/>
  <c r="I9" i="3" s="1"/>
  <c r="H16" i="3"/>
  <c r="I16" i="3" s="1"/>
  <c r="H17" i="3"/>
  <c r="I17" i="3" s="1"/>
  <c r="H8" i="3"/>
  <c r="I8" i="3" s="1"/>
  <c r="H13" i="3"/>
  <c r="I13" i="3" s="1"/>
  <c r="E84" i="4"/>
  <c r="E86" i="4" s="1"/>
  <c r="E119" i="4"/>
  <c r="E121" i="4" s="1"/>
  <c r="F84" i="4"/>
  <c r="F86" i="4" s="1"/>
  <c r="F119" i="4"/>
  <c r="F121" i="4" s="1"/>
  <c r="H15" i="3" l="1"/>
  <c r="I15" i="3" s="1"/>
  <c r="H11" i="3"/>
  <c r="I11" i="3" s="1"/>
  <c r="I23" i="3" l="1"/>
  <c r="I36" i="2" l="1"/>
  <c r="I37" i="2" s="1"/>
  <c r="C9" i="13" l="1"/>
  <c r="C18" i="13"/>
  <c r="B109" i="4"/>
  <c r="I8" i="8" l="1"/>
  <c r="J8" i="8" s="1"/>
  <c r="I5" i="8"/>
  <c r="J5" i="8" s="1"/>
  <c r="H38" i="2"/>
  <c r="I7" i="8"/>
  <c r="J7" i="8" s="1"/>
  <c r="B110" i="4"/>
  <c r="I327" i="10"/>
  <c r="I329" i="10" s="1"/>
  <c r="I6" i="8"/>
  <c r="J6" i="8" s="1"/>
  <c r="F29" i="2" l="1"/>
  <c r="G29" i="2" s="1"/>
  <c r="H29" i="2" s="1"/>
  <c r="F26" i="3"/>
  <c r="G26" i="3" s="1"/>
  <c r="F27" i="2"/>
  <c r="F25" i="3"/>
  <c r="G25" i="3" s="1"/>
  <c r="F28" i="2"/>
  <c r="I38" i="2"/>
  <c r="F26" i="2"/>
  <c r="F24" i="3"/>
  <c r="G24" i="3" s="1"/>
  <c r="F25" i="2"/>
  <c r="F23" i="3"/>
  <c r="G23" i="3" s="1"/>
  <c r="I110" i="4"/>
  <c r="I122" i="4" s="1"/>
  <c r="I123" i="4" s="1"/>
  <c r="G110" i="4"/>
  <c r="G122" i="4" s="1"/>
  <c r="G123" i="4" s="1"/>
  <c r="H110" i="4"/>
  <c r="H122" i="4" s="1"/>
  <c r="H123" i="4" s="1"/>
  <c r="D110" i="4"/>
  <c r="D122" i="4" s="1"/>
  <c r="D123" i="4" s="1"/>
  <c r="O110" i="4"/>
  <c r="O122" i="4" s="1"/>
  <c r="O123" i="4" s="1"/>
  <c r="N110" i="4"/>
  <c r="N122" i="4" s="1"/>
  <c r="N123" i="4" s="1"/>
  <c r="F110" i="4"/>
  <c r="F122" i="4" s="1"/>
  <c r="F123" i="4" s="1"/>
  <c r="J110" i="4"/>
  <c r="J122" i="4" s="1"/>
  <c r="J123" i="4" s="1"/>
  <c r="E110" i="4"/>
  <c r="E122" i="4" s="1"/>
  <c r="E123" i="4" s="1"/>
  <c r="M110" i="4"/>
  <c r="M122" i="4" s="1"/>
  <c r="M123" i="4" s="1"/>
  <c r="K110" i="4"/>
  <c r="K122" i="4" s="1"/>
  <c r="K123" i="4" s="1"/>
  <c r="L110" i="4"/>
  <c r="L122" i="4" s="1"/>
  <c r="L123" i="4" s="1"/>
  <c r="I39" i="2" l="1"/>
  <c r="H44" i="2" s="1"/>
  <c r="C81" i="14"/>
  <c r="C80" i="14"/>
  <c r="F23" i="2"/>
  <c r="F21" i="3"/>
  <c r="G21" i="3" s="1"/>
  <c r="G26" i="2"/>
  <c r="H26" i="2" s="1"/>
  <c r="F18" i="2"/>
  <c r="F16" i="3"/>
  <c r="G16" i="3" s="1"/>
  <c r="F9" i="2"/>
  <c r="F7" i="3"/>
  <c r="G7" i="3" s="1"/>
  <c r="F22" i="2"/>
  <c r="F20" i="3"/>
  <c r="G20" i="3" s="1"/>
  <c r="G28" i="2"/>
  <c r="H28" i="2" s="1"/>
  <c r="G27" i="2"/>
  <c r="H27" i="2" s="1"/>
  <c r="F10" i="2"/>
  <c r="F8" i="3"/>
  <c r="G8" i="3" s="1"/>
  <c r="F15" i="2"/>
  <c r="F13" i="3"/>
  <c r="G13" i="3" s="1"/>
  <c r="F24" i="2"/>
  <c r="F22" i="3"/>
  <c r="G22" i="3" s="1"/>
  <c r="F19" i="2"/>
  <c r="F17" i="3"/>
  <c r="G17" i="3" s="1"/>
  <c r="F14" i="2"/>
  <c r="F12" i="3"/>
  <c r="G12" i="3" s="1"/>
  <c r="F13" i="2"/>
  <c r="F11" i="3"/>
  <c r="G11" i="3" s="1"/>
  <c r="F11" i="2"/>
  <c r="F9" i="3"/>
  <c r="G9" i="3" s="1"/>
  <c r="F17" i="2"/>
  <c r="F15" i="3"/>
  <c r="G15" i="3" s="1"/>
  <c r="G25" i="2"/>
  <c r="H25" i="2" s="1"/>
  <c r="F68" i="2"/>
  <c r="F73" i="2" s="1"/>
  <c r="F75" i="2" s="1"/>
  <c r="C82" i="14" l="1"/>
  <c r="C83" i="14" s="1"/>
  <c r="G28" i="3"/>
  <c r="G14" i="2"/>
  <c r="H14" i="2" s="1"/>
  <c r="G18" i="2"/>
  <c r="H18" i="2" s="1"/>
  <c r="G19" i="2"/>
  <c r="H19" i="2" s="1"/>
  <c r="G10" i="2"/>
  <c r="H10" i="2" s="1"/>
  <c r="G24" i="2"/>
  <c r="H24" i="2" s="1"/>
  <c r="G11" i="2"/>
  <c r="H11" i="2" s="1"/>
  <c r="G9" i="2"/>
  <c r="G17" i="2"/>
  <c r="H17" i="2" s="1"/>
  <c r="G13" i="2"/>
  <c r="H13" i="2" s="1"/>
  <c r="G15" i="2"/>
  <c r="H15" i="2" s="1"/>
  <c r="G22" i="2"/>
  <c r="H22" i="2" s="1"/>
  <c r="G23" i="2"/>
  <c r="H23" i="2" s="1"/>
  <c r="G6" i="2" l="1"/>
  <c r="H9" i="2"/>
  <c r="H6" i="2" s="1"/>
  <c r="C77" i="14" s="1"/>
  <c r="C79" i="14" l="1"/>
  <c r="C84" i="14" s="1"/>
  <c r="D77" i="14" s="1"/>
  <c r="I30" i="2"/>
  <c r="H43" i="2" s="1"/>
  <c r="H45" i="2" s="1"/>
  <c r="D79" i="14" l="1"/>
  <c r="F74" i="14" s="1"/>
  <c r="F75" i="14" s="1"/>
  <c r="C17" i="13" s="1"/>
  <c r="D83" i="14"/>
  <c r="D84" i="14" s="1"/>
  <c r="D80" i="14"/>
  <c r="D82" i="14"/>
  <c r="D78" i="14"/>
  <c r="D81" i="14"/>
</calcChain>
</file>

<file path=xl/sharedStrings.xml><?xml version="1.0" encoding="utf-8"?>
<sst xmlns="http://schemas.openxmlformats.org/spreadsheetml/2006/main" count="2300" uniqueCount="940">
  <si>
    <t>ORIENTAÇÕES DE PREENCHIMENTO</t>
  </si>
  <si>
    <t>Os campos em azul são calculados automaticamente. Não há necessidade de intervenção do orçamentista.</t>
  </si>
  <si>
    <r>
      <t xml:space="preserve">II - </t>
    </r>
    <r>
      <rPr>
        <b/>
        <sz val="11"/>
        <color rgb="FF000000"/>
        <rFont val="Arial"/>
        <family val="2"/>
        <charset val="1"/>
      </rPr>
      <t>Planilha Consolidada</t>
    </r>
    <r>
      <rPr>
        <sz val="11"/>
        <color rgb="FF000000"/>
        <rFont val="Arial"/>
        <family val="2"/>
        <charset val="1"/>
      </rPr>
      <t xml:space="preserve"> - Escolher o Regime de Tributação o qual a empresa pertence. (Desonedada ou Não desonerada) </t>
    </r>
    <r>
      <rPr>
        <b/>
        <sz val="11"/>
        <color rgb="FF000000"/>
        <rFont val="Arial"/>
        <family val="2"/>
      </rPr>
      <t>*Célula H47*</t>
    </r>
  </si>
  <si>
    <r>
      <t xml:space="preserve">Preencher a </t>
    </r>
    <r>
      <rPr>
        <b/>
        <sz val="11"/>
        <color rgb="FF000000"/>
        <rFont val="Arial"/>
        <family val="2"/>
      </rPr>
      <t>Célula H31</t>
    </r>
    <r>
      <rPr>
        <sz val="11"/>
        <color rgb="FF000000"/>
        <rFont val="Arial"/>
        <family val="2"/>
      </rPr>
      <t xml:space="preserve"> com o desconto aplicado pela empresa</t>
    </r>
  </si>
  <si>
    <r>
      <t xml:space="preserve">III - Parcela Fixa </t>
    </r>
    <r>
      <rPr>
        <sz val="11"/>
        <color rgb="FF000000"/>
        <rFont val="Arial"/>
        <family val="2"/>
        <charset val="1"/>
      </rPr>
      <t>- Recomenda não alterar, pois os cálculos são automáticos</t>
    </r>
  </si>
  <si>
    <r>
      <t>III-A - Mão de Obra (CCT)</t>
    </r>
    <r>
      <rPr>
        <sz val="11"/>
        <color rgb="FF000000"/>
        <rFont val="Arial"/>
        <family val="2"/>
        <charset val="1"/>
      </rPr>
      <t xml:space="preserve"> - Recomenda não alterar, pois os cálculos são automáticos.</t>
    </r>
  </si>
  <si>
    <r>
      <t>ABA CCT E VT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B</t>
    </r>
    <r>
      <rPr>
        <sz val="11"/>
        <color rgb="FF000000"/>
        <rFont val="Arial"/>
        <family val="2"/>
      </rPr>
      <t xml:space="preserve">, com a respectiva lei/CCT adotada pelo licitante, e a coluna </t>
    </r>
    <r>
      <rPr>
        <b/>
        <sz val="11"/>
        <color rgb="FF000000"/>
        <rFont val="Arial"/>
        <family val="2"/>
        <charset val="1"/>
      </rPr>
      <t>D e E com os valores desta Lei/CCT .</t>
    </r>
  </si>
  <si>
    <r>
      <t>III-A.1 - Memorial de Cálculo</t>
    </r>
    <r>
      <rPr>
        <sz val="11"/>
        <color rgb="FF000000"/>
        <rFont val="Arial"/>
        <family val="2"/>
        <charset val="1"/>
      </rPr>
      <t xml:space="preserve"> - Aba com informações mais relevantes da metodologia utilizada para formação do preço referencial da mão de obra. Devendo ser alterada, caso haja alteração nas fórmulas da </t>
    </r>
    <r>
      <rPr>
        <b/>
        <sz val="11"/>
        <color rgb="FF000000"/>
        <rFont val="Arial"/>
        <family val="2"/>
      </rPr>
      <t xml:space="preserve">aba III-A - Mão de Obra (CCT) </t>
    </r>
  </si>
  <si>
    <r>
      <t>III-A.2 - Uniforme, EPI e Equip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E</t>
    </r>
    <r>
      <rPr>
        <sz val="11"/>
        <color rgb="FF000000"/>
        <rFont val="Arial"/>
        <family val="2"/>
        <charset val="1"/>
      </rPr>
      <t xml:space="preserve"> com o respectivo custo unitário adotado para os EPIs e Ferramentas do profissional relacionado.</t>
    </r>
  </si>
  <si>
    <r>
      <t>III-C - Desloc e Pern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 xml:space="preserve">coluna G, </t>
    </r>
    <r>
      <rPr>
        <sz val="11"/>
        <color rgb="FF000000"/>
        <rFont val="Arial"/>
        <family val="2"/>
      </rPr>
      <t xml:space="preserve">com o respectivo custo unitário relacionado ao item da </t>
    </r>
    <r>
      <rPr>
        <b/>
        <sz val="11"/>
        <color rgb="FF000000"/>
        <rFont val="Arial"/>
        <family val="2"/>
      </rPr>
      <t>coluna B</t>
    </r>
  </si>
  <si>
    <r>
      <t xml:space="preserve">Item 01 - Estimativa de Pernoite e Alimentação (Jantar) - </t>
    </r>
    <r>
      <rPr>
        <sz val="11"/>
        <color rgb="FF000000"/>
        <rFont val="Arial"/>
        <family val="2"/>
      </rPr>
      <t>Custo Unitário, para 01 funcionário da empresa, por pernoite na execução dos serviços.</t>
    </r>
  </si>
  <si>
    <r>
      <t xml:space="preserve">Item 02 - Estimativa - Pedágio/Passagem Transporte Fluvial/ Passagem Transporte Aéreo/Balsa - </t>
    </r>
    <r>
      <rPr>
        <sz val="11"/>
        <color rgb="FF000000"/>
        <rFont val="Arial"/>
        <family val="2"/>
      </rPr>
      <t>Custo Unitário (mensal) com 01 funcionário da empresa com pedágio, Transporte Fluvial, Passagem Aéra e Balsa nos deslocamentos para atender os serviços preventivos, corretivos e eventual.</t>
    </r>
  </si>
  <si>
    <r>
      <t>Item 03 - Estimativa de gasto com os deslocamentos dos Veículos da Manutenção Predial. -</t>
    </r>
    <r>
      <rPr>
        <sz val="11"/>
        <color rgb="FF000000"/>
        <rFont val="Arial"/>
        <family val="2"/>
      </rPr>
      <t xml:space="preserve"> Custo Unitário (mensal) com os deslocamentos dos veículos da manutenção predial. (combustível e manutenção do véiculo)</t>
    </r>
    <r>
      <rPr>
        <b/>
        <i/>
        <sz val="11"/>
        <color rgb="FF000000"/>
        <rFont val="Arial"/>
        <family val="2"/>
      </rPr>
      <t>.</t>
    </r>
  </si>
  <si>
    <r>
      <t xml:space="preserve">Item 04 - Estimativa de Gasto pela disponibilidade do Veículo -- </t>
    </r>
    <r>
      <rPr>
        <sz val="11"/>
        <color rgb="FF000000"/>
        <rFont val="Arial"/>
        <family val="2"/>
      </rPr>
      <t>Custo Unitário (mensal) pela</t>
    </r>
    <r>
      <rPr>
        <b/>
        <i/>
        <sz val="11"/>
        <color rgb="FF000000"/>
        <rFont val="Arial"/>
        <family val="2"/>
      </rPr>
      <t xml:space="preserve"> disponibilidade por veículo </t>
    </r>
    <r>
      <rPr>
        <sz val="11"/>
        <color rgb="FF000000"/>
        <rFont val="Arial"/>
        <family val="2"/>
      </rPr>
      <t>para o serviço de manutenção predial.</t>
    </r>
    <r>
      <rPr>
        <b/>
        <i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(Depreciação, Juros e Impostos)</t>
    </r>
  </si>
  <si>
    <r>
      <t>III-E - Materiais de Consumo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H</t>
    </r>
    <r>
      <rPr>
        <sz val="11"/>
        <color rgb="FF000000"/>
        <rFont val="Arial"/>
        <family val="2"/>
        <charset val="1"/>
      </rPr>
      <t xml:space="preserve">, com o respectivo custo unitário relacionado ao item da </t>
    </r>
    <r>
      <rPr>
        <b/>
        <sz val="11"/>
        <color rgb="FF000000"/>
        <rFont val="Arial"/>
        <family val="2"/>
      </rPr>
      <t>coluna D</t>
    </r>
  </si>
  <si>
    <r>
      <t>V - BDI</t>
    </r>
    <r>
      <rPr>
        <sz val="11"/>
        <color rgb="FF000000"/>
        <rFont val="Arial"/>
        <family val="2"/>
        <charset val="1"/>
      </rPr>
      <t xml:space="preserve"> - Deve-se preencher os percentuais do BDI</t>
    </r>
    <r>
      <rPr>
        <b/>
        <sz val="11"/>
        <color rgb="FF000000"/>
        <rFont val="Arial"/>
        <family val="2"/>
        <charset val="1"/>
      </rPr>
      <t xml:space="preserve">.  A célula C17 </t>
    </r>
    <r>
      <rPr>
        <sz val="11"/>
        <color rgb="FF000000"/>
        <rFont val="Arial"/>
        <family val="2"/>
      </rPr>
      <t xml:space="preserve">traz a sugestão de ISS para adotar na </t>
    </r>
    <r>
      <rPr>
        <b/>
        <sz val="11"/>
        <color rgb="FF000000"/>
        <rFont val="Arial"/>
        <family val="2"/>
      </rPr>
      <t>Célula C16</t>
    </r>
  </si>
  <si>
    <r>
      <t>V-A - ISS</t>
    </r>
    <r>
      <rPr>
        <sz val="11"/>
        <color rgb="FF000000"/>
        <rFont val="Arial"/>
        <family val="2"/>
        <charset val="1"/>
      </rPr>
      <t xml:space="preserve"> - É apenas para realizar o cálculo do ISS da </t>
    </r>
    <r>
      <rPr>
        <b/>
        <sz val="11"/>
        <color rgb="FF000000"/>
        <rFont val="Arial"/>
        <family val="2"/>
      </rPr>
      <t>célula C17 da aba V - BDI.</t>
    </r>
  </si>
  <si>
    <t>PLANILHA DE CUSTO E FORMAÇÃO DE PREÇO
ESTADO DO PARÁ - GERÊNCIA EXECUTIVA DE BELÉM/PA, SANTARÉM/PA E MARABÁ/PA</t>
  </si>
  <si>
    <t>PLANILHA CONSOLIDADA</t>
  </si>
  <si>
    <t>QUADRO RESUMO - SERVIÇOS DE MANUTENÇÃO (EMPREITADA A PREÇO GLOBAL)</t>
  </si>
  <si>
    <t>ITEM 1.1</t>
  </si>
  <si>
    <t>Tipo de Serviço (A)</t>
  </si>
  <si>
    <t>Unidade</t>
  </si>
  <si>
    <t>Quantidade (A)</t>
  </si>
  <si>
    <t>Valor proposto por mês (B)</t>
  </si>
  <si>
    <t>Valor Total  Mensal do Serviço (C) = (A x B)</t>
  </si>
  <si>
    <t>Valor Anual (12 meses de contrato = (Cx12)</t>
  </si>
  <si>
    <t>Obs</t>
  </si>
  <si>
    <t>1.1.1</t>
  </si>
  <si>
    <t>Mão de obra</t>
  </si>
  <si>
    <t>Equipe Técnica de Manutenção</t>
  </si>
  <si>
    <t>POLO BELÉM</t>
  </si>
  <si>
    <t>POLO MARABÁ</t>
  </si>
  <si>
    <t>POLO SANTARÉM</t>
  </si>
  <si>
    <t>1.1.2</t>
  </si>
  <si>
    <t>Equipe Técnica Administrativa</t>
  </si>
  <si>
    <t>1.1.2.1</t>
  </si>
  <si>
    <t>Engenheiro Civil – CBO 2142-05</t>
  </si>
  <si>
    <t>posto/mês</t>
  </si>
  <si>
    <t>1.1.2.2</t>
  </si>
  <si>
    <t>Engenheiro Eletricista – CBO 2143-05</t>
  </si>
  <si>
    <t>1.1.2.3</t>
  </si>
  <si>
    <t>Encarregado de Manutenção – CBO 7102-05 - Jornada 44h</t>
  </si>
  <si>
    <t>Estimativa de Pernoite e Alimentação (Jantar) (Anexo III-C)</t>
  </si>
  <si>
    <t>1.1.3</t>
  </si>
  <si>
    <t>Estimativa de Pedágio e outras Tarifas (Anexo III-C)</t>
  </si>
  <si>
    <t>1.1.4</t>
  </si>
  <si>
    <t>Estimativa - Deslocamento Veículo Manut. Predial.</t>
  </si>
  <si>
    <t>1.1.5</t>
  </si>
  <si>
    <t>Estimativa de Gasto Por Veículo</t>
  </si>
  <si>
    <t>1.1.6</t>
  </si>
  <si>
    <t>Materiais de consumo (Anexo III-E)</t>
  </si>
  <si>
    <t>1.1</t>
  </si>
  <si>
    <t>TOTAL ESTIMADO DA PROPOSTA PARA SERVIÇOS DE MANUTENÇÃO (PARCELA FIXA)</t>
  </si>
  <si>
    <t>QUADRO RESUMO - MATERIAIS DE MANUTENÇÃO PREDIAL SOB DEMANDA (EMPREITADA A PREÇO UNITÁRIO)</t>
  </si>
  <si>
    <t>ITEM 1.2</t>
  </si>
  <si>
    <t>VALOR TOTAL ESTIMADO PARA OS MATERIAIS E INSUMOS DE MANUTENÇÃO</t>
  </si>
  <si>
    <t>Ref</t>
  </si>
  <si>
    <t>Descrição</t>
  </si>
  <si>
    <t>%</t>
  </si>
  <si>
    <t>Valor</t>
  </si>
  <si>
    <t>A</t>
  </si>
  <si>
    <t xml:space="preserve">Valor Total Estimado com Material de Insumo e Serviço Eventual para Manutenção Predial (Sem BDI) </t>
  </si>
  <si>
    <t>B</t>
  </si>
  <si>
    <t>(-) Percentual de Desconto sobre a Tabela SINAPI, ofertado pelo licitante, a incidir sobre o montante de custos estimado para materiais  = (% de desconto x 'A')</t>
  </si>
  <si>
    <t>C</t>
  </si>
  <si>
    <t>Valor Total Estimado com Material de Insumo e Serviço Eventual para Manutenção Predial (Com desconto PROPOSTO e Sem BDI)</t>
  </si>
  <si>
    <t>D</t>
  </si>
  <si>
    <t>Valor Total Estimado para Contratação de Material de Consumo para Manutenção Predial (Com desconto e BDI)</t>
  </si>
  <si>
    <t>BDI:</t>
  </si>
  <si>
    <t>1.2</t>
  </si>
  <si>
    <t>TOTAL ESTIMADO DA PROPOSTA PARA MATERIAIS DE MANUTENÇÃO PREDIAL SOB DEMANDA</t>
  </si>
  <si>
    <t>PREÇO GLOBAL</t>
  </si>
  <si>
    <t>VALOR GLOBAL ESTIMADO DA PROPOSTA</t>
  </si>
  <si>
    <t>Ref.</t>
  </si>
  <si>
    <t>Valor (R$)</t>
  </si>
  <si>
    <t>Valor Total estimado dos Serviços de Manutenção Predial (Empreitada a preço Global)</t>
  </si>
  <si>
    <t>Valor Total Estimado com Material de Insumo e Serviço Eventual para Manutenção Predial por DEMANDA (Empreitada a preços unitários)</t>
  </si>
  <si>
    <t>VALOR TOTAL DA PROPOSTA ( 12 meses)</t>
  </si>
  <si>
    <t>LEGENDA</t>
  </si>
  <si>
    <t>Extrair do orçamento de referência elaborado pela CONTRATANTE</t>
  </si>
  <si>
    <t>Valor do desconto ofertado pela LICITANTE</t>
  </si>
  <si>
    <t>Custo do item ofetado pela LICITANTE (sem BDI)</t>
  </si>
  <si>
    <t>Valor do item com o desconto ofertado e BDI da LICITANTE</t>
  </si>
  <si>
    <t>Obs:</t>
  </si>
  <si>
    <t>REGIME DE TRIBUTAÇÃO UTILIZADO</t>
  </si>
  <si>
    <t>DESONERADO</t>
  </si>
  <si>
    <t>Área total contratada (m²)</t>
  </si>
  <si>
    <t>R$/m²xmês</t>
  </si>
  <si>
    <t>ANÁLISE</t>
  </si>
  <si>
    <t>INCC FEV 2022</t>
  </si>
  <si>
    <t>INCC OUT 2019</t>
  </si>
  <si>
    <t>k</t>
  </si>
  <si>
    <t>R$/m²xmês - retroagido para out 2019</t>
  </si>
  <si>
    <t>Referência custo/m²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</si>
  <si>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III – Planilha estimativa de custos mensais da parcela fixa (item 1.1 – Manutenção Predial)</t>
    </r>
  </si>
  <si>
    <t>CÓDIGO</t>
  </si>
  <si>
    <t>DESCRIÇÃO</t>
  </si>
  <si>
    <t>UNIDADE</t>
  </si>
  <si>
    <t>LOCAL</t>
  </si>
  <si>
    <t>QUANTIDADE</t>
  </si>
  <si>
    <t>VALOR UNITÁRIO
(BDI JÁ INCLUSO)</t>
  </si>
  <si>
    <t>VALOR MENSAL
(BDI JÁ INCLUSO)</t>
  </si>
  <si>
    <r>
      <rPr>
        <b/>
        <sz val="8"/>
        <rFont val="Arial"/>
        <family val="2"/>
        <charset val="1"/>
      </rPr>
      <t xml:space="preserve">Mão de Obra </t>
    </r>
    <r>
      <rPr>
        <b/>
        <sz val="11"/>
        <rFont val="Arial"/>
        <family val="2"/>
        <charset val="1"/>
      </rPr>
      <t>(Anexo III-A)</t>
    </r>
  </si>
  <si>
    <t>1.1.1.1</t>
  </si>
  <si>
    <t>Oficial de Manutenção A (Eletricista/Instalador-Reparador de Redes Telefônicas e de comunicação de dados) - CBO 5143-25 - Jornada 44h</t>
  </si>
  <si>
    <t>1.1.1.2</t>
  </si>
  <si>
    <t>Oficial de Manutenção B (Pedreiro/Bombeiro Hidráulico) - CBO 5143-25 - Jornada 44h</t>
  </si>
  <si>
    <t>1.1.1.3</t>
  </si>
  <si>
    <t>Ajudante de Eletricista/Instalador - Reparado de Redes Telefônicas e de Comunicação de Dados - CBO 7156-15 - Jornada 44h</t>
  </si>
  <si>
    <t>1.1.1.4</t>
  </si>
  <si>
    <t>1.1.1.5</t>
  </si>
  <si>
    <t>1.1.1.6</t>
  </si>
  <si>
    <t>1.1.1.7</t>
  </si>
  <si>
    <t>1.1.1.8</t>
  </si>
  <si>
    <t>1.1.1.9</t>
  </si>
  <si>
    <r>
      <rPr>
        <b/>
        <sz val="8"/>
        <color rgb="FF000000"/>
        <rFont val="Arial"/>
        <family val="2"/>
        <charset val="1"/>
      </rPr>
      <t xml:space="preserve">Estimativa de Pernoite e Alimentação (Jantar) </t>
    </r>
    <r>
      <rPr>
        <b/>
        <sz val="11"/>
        <color rgb="FFC9211E"/>
        <rFont val="Arial"/>
        <family val="2"/>
        <charset val="1"/>
      </rPr>
      <t>(Anexo III-C)</t>
    </r>
  </si>
  <si>
    <t>mês</t>
  </si>
  <si>
    <t>1.3</t>
  </si>
  <si>
    <r>
      <rPr>
        <b/>
        <sz val="8"/>
        <color rgb="FF000000"/>
        <rFont val="Arial"/>
        <family val="2"/>
        <charset val="1"/>
      </rPr>
      <t xml:space="preserve">Estimativa de Pedágio e outras Tarifas </t>
    </r>
    <r>
      <rPr>
        <b/>
        <sz val="11"/>
        <color rgb="FFC9211E"/>
        <rFont val="Arial"/>
        <family val="2"/>
        <charset val="1"/>
      </rPr>
      <t>(Anexo III-C)</t>
    </r>
  </si>
  <si>
    <t>1.4</t>
  </si>
  <si>
    <t>1.5</t>
  </si>
  <si>
    <r>
      <rPr>
        <b/>
        <sz val="8"/>
        <color rgb="FF000000"/>
        <rFont val="Arial"/>
        <family val="2"/>
        <charset val="1"/>
      </rPr>
      <t xml:space="preserve">Materiais de consumo </t>
    </r>
    <r>
      <rPr>
        <b/>
        <sz val="11"/>
        <color rgb="FFC9211E"/>
        <rFont val="Arial"/>
        <family val="2"/>
        <charset val="1"/>
      </rPr>
      <t>(Anexo III-E)</t>
    </r>
  </si>
  <si>
    <t>VALOR MENSAL DA PARCELA FIXA – SUBITEM 1.1 – MANUTENÇÃO PREDIAL (BDI JÁ INCLUSO)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</si>
  <si>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 – Planilha estimativa de custos da Mão de Obra</t>
    </r>
  </si>
  <si>
    <t>Dados CCT</t>
  </si>
  <si>
    <t>Número do Registro</t>
  </si>
  <si>
    <t>PA000635/2022</t>
  </si>
  <si>
    <t>PA000668/2022</t>
  </si>
  <si>
    <t>Termo Aditivo</t>
  </si>
  <si>
    <t>-</t>
  </si>
  <si>
    <t>Vigência</t>
  </si>
  <si>
    <t>01/08/2021 a 31/07/2022</t>
  </si>
  <si>
    <t>01/08/2022 a 31/07/2023</t>
  </si>
  <si>
    <t>Data Base</t>
  </si>
  <si>
    <t>01º de Agosto</t>
  </si>
  <si>
    <t>Nº da Solicitação</t>
  </si>
  <si>
    <t>MR045472/2022</t>
  </si>
  <si>
    <t>MR045703/2022</t>
  </si>
  <si>
    <t>CNPJ Sindicato</t>
  </si>
  <si>
    <t>04.979.068/0001-15</t>
  </si>
  <si>
    <t xml:space="preserve">Profissionais </t>
  </si>
  <si>
    <t>Oficial de Manutenção A, Oficial de Manutenção B, Profissíonal Categoria A - Ajudante, Encarregado</t>
  </si>
  <si>
    <t>Extensão Territorial</t>
  </si>
  <si>
    <t>Belém/PA</t>
  </si>
  <si>
    <t>Marabá/PA, Santarém/PA e outros</t>
  </si>
  <si>
    <t>PROFISSIONAL</t>
  </si>
  <si>
    <t>Oficial de Manutenção A (Eletricista/Instalador-Reparador de Reders Telefônicas e de comunicação de dados) – Jornada 44h semanais</t>
  </si>
  <si>
    <t>Oficial de Manutenção B (Pedreiro/Bombeiro Hidráulico) – Jornada 44h semanais</t>
  </si>
  <si>
    <t>Profissíonal Categoria A - Ajudante de Eletricista/Instalador-Reparador de Redes Telefônicas e de Comunicação – Jornada de 44h semanais</t>
  </si>
  <si>
    <t>Encarregado de Manutenção – Jornada 44h semanais</t>
  </si>
  <si>
    <t>Engenheiro Civil - Jornada 44h semanais</t>
  </si>
  <si>
    <t>Engenheiro Eletricista - Jornada 44h semanais</t>
  </si>
  <si>
    <t>Local do Posto</t>
  </si>
  <si>
    <t>Marabá/PA</t>
  </si>
  <si>
    <t>Santarém/PA</t>
  </si>
  <si>
    <t>SALÁRIO NORMATIVO DA CATEGORIA</t>
  </si>
  <si>
    <t>CBO</t>
  </si>
  <si>
    <t>5143-25</t>
  </si>
  <si>
    <t xml:space="preserve"> 5143-25</t>
  </si>
  <si>
    <t>7156-15</t>
  </si>
  <si>
    <t>7102-05</t>
  </si>
  <si>
    <t>2142-05</t>
  </si>
  <si>
    <t>2143-05</t>
  </si>
  <si>
    <t>CONV. COLETIVA</t>
  </si>
  <si>
    <t>NÚMERO</t>
  </si>
  <si>
    <t>http://sengepa.com.br/portal/salario-engenheiro</t>
  </si>
  <si>
    <t>VALE TRANSPORTE</t>
  </si>
  <si>
    <t>VALE REFEIÇÃO / Alimentação</t>
  </si>
  <si>
    <t>Assistência Médica</t>
  </si>
  <si>
    <t>ASSISTÊNCIA ODONTOLÓGICA</t>
  </si>
  <si>
    <t>Outros (Seguro Mensalista / Pariticipação nos lucros)</t>
  </si>
  <si>
    <t>OBSERVAÇÃO</t>
  </si>
  <si>
    <t>MÓDULO 1: COMPOSIÇÃO DA REMUNERAÇÃO</t>
  </si>
  <si>
    <t>1 - Composição da Remuneração</t>
  </si>
  <si>
    <t>Percentuais</t>
  </si>
  <si>
    <t xml:space="preserve">Valor (R$)  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</si>
  <si>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</si>
  <si>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</si>
  <si>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</si>
  <si>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</si>
  <si>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</si>
  <si>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– Outros</t>
  </si>
  <si>
    <t>Total</t>
  </si>
  <si>
    <t>MÓDULO 2: ENCARGOS E BENEFÍCIOS ANUAIS, MENSAIS E DIÁRIOS</t>
  </si>
  <si>
    <t>2.1 - 13º (décimo terceiro) Salário, Férias e Adicional de Férias</t>
  </si>
  <si>
    <t>A - 13º (décimo terceiro) Salário</t>
  </si>
  <si>
    <t>B - Férias e Adicional de Férias</t>
  </si>
  <si>
    <t>Subtotal</t>
  </si>
  <si>
    <t>2.2 - GPS, FGTS e outras contribuições
Incide sobre os Módulos 1 e 2.1</t>
  </si>
  <si>
    <r>
      <rPr>
        <sz val="8"/>
        <color rgb="FF000000"/>
        <rFont val="Arial"/>
        <family val="2"/>
        <charset val="1"/>
      </rPr>
      <t xml:space="preserve">A – INSS
</t>
    </r>
    <r>
      <rPr>
        <sz val="11"/>
        <color rgb="FFC9211E"/>
        <rFont val="Arial"/>
        <family val="2"/>
        <charset val="1"/>
      </rPr>
      <t>20% - Regime Não Desonerado
0% - Regime Desonerado</t>
    </r>
  </si>
  <si>
    <t>B - Salário Educação</t>
  </si>
  <si>
    <r>
      <rPr>
        <sz val="8"/>
        <color rgb="FF000000"/>
        <rFont val="Arial"/>
        <family val="2"/>
        <charset val="1"/>
      </rPr>
      <t xml:space="preserve">C - SAT
</t>
    </r>
    <r>
      <rPr>
        <sz val="11"/>
        <color rgb="FFC9211E"/>
        <rFont val="Arial"/>
        <family val="2"/>
        <charset val="1"/>
      </rPr>
      <t>Utilizar o RAT Ajustado conforme GFIP: RAT x FAP</t>
    </r>
  </si>
  <si>
    <t>D – SESI ou SESC</t>
  </si>
  <si>
    <t>E - SENAI - SENAC</t>
  </si>
  <si>
    <t>F - SEBRAE</t>
  </si>
  <si>
    <t>G - INCRA</t>
  </si>
  <si>
    <t>F - FGTS</t>
  </si>
  <si>
    <t>2.3 - Benefícios Mensais e Diários</t>
  </si>
  <si>
    <t>Valores</t>
  </si>
  <si>
    <t>A – Transporte</t>
  </si>
  <si>
    <t>B – Auxílio-Refeição/Alimentação</t>
  </si>
  <si>
    <t>C – Assistência Médica e Familiar</t>
  </si>
  <si>
    <t>D – Assistência Odontológica</t>
  </si>
  <si>
    <t>E – Outros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</si>
  <si>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</si>
  <si>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</si>
  <si>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</si>
  <si>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</si>
  <si>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A - Aviso Prévio Indenizado</t>
  </si>
  <si>
    <t>B - Incidência do FGTS sobre Aviso Prévio Indenizado</t>
  </si>
  <si>
    <r>
      <rPr>
        <sz val="8"/>
        <color rgb="FF000000"/>
        <rFont val="Arial"/>
        <family val="2"/>
        <charset val="1"/>
      </rPr>
      <t xml:space="preserve">C - Multa do FGTS e contribuições sociais sobre o Aviso Prévio Indenizado
</t>
    </r>
    <r>
      <rPr>
        <sz val="11"/>
        <color rgb="FFC9211E"/>
        <rFont val="Arial"/>
        <family val="2"/>
        <charset val="1"/>
      </rPr>
      <t>Considerando que a multa do FGTS e Contribuição Social incide uma única vez sobre a totalidade dos meses de contrato, independentemente da espécie de Aviso Prévio - trabalhado ou indenizado -, zeramos essa rubrica e aportamos na sua totalidade na alínea “f” deste mesmo módulo</t>
    </r>
  </si>
  <si>
    <r>
      <rPr>
        <sz val="8"/>
        <color rgb="FF000000"/>
        <rFont val="Arial"/>
        <family val="2"/>
        <charset val="1"/>
      </rPr>
      <t xml:space="preserve">D - Aviso Prévio Trabalhado
</t>
    </r>
    <r>
      <rPr>
        <sz val="11"/>
        <color rgb="FFC9211E"/>
        <rFont val="Arial"/>
        <family val="2"/>
        <charset val="1"/>
      </rPr>
      <t>Esta parcela deverá ser reduzida após o primeiro ano da contratação para o percentual máximo de 0,194% (Acórdão 1.186/2017-P)</t>
    </r>
  </si>
  <si>
    <t>E - Incidência de GPS, FGTS e outras contribuições sobre o Aviso Prévio Trabalhado</t>
  </si>
  <si>
    <t>F - Multa do FGTS e contribuição social sobre o Aviso Prévio Trabalhado</t>
  </si>
  <si>
    <t>MÓDULO 4: CUSTO DE REPOSIÇÃO DO PROFISSIONAL AUSENTE</t>
  </si>
  <si>
    <t>4.1 -Substituto nas Ausências Legais</t>
  </si>
  <si>
    <t xml:space="preserve">A – Substituto na cobertura de Férias
</t>
  </si>
  <si>
    <t>B – Substituto na cobertura de Ausências Legais</t>
  </si>
  <si>
    <t>C – Substituto na cobertura de Licença-Paternidade</t>
  </si>
  <si>
    <t>D – Substituto na cobertura de Ausência por acidente de trabalho</t>
  </si>
  <si>
    <t>E – Substituto na cobertura de Afastamento Maternidade</t>
  </si>
  <si>
    <t xml:space="preserve">4.2 - Substituto na Intrajornada  </t>
  </si>
  <si>
    <r>
      <rPr>
        <sz val="8"/>
        <color rgb="FF000000"/>
        <rFont val="Arial"/>
        <family val="2"/>
        <charset val="1"/>
      </rPr>
      <t xml:space="preserve">A – Substituto na cobertura de Intervalo para repouso ou alimentação
</t>
    </r>
    <r>
      <rPr>
        <sz val="11"/>
        <color rgb="FFC9211E"/>
        <rFont val="Arial"/>
        <family val="2"/>
        <charset val="1"/>
      </rPr>
      <t>(Para profissionais 12x36)</t>
    </r>
  </si>
  <si>
    <t>4 - Custo de Reposição do Profissional Ausente</t>
  </si>
  <si>
    <t>4.1 - Ausências Legais</t>
  </si>
  <si>
    <t>4.2 – Intrajornada</t>
  </si>
  <si>
    <t>MÓDULO 5: INSUMOS DIVERSOS</t>
  </si>
  <si>
    <t>5 - Insumos Diversos</t>
  </si>
  <si>
    <r>
      <rPr>
        <sz val="8"/>
        <color rgb="FF000000"/>
        <rFont val="Arial"/>
        <family val="2"/>
        <charset val="1"/>
      </rPr>
      <t xml:space="preserve">A – Uniformes </t>
    </r>
    <r>
      <rPr>
        <sz val="11"/>
        <color rgb="FFC9211E"/>
        <rFont val="Arial"/>
        <family val="2"/>
        <charset val="1"/>
      </rPr>
      <t>(Anexo III-A.2)</t>
    </r>
  </si>
  <si>
    <r>
      <rPr>
        <sz val="8"/>
        <color rgb="FF000000"/>
        <rFont val="Arial"/>
        <family val="2"/>
        <charset val="1"/>
      </rPr>
      <t xml:space="preserve">B – Materiais
</t>
    </r>
    <r>
      <rPr>
        <sz val="11"/>
        <color rgb="FFC9211E"/>
        <rFont val="Arial"/>
        <family val="2"/>
        <charset val="1"/>
      </rPr>
      <t>(Valores considerados separadamente na “Planilha II-E – Materiais de Consumo”)</t>
    </r>
  </si>
  <si>
    <r>
      <rPr>
        <sz val="8"/>
        <color rgb="FF000000"/>
        <rFont val="Arial"/>
        <family val="2"/>
        <charset val="1"/>
      </rPr>
      <t xml:space="preserve">C – Equipamentos </t>
    </r>
    <r>
      <rPr>
        <sz val="11"/>
        <color rgb="FFC9211E"/>
        <rFont val="Arial"/>
        <family val="2"/>
        <charset val="1"/>
      </rPr>
      <t>(Anexo III-A.2)</t>
    </r>
  </si>
  <si>
    <t>MÓDULO 6 - CUSTOS INDIRETOS, TRIBUTOS E LUCRO</t>
  </si>
  <si>
    <t>6 - Custos Indiretos, Tributos e Lucro</t>
  </si>
  <si>
    <t>A - Custos Indiretos</t>
  </si>
  <si>
    <t xml:space="preserve"> A.1 - Administração Central (AC)</t>
  </si>
  <si>
    <t xml:space="preserve"> A.2 - Despesas Financeiras (DF)</t>
  </si>
  <si>
    <t xml:space="preserve"> A.3 - Riscos e Garantias (R)  </t>
  </si>
  <si>
    <t>B - Lucro (L)</t>
  </si>
  <si>
    <t>C - Tributos</t>
  </si>
  <si>
    <t xml:space="preserve"> C.1 - Tributos Federais (PIS e COFINS)</t>
  </si>
  <si>
    <t xml:space="preserve">  C.1.1 - PIS</t>
  </si>
  <si>
    <t xml:space="preserve">  C.1.2 - COFINS</t>
  </si>
  <si>
    <r>
      <rPr>
        <sz val="8"/>
        <color rgb="FF000000"/>
        <rFont val="Arial"/>
        <family val="2"/>
        <charset val="1"/>
      </rPr>
      <t xml:space="preserve">C.1.3 – CPRB
</t>
    </r>
    <r>
      <rPr>
        <sz val="11"/>
        <color rgb="FFC9211E"/>
        <rFont val="Arial"/>
        <family val="2"/>
        <charset val="1"/>
      </rPr>
      <t>0% - Regime Onerado
4,5% - Regime Desonerado</t>
    </r>
  </si>
  <si>
    <t xml:space="preserve"> C.2 - Tributos Estaduais</t>
  </si>
  <si>
    <t xml:space="preserve"> C.3 - Tributos Municipais</t>
  </si>
  <si>
    <t xml:space="preserve">  C.3.1 - ISS</t>
  </si>
  <si>
    <r>
      <rPr>
        <sz val="8"/>
        <color rgb="FF000000"/>
        <rFont val="Arial"/>
        <family val="2"/>
        <charset val="1"/>
      </rPr>
      <t xml:space="preserve">TOTAL MÓDULO 6 - CUSTOS INDIRETOS, TRIBUTOS E LUCRO
</t>
    </r>
    <r>
      <rPr>
        <sz val="11"/>
        <color rgb="FFC9211E"/>
        <rFont val="Arial"/>
        <family val="2"/>
        <charset val="1"/>
      </rPr>
      <t>Os índices utilizados nesse Submódulo e a metodologia de cálculo são equivalentes ao do BDI utilizado (“Anexo V – BDI”)</t>
    </r>
  </si>
  <si>
    <t>QUADRO RESUMO DO CUSTO MENSAL POR POSTO</t>
  </si>
  <si>
    <r>
      <rPr>
        <sz val="8"/>
        <color rgb="FF000000"/>
        <rFont val="Arial"/>
        <family val="2"/>
        <charset val="1"/>
      </rPr>
      <t xml:space="preserve">SUB-TOTAL MÓDULOS 1 + 2 + 3 + 4 + 5 </t>
    </r>
    <r>
      <rPr>
        <sz val="11"/>
        <color rgb="FFC9211E"/>
        <rFont val="Arial"/>
        <family val="2"/>
        <charset val="1"/>
      </rPr>
      <t>(CUSTO)</t>
    </r>
  </si>
  <si>
    <t>TOTAL MÓDULO 6 - CUSTOS INDIRETOS, TRIBUTOS E LUCRO</t>
  </si>
  <si>
    <t>VALOR TOTAL POR EMPREGADO</t>
  </si>
  <si>
    <r>
      <rPr>
        <b/>
        <sz val="11"/>
        <color rgb="FF000000"/>
        <rFont val="Arial"/>
        <family val="2"/>
      </rPr>
      <t xml:space="preserve">PLANILHA DE CUSTO E FORMAÇÃO DE PREÇO
</t>
    </r>
    <r>
      <rPr>
        <sz val="10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III – Planilha Resumo com os principais valores da mão de Obra
</t>
    </r>
    <r>
      <rPr>
        <sz val="10"/>
        <color rgb="FF000000"/>
        <rFont val="Arial"/>
        <family val="2"/>
      </rPr>
      <t xml:space="preserve">
III-A – Planilha estimativa de custos da mão de obra</t>
    </r>
  </si>
  <si>
    <t>Profissional</t>
  </si>
  <si>
    <t>CCT</t>
  </si>
  <si>
    <t>Local</t>
  </si>
  <si>
    <t>Belém</t>
  </si>
  <si>
    <t>Marabá</t>
  </si>
  <si>
    <t>Santarém</t>
  </si>
  <si>
    <t>Engenheiro Civil - Jornada 30h semanais</t>
  </si>
  <si>
    <t>Engenheiro Eletricista - Jornada 30h semanais</t>
  </si>
  <si>
    <t>Tipo de Transporte</t>
  </si>
  <si>
    <t>LEI</t>
  </si>
  <si>
    <t>Tarifa de Onibus</t>
  </si>
  <si>
    <t>ALIMENTAÇÃO</t>
  </si>
  <si>
    <t xml:space="preserve">Tipo </t>
  </si>
  <si>
    <t>EMBASAMENTO</t>
  </si>
  <si>
    <t>Vale Refeição / Café da manhã</t>
  </si>
  <si>
    <t>Belém - Marabá - Santarém</t>
  </si>
  <si>
    <t>Observação: perguntar ao procurador sobre o pagamento</t>
  </si>
  <si>
    <t>Outros (Cesta básica)</t>
  </si>
  <si>
    <t>SEGUROS</t>
  </si>
  <si>
    <t>Seguro de Vida</t>
  </si>
  <si>
    <t>Participação nos Lucros</t>
  </si>
  <si>
    <r>
      <t xml:space="preserve">PLANILHA DE CUSTO E FORMAÇÃO DE PREÇO
</t>
    </r>
    <r>
      <rPr>
        <sz val="10"/>
        <color rgb="FF000000"/>
        <rFont val="Arial"/>
        <family val="2"/>
        <charset val="1"/>
      </rPr>
      <t xml:space="preserve">
</t>
    </r>
    <r>
      <rPr>
        <b/>
        <sz val="11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0"/>
        <color rgb="FF000000"/>
        <rFont val="Arial"/>
        <family val="2"/>
        <charset val="1"/>
      </rPr>
      <t xml:space="preserve">
III-A – Planilha estimativa de custos da mão de obra
III-A.1 – Memorial de Cálculo</t>
    </r>
  </si>
  <si>
    <t>Nas tabelas abaixo estão inseridas as informações mais relevantes da metodologia utilizada para formação do preço referencial</t>
  </si>
  <si>
    <t>GERAL</t>
  </si>
  <si>
    <t>Dias efetivamente trabalhos (Jornada 44h)</t>
  </si>
  <si>
    <t>Salário Mínimo</t>
  </si>
  <si>
    <t>DESCONTOS</t>
  </si>
  <si>
    <t>Vale Transporte  (Belém/Marabá/Santarém - exceto engenheiro)</t>
  </si>
  <si>
    <t>FÉRIAS E ADICIONAL DE FÉRIAS</t>
  </si>
  <si>
    <t>Para das férias e do adicional de férias considerou-se 5 anos de contrato com gozo de 4 férias.</t>
  </si>
  <si>
    <t>RAT / FAT / SAT</t>
  </si>
  <si>
    <t>Seguro de Acidente do Trabalho</t>
  </si>
  <si>
    <t>Fator de Acidente do Trabalho</t>
  </si>
  <si>
    <t>AVISO PRÉVIO INDENIZADO</t>
  </si>
  <si>
    <t>Proporção estimada dos empregados demitidos com Aviso Prévio Indenizado, no período de 12 meses, durante a vigência do contrato</t>
  </si>
  <si>
    <t>Aviso prévio indenizado</t>
  </si>
  <si>
    <t>1/12 x 5%</t>
  </si>
  <si>
    <t>[ (100% / 30) x 7] / 12 = 1,94%</t>
  </si>
  <si>
    <t>Aviso Prévio Trabalhado de acordo com Acórdão TCU 1186/2017-Plenário</t>
  </si>
  <si>
    <t>Foi considerado que 100% dos empregados seriam demitidos com Aviso Prévio Trabalhado ao final do contrato.</t>
  </si>
  <si>
    <t>MULTA DO FGTS</t>
  </si>
  <si>
    <t>0,08 x 0,4 x 0,9 x (1 + 5/56 + 5/56 + 1/3 * 5/56) = 3,48%.</t>
  </si>
  <si>
    <t>Foi considerado que 10% dos empregados pedem as contas.</t>
  </si>
  <si>
    <t>AUSÊNCIA LEGAIS (DIVERSAS)</t>
  </si>
  <si>
    <t>4,8860 / 30,4375  / 12 = 1,34%</t>
  </si>
  <si>
    <t>Estimativa de dias por mês</t>
  </si>
  <si>
    <t>Ausência justificada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</si>
  <si>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</si>
  <si>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</si>
  <si>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</si>
  <si>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</si>
  <si>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</si>
  <si>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</si>
  <si>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</si>
  <si>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Média total de faltas legais por ano</t>
  </si>
  <si>
    <t>LICENÇA PATERNIDADE</t>
  </si>
  <si>
    <t>5/30,4375/12*1,5%*100% = 0,02%</t>
  </si>
  <si>
    <t>Percentual de Homens (Estimativa com base no histórico observado)</t>
  </si>
  <si>
    <t>Expectativa anual de nascimento de filhos dos trabalhadores (IBGE)</t>
  </si>
  <si>
    <t>AUSÊNCIA POR ACIDENTE DO TRABALHO</t>
  </si>
  <si>
    <t>0,9545/30,4375/12 = 0,26%</t>
  </si>
  <si>
    <t>Média de faltas anuais por acidente de trabalho</t>
  </si>
  <si>
    <t>LICENÇA MATERNIDADE</t>
  </si>
  <si>
    <t>Percentual de Mulheres (Estimativa com base no histórico observado)</t>
  </si>
  <si>
    <t>Expectativa mensal Afastamento Maternidade(Censo IBGE)</t>
  </si>
  <si>
    <t>MÓDULO 5 – INSUMOS DIVERSOS</t>
  </si>
  <si>
    <t>Foram considerados para mão de obra os custos estimativos a Uniformes, EPI e ferramentas e equipamentos comuns da atividade.</t>
  </si>
  <si>
    <t>Os materiais de consumo usualmente utilizados na Manutenção foram considerados em planilhas específicas, que compõem o custo estimado da Parcela Fixa (Planilha III - E)</t>
  </si>
  <si>
    <t>Para padronização dos valores a serem utilizados e ainda em cumprimento ao Anexo VII-D da Instrução Normativa nº 5, foram utilizados os mesmos parâmetros considerados no dimensionamento do BDI, bem como a fórmula de cálculo.
Dessa forma, o cálculo dos custos indiretos, tributos e lucros foi assim calculado:
Módulo 6 = (Médulo 1 + Módulo 2 + Módulo 3 + Módulo 4 + Módulo 5) x BDI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</si>
  <si>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 xml:space="preserve">III-A – Planilha estimativa de custos da mão de obra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III-A.2 – Uniforme, EPI e Equipamentos</t>
    </r>
  </si>
  <si>
    <t>UNIFORMES E EPI</t>
  </si>
  <si>
    <t>OFICIAL DE MANUTENÇÃO A (ELETRICISTA/INSTALADOR-REPARADOR DE REDES TELEFÔNICAS E DE COMUNICAÇÃO DE DADOS) – CBO 5143-25</t>
  </si>
  <si>
    <t>BASE</t>
  </si>
  <si>
    <t>CUSTO UNITÁRIO
(R$)</t>
  </si>
  <si>
    <t>SINAPI</t>
  </si>
  <si>
    <t>EPI - FAMILIA ELETRICISTA - MENSALISTA (ENCARGOS COMPLEMENTARES - COLETADO CAIXA)</t>
  </si>
  <si>
    <t>MÊS</t>
  </si>
  <si>
    <t>OFICIAL DE MANUTENÇÃO B (PEDREIRO/BOMBEIRO HIDRÁULICO) – CBO 5143-25</t>
  </si>
  <si>
    <t>EPI - FAMILIA PEDREIRO - MENSALISTA (ENCARGOS COMPLEMENTARES - COLETADO CAIXA)</t>
  </si>
  <si>
    <t>AJUDANTE DE ELETRICISTA/INSTALADOR-REPARADOR DE REDES TELEFÔNICAS E DE COMUNICAÇÃO DE DADOS – CBO 7156-15</t>
  </si>
  <si>
    <t>ENGENHEIRO CIVIL – CBO 2142-05</t>
  </si>
  <si>
    <t>EPI - FAMILIA ENGENHEIRO CIVIL - MENSALISTA (ENCARGOS COMPLEMENTARES - COLETADO CAIXA)</t>
  </si>
  <si>
    <t>MES</t>
  </si>
  <si>
    <t>ENGENHEIRO ELETRICISTA – CBO 2143-05</t>
  </si>
  <si>
    <t>ENCARREGADO DE MANUTENÇÃO – CBO 7102-05</t>
  </si>
  <si>
    <t>EPI - FAMILIA ENCARREGADO GERAL - HORISTA (ENCARGOS COMPLEMENTARES - COLETADO CAIXA)</t>
  </si>
  <si>
    <t>FERRAMENTAS</t>
  </si>
  <si>
    <t>FERRAMENTAS - FAMILIA ELETRICISTA - MENSALISTA (ENCARGOS COMPLEMENTARES - COLETADO CAIXA)</t>
  </si>
  <si>
    <t>REF.</t>
  </si>
  <si>
    <t>UNID</t>
  </si>
  <si>
    <t>FERRAMENTAS - FAMILIA PEDREIRO - MENSALISTA (ENCARGOS COMPLEMENTARES - COLETADO CAIXA)</t>
  </si>
  <si>
    <t>FERRAMENTAS - FAMILIA ENGENHEIRO CIVIL - MENSALISTA (ENCARGOS COMPLEMENTARES - COLETADO CAIXA)</t>
  </si>
  <si>
    <t>FERRAMENTAS - FAMILIA ENCARREGADO GERAL - HORISTA (ENCARGOS COMPLEMENTARES - COLETADO CAIXA)</t>
  </si>
  <si>
    <t>TOTAL</t>
  </si>
  <si>
    <t>ITEM</t>
  </si>
  <si>
    <t>ÁREA (M²)</t>
  </si>
  <si>
    <r>
      <t xml:space="preserve">PLANILHA DE CUSTO E FORMAÇÃO DE PREÇO
</t>
    </r>
    <r>
      <rPr>
        <sz val="11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1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III-C – Planilha estimativa de custos de deslocamentos e pernoites</t>
    </r>
  </si>
  <si>
    <t>SINAPI - 07/2022 – Pará: Não Desonerado: embutido nos preços unitário dos insumos de mão de obra, de acordo com as bases.</t>
  </si>
  <si>
    <t>CUSTO UNITÁRIO</t>
  </si>
  <si>
    <t>UNIDADE ADMINISTRATIVA</t>
  </si>
  <si>
    <t>H</t>
  </si>
  <si>
    <t>DISCRIMINAÇÃO</t>
  </si>
  <si>
    <t>Estimativa de gasto com os deslocamentos dos Veículos da Manutenção Predial.</t>
  </si>
  <si>
    <t>BANCO DE DADOS</t>
  </si>
  <si>
    <t>CM</t>
  </si>
  <si>
    <t>UN</t>
  </si>
  <si>
    <t>RESUMO DAS ESTIMATIVAS DE DESLOCAMENTOS E DIÁRIAS</t>
  </si>
  <si>
    <t>QUANTIDADE
(MENSAL)</t>
  </si>
  <si>
    <t>CUSTO TOTAL
(MENSAL)</t>
  </si>
  <si>
    <t>BDI</t>
  </si>
  <si>
    <t>VALOR TOTAL MENSAL</t>
  </si>
  <si>
    <t>01</t>
  </si>
  <si>
    <t>Estimativa de Pernoite e Alimentação (Jantar)</t>
  </si>
  <si>
    <t>02</t>
  </si>
  <si>
    <t>Estimativa - Pedágio/Passagem Transporte Fluvial/ Passagem Transporte Aéreo/Balsa</t>
  </si>
  <si>
    <t>03</t>
  </si>
  <si>
    <t>04</t>
  </si>
  <si>
    <t>Estimativa de Gasto por Veículo</t>
  </si>
  <si>
    <t>UND</t>
  </si>
  <si>
    <t>59.850,06</t>
  </si>
  <si>
    <t>03.CHOR.CAUX.391/01</t>
  </si>
  <si>
    <t>INSUMO</t>
  </si>
  <si>
    <t>0,0000480</t>
  </si>
  <si>
    <t>03.CHOR.CAUX.392/01</t>
  </si>
  <si>
    <t>0,0000076</t>
  </si>
  <si>
    <t>03.CHOR.CAUX.393/01</t>
  </si>
  <si>
    <t>0,0000030</t>
  </si>
  <si>
    <t>03.CHOR.CAUX.394/01</t>
  </si>
  <si>
    <t>0,0000600</t>
  </si>
  <si>
    <t>03.CHOR.CAUX.395/01</t>
  </si>
  <si>
    <t>6,6900000</t>
  </si>
  <si>
    <t>km</t>
  </si>
  <si>
    <r>
      <t xml:space="preserve">PLANILHA DE CUSTO E FORMAÇÃO DE PREÇO
III – Planilha estimativa de custos mensais da parcela fixa (item 1.1 – Manutenção Predial)
</t>
    </r>
    <r>
      <rPr>
        <sz val="10"/>
        <rFont val="Arial"/>
        <family val="2"/>
        <charset val="1"/>
      </rPr>
      <t>III-E – Planilha estimativa de custos de materiais de consumo</t>
    </r>
  </si>
  <si>
    <t>Ref SINAPI</t>
  </si>
  <si>
    <t>Coeficiente</t>
  </si>
  <si>
    <t>QUANTIDADE
(ANUAL)</t>
  </si>
  <si>
    <t>CUSTO TOTAL (ANUAL)</t>
  </si>
  <si>
    <t>10.2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</si>
  <si>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</si>
  <si>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</si>
  <si>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</si>
  <si>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</si>
  <si>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</si>
  <si>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</si>
  <si>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</si>
  <si>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</si>
  <si>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</si>
  <si>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</si>
  <si>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</si>
  <si>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</si>
  <si>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</si>
  <si>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</si>
  <si>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</si>
  <si>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</si>
  <si>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</si>
  <si>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</si>
  <si>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</si>
  <si>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</si>
  <si>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</si>
  <si>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</si>
  <si>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</si>
  <si>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</si>
  <si>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</si>
  <si>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</si>
  <si>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</si>
  <si>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</si>
  <si>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</si>
  <si>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</si>
  <si>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</si>
  <si>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</si>
  <si>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</si>
  <si>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</si>
  <si>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</si>
  <si>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</si>
  <si>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</si>
  <si>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</si>
  <si>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12.50</t>
  </si>
  <si>
    <t>12.51</t>
  </si>
  <si>
    <t>12.58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</si>
  <si>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</si>
  <si>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</si>
  <si>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</si>
  <si>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</si>
  <si>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</si>
  <si>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</si>
  <si>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</si>
  <si>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</si>
  <si>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</si>
  <si>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</si>
  <si>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</si>
  <si>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</si>
  <si>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</si>
  <si>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</si>
  <si>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</si>
  <si>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</si>
  <si>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</si>
  <si>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</si>
  <si>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</si>
  <si>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</si>
  <si>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</si>
  <si>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12.86</t>
  </si>
  <si>
    <t>12.87</t>
  </si>
  <si>
    <t>12.88</t>
  </si>
  <si>
    <t>12.89</t>
  </si>
  <si>
    <t>12.90</t>
  </si>
  <si>
    <t>12.91</t>
  </si>
  <si>
    <t>12.107</t>
  </si>
  <si>
    <t>12.108</t>
  </si>
  <si>
    <t>13.1</t>
  </si>
  <si>
    <t>13.2</t>
  </si>
  <si>
    <t>13.3</t>
  </si>
  <si>
    <t>13.4</t>
  </si>
  <si>
    <t>13.5</t>
  </si>
  <si>
    <t>13.6</t>
  </si>
  <si>
    <t>13.7</t>
  </si>
  <si>
    <t>13.8</t>
  </si>
  <si>
    <t>CONSUMO INT</t>
  </si>
  <si>
    <t>% REPOSIÇÃO</t>
  </si>
  <si>
    <t>13.9</t>
  </si>
  <si>
    <t>13.10</t>
  </si>
  <si>
    <t>REATOR ELETRONICO BIVOLT PARA 1 LAMPADA FLUORESCENTE DE 18/20 W</t>
  </si>
  <si>
    <t>REATOR ELETRONICO BIVOLT PARA 2 LAMPADAS FLUORESCENTES DE 36/40 W</t>
  </si>
  <si>
    <t>13.11</t>
  </si>
  <si>
    <t>REATOR ELETRONICO BIVOLT PARA 2 LAMPADAS FLUORESCENTES DE 18/20 W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</si>
  <si>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</si>
  <si>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</si>
  <si>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</si>
  <si>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</si>
  <si>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</si>
  <si>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</si>
  <si>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</si>
  <si>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</si>
  <si>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</si>
  <si>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</si>
  <si>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</si>
  <si>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</si>
  <si>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</si>
  <si>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</si>
  <si>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</si>
  <si>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</si>
  <si>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</si>
  <si>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</si>
  <si>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</si>
  <si>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</si>
  <si>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</si>
  <si>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</si>
  <si>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</si>
  <si>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</si>
  <si>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</si>
  <si>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</si>
  <si>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</si>
  <si>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</si>
  <si>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</si>
  <si>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</si>
  <si>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</si>
  <si>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</si>
  <si>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</si>
  <si>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</si>
  <si>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</si>
  <si>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</si>
  <si>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</si>
  <si>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</si>
  <si>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</si>
  <si>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</si>
  <si>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</si>
  <si>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</si>
  <si>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</si>
  <si>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</si>
  <si>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</si>
  <si>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</si>
  <si>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</si>
  <si>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13.61</t>
  </si>
  <si>
    <t>13.62</t>
  </si>
  <si>
    <t>CUSTO ESTIMADO ANUAL</t>
  </si>
  <si>
    <t>CUSTO ESTIMADO MENSAL</t>
  </si>
  <si>
    <t>VALOR MENSAL</t>
  </si>
  <si>
    <t xml:space="preserve">UN    </t>
  </si>
  <si>
    <t>Insumos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</si>
  <si>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V – Planilha de composição do BDI</t>
    </r>
  </si>
  <si>
    <t>% DIFERENCIADO</t>
  </si>
  <si>
    <t>CUSTOS INDIRETOS</t>
  </si>
  <si>
    <t>A.1</t>
  </si>
  <si>
    <t>Administração Central (AC)</t>
  </si>
  <si>
    <t>A.2</t>
  </si>
  <si>
    <t>Despesas Financeiras (DF)</t>
  </si>
  <si>
    <t>A.3</t>
  </si>
  <si>
    <t>Riscos, Seguros e Garantias (R+S+G);</t>
  </si>
  <si>
    <t>LUCRO (L)</t>
  </si>
  <si>
    <t>TRIBUTOS (T)</t>
  </si>
  <si>
    <t>C.1</t>
  </si>
  <si>
    <t>FEDERAIS</t>
  </si>
  <si>
    <t>C.1.1</t>
  </si>
  <si>
    <t>PIS</t>
  </si>
  <si>
    <t>C.1.2</t>
  </si>
  <si>
    <t>COFINS</t>
  </si>
  <si>
    <t>C.1.3</t>
  </si>
  <si>
    <r>
      <rPr>
        <sz val="8"/>
        <color rgb="FF000000"/>
        <rFont val="Arial"/>
        <family val="2"/>
        <charset val="1"/>
      </rPr>
      <t xml:space="preserve">CPRB
</t>
    </r>
    <r>
      <rPr>
        <sz val="11"/>
        <color rgb="FFC9211E"/>
        <rFont val="Arial"/>
        <family val="2"/>
        <charset val="1"/>
      </rPr>
      <t>0% - Regime Não Desonerado
4,5% - Regime Desonerado</t>
    </r>
  </si>
  <si>
    <t>C.2</t>
  </si>
  <si>
    <t>ESTADUAIS</t>
  </si>
  <si>
    <t>C.3</t>
  </si>
  <si>
    <t>MUNICIPAIS</t>
  </si>
  <si>
    <t>C.3.1</t>
  </si>
  <si>
    <t>ISS (PONDERADO)</t>
  </si>
  <si>
    <t>BDI Diferenciado</t>
  </si>
  <si>
    <t>Observação</t>
  </si>
  <si>
    <r>
      <rPr>
        <sz val="12"/>
        <color rgb="FF000000"/>
        <rFont val="Arial"/>
        <family val="2"/>
        <charset val="1"/>
      </rPr>
      <t xml:space="preserve">- O percentual do ISS deverá observar a legislação de cada município abrangido pelo contrato, sendo adotado a média ponderada levando em consideração a área dos imóveis.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a correta tributação à qual esteja vinculada e caso tenha havido erro, e a tributação real seja pela CPRB, será promovido o reequilíbrio dos valores pactuados para correção da falha, caso contrário a empresa deve arcar com o ônus de seu equívoco, conforme notas introdutórias das minutas padrão do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0% para o CPRB, caso faça parte do regime onerado de folha de pagamento, mas deve declarar o INSS como 20% na Aba "Planilha II-A – Mão de Obra", Submódulo 4.1, letra "A - INSS". Caso faça parte do regime desonerado, a licitante deve adotar 4,5% para o CPRB e 0% para 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O BDI diferenciado será utilizado para o determinação dos valores de referência dos materiais e peças de reposição, conforme instrução fornecida pela Súmula 253/2010 do TCU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>- Os índices utilizados foram colhidos do Acórdão TCU 2622/2013 - BDI para obras de edificações</t>
    </r>
  </si>
  <si>
    <t>Fórmula utilizada para o cálculo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</si>
  <si>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V – Planilha de composição do BDI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V-A – Planilha de cálculo do ISS</t>
    </r>
  </si>
  <si>
    <t>ENDEREÇO</t>
  </si>
  <si>
    <t>PORCENTAGEM DA ÁREA POR APS</t>
  </si>
  <si>
    <t>ISS</t>
  </si>
  <si>
    <t>ISS x % DA ÁREA DA UNIDADE</t>
  </si>
  <si>
    <t>Referência</t>
  </si>
  <si>
    <t>LEI Nº 8.293 DE 30 DE DEZEMBRO DE 2003</t>
  </si>
  <si>
    <t>Lei nº 224, de 27/12/2017 – Município Acará/PA.</t>
  </si>
  <si>
    <t>LEI COMPLEMENTAR Nº 2.181/2005</t>
  </si>
  <si>
    <t>LEI MUNICIPAL Nº 504/2017 DE 26 DE DEZEMBRO DE 2017 - PMA</t>
  </si>
  <si>
    <t>LEI COMPLEMENTAR 09/2021 DE 30 DE NOVEMBRO DE 2021</t>
  </si>
  <si>
    <t>LEI COMPLEMENTAR Nº 0061, DE 03 DE OUTUBRO DE 2019</t>
  </si>
  <si>
    <t>PROJETO DE LEI 025, DE 25 DE NOVEMBRO DE 2014</t>
  </si>
  <si>
    <t>Lei nº 3.866/06, de 29 de dezembro de 2006</t>
  </si>
  <si>
    <t>LEI  N.º 2043/2003, DE 23 DE DEZEMBRODE 2003.</t>
  </si>
  <si>
    <t>LEI MUNICIPAL N.º 315 DE 07 DE DEZEMBRO 2018</t>
  </si>
  <si>
    <t>LEI N.º 6.258 DE 30 DE DEZEMBRO 2009</t>
  </si>
  <si>
    <t>LEI COMPLEMENTAR Nº 001/03, DE 19 DE DEZEMBRO DE 2003</t>
  </si>
  <si>
    <t>LEI 2.124 DE 20 DE DEZEMBRO DE 2018</t>
  </si>
  <si>
    <t>LEI MUNICIPAL 832 DE 26 DE DEZEMBRO DE 2017</t>
  </si>
  <si>
    <t>LEI COMPLEMENTAR 245 DE 30 DE DEZEMBRO DE 2005</t>
  </si>
  <si>
    <t>LEI 433 DE 20 DE DEZEMBRO DE 2017</t>
  </si>
  <si>
    <t>LEI MUNICIPAL 836 DE 05 DE OUTUBRO DE 2021</t>
  </si>
  <si>
    <t>LEI COMPLEMENTAR 001 DE 27 DE SETEMBRO DE 2017</t>
  </si>
  <si>
    <t>LEI COMPLEMENTAR N.º 001/2013, DE 31 DE DEZEMBRO DE 2013.</t>
  </si>
  <si>
    <t>LEI 021 DE 27 DE DEZEMBRO DE 1993</t>
  </si>
  <si>
    <t>Não encontrado e não encaminhado pela Prefeitura</t>
  </si>
  <si>
    <t>LEI 1966 DE 06 DE NOVEMBRO DE 2001</t>
  </si>
  <si>
    <t>LEI MUNICIPAL N°. 962 DE 19 DE OUTUBRO DE 2017.</t>
  </si>
  <si>
    <t>LEI Municipal 206 de 23 de junho de 2014</t>
  </si>
  <si>
    <t>Lei Complementar nº 001, de 29 de dezembro de 2017.</t>
  </si>
  <si>
    <t>LEI MUNICIPAL N.º 2.906 DE 21 DE NOVEMBRO DE 2019</t>
  </si>
  <si>
    <t>LEI COMPLEMENTAR Nº 014, DE 31 DE DEZEMBRO DE 2018</t>
  </si>
  <si>
    <t>LEI MUNICIPAL Nº 363/2018 DE 18 DE DEZEMBRO DE 2018.</t>
  </si>
  <si>
    <t>LEI COMPLEMENTAR N.º 084 DE 24 DE DEZEMBRO DE 2003</t>
  </si>
  <si>
    <t>LEI MUNICIPAL N° 244, DE 26 DE DEZEMBRO DE 2013.</t>
  </si>
  <si>
    <t>LEI COMPLEMENTAR Nº 01/2018, DE 11 SETEMBRO,
DE 2018.</t>
  </si>
  <si>
    <t>LEI MUNICIPAL 415 DE 28 DE DEZEMBRO DE 2010</t>
  </si>
  <si>
    <t>LEI N.º 1203 DE 15 DE DEZEMBRO DE 2014</t>
  </si>
  <si>
    <t>LEI COMPLEMENTAR 07 DE 20 DE DEZEMBRO DE 2016</t>
  </si>
  <si>
    <t>LEI COMPLEMENTAR N. º 07 DE 20 DE DEZEMBRO DE 2016</t>
  </si>
  <si>
    <t>LEI COMPLEMENTAR N.º 23 DE 30 DE DEZEMBRO DE 2020</t>
  </si>
  <si>
    <t>LEI MUNICIPAL N.º 7.142 DE 29 DE DEZEMBRO DE 2006</t>
  </si>
  <si>
    <t>LEI COMPLEMENTAR N.º 01 DE 05 DE MAIO DE 2017</t>
  </si>
  <si>
    <t>LEI MUNICIPAL N.º 419 DE 29 DE MAIOO DE 2015</t>
  </si>
  <si>
    <t>LEI COMPLEMENTAR Nº 912 DE 29 de Dezembro de 2014.</t>
  </si>
  <si>
    <t>LEI MUNICIPAL N.º 2.475 DE 22 DE DEZEMBRO DE 2009</t>
  </si>
  <si>
    <t>LEI COMPLEMENTAR Nº 005 DE 03 DE SETEMBRO DE 2.007</t>
  </si>
  <si>
    <t>LEI COMPLEMENTAR Nº 001, DE 16 DE DEZEMBRO DE 2021.</t>
  </si>
  <si>
    <t>LEI COMPLEMENTAR Nº 141, DE 18 DE DEZEMBRO DE 2017</t>
  </si>
  <si>
    <t>LEI COMPLEMENTAR Nº 023, DE 03 DE NOVEMBRO DE 2003</t>
  </si>
  <si>
    <t>LEI 360 DE 23 DE DEZEMBRO DE 1998</t>
  </si>
  <si>
    <t>LEI COMPLEMENTAR Nº 11, DE 03 DE OUTUBRO DE 2017</t>
  </si>
  <si>
    <t>LEI COMPLEMENTAR Nº 153, DE 20 DE DEZEMBRO DE 2021</t>
  </si>
  <si>
    <t>LEI COMPLEMENTAR MUNICIPAL Nº 006, DE 04 DE JULHO DE 2012</t>
  </si>
  <si>
    <t>LEI MUNICIPAL N.º 431 DE 05 DE DEZEMBRO DE 2014</t>
  </si>
  <si>
    <t>Lei Municipal nº 2.716 DE 26 DE DEZEMBRO DE 2013</t>
  </si>
  <si>
    <t>LEI COMPLEMENTAR MUNICIPAL Nº 1.248, DE 27 DE DEZEMBRO DE 2021</t>
  </si>
  <si>
    <t>LEI Nº 3.189, DE 27 DE DEZEMBRO DE 2013</t>
  </si>
  <si>
    <t>LEI 4.227</t>
  </si>
  <si>
    <t>LEI COMPLEMENTAR  492 DE 30 DE DEZEMBRO DE 2013</t>
  </si>
  <si>
    <t>LEI MUNICIPAL N.º 1.115 DE 14 DE DEZEMBRO DE 2017</t>
  </si>
  <si>
    <t>LEI MUNICIPAL N.º 113 DE 26 DE DEZEMBRO DE 2006</t>
  </si>
  <si>
    <t>% correpondente à Mão de obra</t>
  </si>
  <si>
    <t>ISS ponderado</t>
  </si>
  <si>
    <t>SERVIÇOS DE MANUTENÇÃO C/ EVENTUAIS</t>
  </si>
  <si>
    <t>Custo Mensal S/ BDI</t>
  </si>
  <si>
    <t>% DO CUSTO TOTAL</t>
  </si>
  <si>
    <t>Custo de mão de obra</t>
  </si>
  <si>
    <t>Eq Manutenção</t>
  </si>
  <si>
    <t>Eq Administrativa</t>
  </si>
  <si>
    <t>Materiais e deslocamentos</t>
  </si>
  <si>
    <t>Mat consumo</t>
  </si>
  <si>
    <t>Deslocamento e pernoite</t>
  </si>
  <si>
    <t>CUSTO TOTAL (SEM BDI)</t>
  </si>
  <si>
    <t>GEX BELÉM</t>
  </si>
  <si>
    <t>AV. NAZARE, TÉRREO, Nº 79, B: NAZARE - BELÉM-PA</t>
  </si>
  <si>
    <t>APS ICOARACI</t>
  </si>
  <si>
    <t>RUA CEL. JUVÊNCIO SARMENTO, Nº 1426, B: ICOARACÍ - BELÉM-PA</t>
  </si>
  <si>
    <t>APS BELÉM TELÉGRAFO</t>
  </si>
  <si>
    <t>AV. SENADOR LEMOS, Nº 1583, B: TELEGRAFO - BELÉM-PA</t>
  </si>
  <si>
    <t>APS BELÉM MARCO</t>
  </si>
  <si>
    <t>PASSAGEM LINDOLFO COLLOR, S/Nº, B: MARCO - BELÉM-PA</t>
  </si>
  <si>
    <t>APS BELÉM PEDREIRA</t>
  </si>
  <si>
    <t>AV. PEDRO MIRANDA, Nº 1060, B: PEDREIRA - BELÉM-PA</t>
  </si>
  <si>
    <t>APS BELÉM JURUNAS</t>
  </si>
  <si>
    <t>AV. ROBERTO CAMELIER , Nº 1080, B: JURUNAS - BELÉM-PA</t>
  </si>
  <si>
    <t>APS BELÉM SÃO BRAS</t>
  </si>
  <si>
    <t>AV. GOVERNADOR JOSÉ MALCHER, Nº 2858, B: SÃO BRAS - BELÉM-PA</t>
  </si>
  <si>
    <t>APS BELÉM NAZARÉ</t>
  </si>
  <si>
    <t>AV NAZARE, Nº 79 TÉRREO, B: NAZARE - BELÉM-PA</t>
  </si>
  <si>
    <t>CASA DO IDOSO</t>
  </si>
  <si>
    <t>AV. ALMIRANTE BARROSO, N° 914,B: MARCO - BELÉM-PA</t>
  </si>
  <si>
    <t>EDIFÍCIO COSTA E SILVA</t>
  </si>
  <si>
    <t>AV NAZARE - 79 - 1º ANDAR- SALA 105, B: NAZARÉ - BELÉM-PA</t>
  </si>
  <si>
    <t>Ex ginásio e fisioterapia</t>
  </si>
  <si>
    <t>APS ACARÁ</t>
  </si>
  <si>
    <t>RODOVIA PA 252,KM 01 NA TRAV JACAREQUAR, B: ALEGRIA - ACARÁ-PA</t>
  </si>
  <si>
    <t>APS ANANINDEUA</t>
  </si>
  <si>
    <t>ARTERIAL A- 18, WE-51 -S/Nº, B: CIDADE NOVA I - ANANINDEUA-PA</t>
  </si>
  <si>
    <t>APS ABAETETUBA</t>
  </si>
  <si>
    <t>AV. D. PEDRO II, Nº 538, B: CENTRO - ABAETETUBA-PA</t>
  </si>
  <si>
    <t>APS BAIÃO</t>
  </si>
  <si>
    <t>RUA JÚLIO BRITO, S/Nº, B: MUTIRÃO - BAIÃO-PA</t>
  </si>
  <si>
    <t>APS BARCARENA</t>
  </si>
  <si>
    <t>TRAVESSA DA MATRIZ - QUADRA 114 -Nº 60, B: CENTRO - BARCARENA-PA</t>
  </si>
  <si>
    <t>APS BENEVIDES</t>
  </si>
  <si>
    <t>AV. JOAQUIM PEREIRA DE QUEIROZ,S/Nº, B: CENTRO - BENEVIDES-PA</t>
  </si>
  <si>
    <t>APS BRAGANÇA</t>
  </si>
  <si>
    <t>AV. ALACID NUNES, S/Nº, B: CENTRO - BRAGANÇA-PA</t>
  </si>
  <si>
    <t>ARQUIVO SETORIAL BRAGANÇA</t>
  </si>
  <si>
    <t>APS BREVES</t>
  </si>
  <si>
    <t>AV. WILSON CÂMARA FRAZÃO, S/Nº, B: CENTRO - BREVES-PA</t>
  </si>
  <si>
    <t>APS CAMETÁ</t>
  </si>
  <si>
    <t>RUA 23 DE NOVEMBRO, Nº 1235, B: CENTRO - CAMETÁ-PA</t>
  </si>
  <si>
    <t>APS CAPANEMA</t>
  </si>
  <si>
    <t>RUA DR. JOÃO PESSOA, S/Nº, B: CENTRO - CAPANEMA-PA</t>
  </si>
  <si>
    <t>APS CASTANHAL</t>
  </si>
  <si>
    <t>RUA CONEGO LUIS LEITÃO, Nº 1817, B: CENTRO - CASTANHAL-PA</t>
  </si>
  <si>
    <t>APS CURUÇA</t>
  </si>
  <si>
    <t>RUA GONÇALO FERREIRA, S/Nº, B: BAIRRO NOVO - CURUÇÁ-PA</t>
  </si>
  <si>
    <t>APS CAPITÃO POÇO</t>
  </si>
  <si>
    <t>AV. GOVERNADOR FERNANDO GUILHON, S/Nº, B: RODOVIÁRIO - CAPITÃO POÇO-PA</t>
  </si>
  <si>
    <t>APS CONCÓRDIA DO PARÁ</t>
  </si>
  <si>
    <t>AV. JOSÉ BONIFÁCIO, S/Nº, B: NOVA AURORA - CONCÓRDIA DO PARÁ-PA</t>
  </si>
  <si>
    <t>APS GARRAFÃO DO NORTE</t>
  </si>
  <si>
    <t>TRAVESSA AGOSTINO BRASIL, S/Nº, B: PEDRINHAS - GARRAFÃO DO NORTE-PA</t>
  </si>
  <si>
    <t>APS IGARAPÉ AÇU</t>
  </si>
  <si>
    <t>AV. BARÃO DO RIO BRANCO, S/Nº, B: CENTRO - IGARAPÉ-AÇU-PA</t>
  </si>
  <si>
    <t>APS IPIXUNA DO PARÁ</t>
  </si>
  <si>
    <t>TRAVESSA PEDRO AYRES DA SILVA, S/Nº, B: CENTRO - IPIXUNA DO PARÁ-PA</t>
  </si>
  <si>
    <t>APS MÃE DO RIO</t>
  </si>
  <si>
    <t>RODOVIA PA 252, QUADRA 68, S/Nº, B: SEVERINO OLIVEIRA - MÃE DO RIO-PA</t>
  </si>
  <si>
    <t>APS MARACANÃ</t>
  </si>
  <si>
    <t>RUA ESPIRITO SANTO, S/Nº - QUADRA 24, B: CENTRO - MARACANÃ-PA</t>
  </si>
  <si>
    <t>APS MARAPANIM</t>
  </si>
  <si>
    <t>RUA DINIZ BOTELHO, S/Nº, B: CENTRO - MARAPANIM-PA</t>
  </si>
  <si>
    <t>APS MOCAJUBA</t>
  </si>
  <si>
    <t>TRAVESSA LAURO SODRÉ, S/Nº, B: CENTRO - MOCAJUBA-PA</t>
  </si>
  <si>
    <t>APS MOJU</t>
  </si>
  <si>
    <t>AV. DAS PALMEIRAS, S/Nº, B: AVIAÇÃO - MOJU-PA</t>
  </si>
  <si>
    <t>APS NOVA ESPERANÇA DO PIRIÁ</t>
  </si>
  <si>
    <t>RODOVIA PA 124, S/Nº, ESQUINA COM A TRAVESSA JATOBÁ, BAIRRO NOVO - NOVA ESPERANÇA DO PIRIÁ-PA</t>
  </si>
  <si>
    <t>APS PARAGOMINAS</t>
  </si>
  <si>
    <t>RUA SANTARÉM, PRAÇA TRÊS IRMÃOS, Nº 744 - PARAGOMINAS-PA</t>
  </si>
  <si>
    <t>APS SALINÓPOLIS</t>
  </si>
  <si>
    <t>TRAVESSA TIRADENTES, Nº 66, B: SÃO VICENTE - SALINÓPOLIS-PA</t>
  </si>
  <si>
    <t>APS DOM ELISEU</t>
  </si>
  <si>
    <t>RUA SANTA CLARA, QUADRA 19 A, LOTE 4 B, S/Nº, B: ESPLANADA - DOM ELISEU-PA</t>
  </si>
  <si>
    <t>APS SANTA IZABEL</t>
  </si>
  <si>
    <t>RUA JOÃO COELHO, S/Nº, CENTRO - SANTA ISABEL DO PARÁ-PA</t>
  </si>
  <si>
    <t>APS SÃO MIGUEL DO GUAMÁ</t>
  </si>
  <si>
    <t>RUA INÁCIO NETO, S/N°, B: VILA NOVA - SÃO MIGUEL DO GUAMÁ-PA</t>
  </si>
  <si>
    <t>APS SÃO SEBASTIÃO DA BOA VISTA</t>
  </si>
  <si>
    <t>AV. DA BOA VISTA DO CACOAL, S/Nº, B: AEROPORTO - SÃO SEBASTIÃO DA BOA VISTA-PA</t>
  </si>
  <si>
    <t>APS VIGIA DE NAZARÉ</t>
  </si>
  <si>
    <t>RODOVIA PA 412, KM 2 , S/Nº, B: SIQUEIRA - VIGIA-PA</t>
  </si>
  <si>
    <t>APS VISEU</t>
  </si>
  <si>
    <t>AV. JUSTO CHERMONT, S/Nº, CENTRO - VISEU-PA</t>
  </si>
  <si>
    <t>APS NOVO REPARTIMENTO</t>
  </si>
  <si>
    <t>RUA BELÉM, S/Nº -QUADRA 20 -LOTES 21, 22 e 23, B: VILA TUCURUÍ - NOVO REPARTIMENTO-PA</t>
  </si>
  <si>
    <t>GEX MARABÁ</t>
  </si>
  <si>
    <t>FOLHA 32, QUADRA 19, B: NOVA MARABÁ - MARABÁ-PA</t>
  </si>
  <si>
    <t>APS MARABA</t>
  </si>
  <si>
    <t>RUA ACROPOLIS DO AMAPÁ, S/Nº, B: CIDADE NOVA - MARABÁ-PA</t>
  </si>
  <si>
    <t>APS PARAUAPEBAS</t>
  </si>
  <si>
    <t>LOTEAMENTO RES. JARDIM CANADÁ, AV. A - QUADRA 93 -LOTES 01, 02, 03, 04, 05, 06 E 20, CENTRO - PARAUAPEBAS-PA</t>
  </si>
  <si>
    <t>APS TUCURUÍ</t>
  </si>
  <si>
    <t>AV. SETE DE SETEMBRO, S/Nº, CENTRO - TUCURUÍ-PA</t>
  </si>
  <si>
    <t>APS GOIANESIA DO PARÁ</t>
  </si>
  <si>
    <t>RUA DA PAZ S/Nº, B: ALTO BONITO - GOIANÉSIA DO PARÁ-PA</t>
  </si>
  <si>
    <t>APS SÃO GERALDO DO ARAGUAIA</t>
  </si>
  <si>
    <t>TRAVESSA ADMINISTRATIVA, S/Nº, B: SÃO GERALDO DO ARAGUAIA - SÃO GERALDO DO ARAGUAIA-PA</t>
  </si>
  <si>
    <t>APS XINGUARA</t>
  </si>
  <si>
    <t>RUA PEDRO ALVARES CABRAL, QUADRA 16, S/Nº, B: SETOR SELECTA - XINGUARA-PA</t>
  </si>
  <si>
    <t>APS JACUNDÁ</t>
  </si>
  <si>
    <t>RUA 15 DE NOVEMBRO, Nº , B: JUSCELINO KUBITCHECK - JACUNDÁ-PA</t>
  </si>
  <si>
    <t>APS OURILANDIA DO NORTE</t>
  </si>
  <si>
    <t>RUA KAIAPÓ, SETOR 03, QUADRA 09, Nº 11 E 12, B: NOVO HORIZONTE - OURILÂNDIA DO NORTE-PA</t>
  </si>
  <si>
    <t>APS TAILANDIA</t>
  </si>
  <si>
    <t>RUA EMATER, Nº 16, B: PAGANINI - TAILÂNDIA-PA</t>
  </si>
  <si>
    <t>APS CONCEIÇÃO DO ARAGUAIA</t>
  </si>
  <si>
    <t>AV. JUSCELINO KUBITSCHEK, Nº 2650, CENTRO - CONCEIÇÃO DO ARAGUAIA-PA</t>
  </si>
  <si>
    <t>APS REDENÇÃO</t>
  </si>
  <si>
    <t>RUA ENGENHEIRO LUIZ ESTEVÃO, S/Nº, B: ADEMAR GUIMARAES - REDENÇÃO-PA</t>
  </si>
  <si>
    <t>APS RONDOM DO PARÁ</t>
  </si>
  <si>
    <t>RUA RIO GRANDE DO SUL, S/Nº, CENTRO - RONDON DO PARÁ-PA</t>
  </si>
  <si>
    <t>SANTANA DO ARAGUAIA</t>
  </si>
  <si>
    <t>AVENIDA HENRIQUE VITA, S/N°, B: RODOVIÁRIO - SANTANA DO ARAGUAIA-PA</t>
  </si>
  <si>
    <t>APS SÃO FELIX DO XINGU</t>
  </si>
  <si>
    <t>AV. GOIÁS, LOTE 02, QUADRA 239, S/Nº, CENTRO - SÃO FÉLIX DO XINGU-PA</t>
  </si>
  <si>
    <t>APS/GEX SANTARÉM</t>
  </si>
  <si>
    <t>RUA FLORIANO PEIXOTO, Nº 383, CENTRO - SANTARÉM-PA</t>
  </si>
  <si>
    <t>APS NOVO PROGRESSO</t>
  </si>
  <si>
    <t>RUA ITAITUBA, QUADRA 143, LOTES 7/8, SETOR 14, B: BELA VISTA - NOVO PROGRESSO-PA</t>
  </si>
  <si>
    <t>APS ITAITUBA</t>
  </si>
  <si>
    <t>AV MARECHAL RONDON, S/Nº, B: AEROPORTO VELHO - ITAITUBA-PA</t>
  </si>
  <si>
    <t>ARQUIVO SETORIAL ITAITUBA</t>
  </si>
  <si>
    <t>APS ALENQUER</t>
  </si>
  <si>
    <t>RUA DR. PEDRO VICENTE, S/Nº, CENTRO - ALENQUER-PA</t>
  </si>
  <si>
    <t>APS ALTAMIRA</t>
  </si>
  <si>
    <t>AV. BRIGADEIRO EDUARDO GOMES, S/Nº, B: ESPLANADA DO XINGU - ALTAMIRA-PA</t>
  </si>
  <si>
    <t>APS MONTE ALEGRE</t>
  </si>
  <si>
    <t>AV. NILO PEÇANHA, S/Nº, B: TERRA AMARELA - MONTE ALEGRE-PA</t>
  </si>
  <si>
    <t>APS URUARÁ</t>
  </si>
  <si>
    <t>AV. FRANCISCO MILANSKI, QUADRA 109, LOTE 02, S/N°, CENTRO - URUARÁ-PA</t>
  </si>
  <si>
    <t>APS PORTO DE MOZ</t>
  </si>
  <si>
    <t>TRAVESSA DUQUE DE CAXIAS, S/Nº, B: CABANAGEM - PORTO DE MOZ-PA</t>
  </si>
  <si>
    <t>APS ANAJÁS</t>
  </si>
  <si>
    <t xml:space="preserve">ABRACADEIRA EM ACO PARA AMARRACAO DE ELETRODUTOS, TIPO D, COM 1/2" E PARAFUSO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</si>
  <si>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</si>
  <si>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 xml:space="preserve">ADAPTADOR PVC SOLDAVEL, COM FLANGE E ANEL DE VEDACAO, 32 MM X 1", PARA CAIXA D'AGUA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</si>
  <si>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ADAPTADOR PVC SOLDAVEL, LONGO, COM FLANGE LIVRE,  32 MM X 1", PARA CAIXA D' 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</si>
  <si>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ADESIVO PLASTICO PARA PVC, FRASCO COM *850* GR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</si>
  <si>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ADESIVO PLASTICO PARA PVC, FRASCO COM 175 GR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</si>
  <si>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100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</si>
  <si>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50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</si>
  <si>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75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</si>
  <si>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BORRACHA, DN 100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</si>
  <si>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BORRACHA, DN 75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</si>
  <si>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AUTOMATICO DE BOIA SUPERIOR / INFERIOR, *15* A / 250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</si>
  <si>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BUCHA DE NYLON SEM ABA S6, COM PARAFUSO DE 4,20 X 40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</si>
  <si>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 NU 50 MM2 MEIO-DURO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</si>
  <si>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</si>
  <si>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</si>
  <si>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50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</si>
  <si>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95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</si>
  <si>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</si>
  <si>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</si>
  <si>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4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</si>
  <si>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50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</si>
  <si>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</si>
  <si>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REDE, PAR TRANCADO UTP, 4 PARES, CATEGORIA 6 (CAT 6), ISOLAMENTO PVC (LSZH)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</si>
  <si>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2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</si>
  <si>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4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</si>
  <si>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6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</si>
  <si>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CI 50, 10 PARES, USO INTERNO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</si>
  <si>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CI 50, 50 PARES, USO INTERNO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</si>
  <si>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 PVC, SOLDAVEL, DN 50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</si>
  <si>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 PVC, SOLDAVEL, DN 75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</si>
  <si>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C, PARA ELETRODUTO ROSCAVEL DE 3/4",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</si>
  <si>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T,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</si>
  <si>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EM PVC, TIPO "LB", SEM TAMPA, DE 1/2" OU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</si>
  <si>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EM PVC, TIPO "LL", SEM TAMPA, DE 1/2" OU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</si>
  <si>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CONECTOR / TOMADA FEMEA RJ 45, CATEGORIA 6 (CAT 6) PARA CABOS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</si>
  <si>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CONECTOR MACHO RJ 45, CATEGORIA 6 (CAT 6) PARA CABOS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</si>
  <si>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TRIPOLAR 200 A / 600 V, TIPO FXD / ICC - 35 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</si>
  <si>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DIN / IEC, MONOPOLAR DE 40  ATE 50A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</si>
  <si>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DIN/IEC, MONOPOLAR DE 6  ATE  32A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</si>
  <si>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NEMA, BIPOLAR 10  ATE  50 A, TENSAO MAXIMA 415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</si>
  <si>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NEMA, TRIPOLAR 60 ATE 100 A, TENSAO MAXIMA DE 415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</si>
  <si>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1 1/4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</si>
  <si>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2 1/2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</si>
  <si>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SOLDAVEL, CLASSE B, DE 25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</si>
  <si>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EM ACO GALVANIZADO ELETROLITICO, LEVE, DIAMETRO 3/4", PAREDE DE 0,90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</si>
  <si>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CEGA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</si>
  <si>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CEGA 4" X 4",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</si>
  <si>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DE 3 POSTOS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</si>
  <si>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ADESIVA ASFALTICA ALUMINIZADA MULTIUSO, L = 10 CM, ROLO DE 10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</si>
  <si>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ISOLANTE ADESIVA ANTICHAMA, USO ATE 750 V, EM ROLO DE 19 MM X 5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</si>
  <si>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VEDA ROSCA EM ROLOS DE 18 MM X 10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</si>
  <si>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VEDA ROSCA EM ROLOS DE 18 MM X 25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</si>
  <si>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+ TOMADA 2P+T 10A, 250V, CONJUNTO MONTADO PARA EMBUTIR 4" X 2" (PLACA + SUPORTE + MODULOS)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</si>
  <si>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</si>
  <si>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</si>
  <si>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250V, CONJUNTO MONTADO PARA SOBREPOR 4" X 2" (CAIXA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</si>
  <si>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 COM ROSCA, 90 GRAUS, 25 MM X 3/4",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</si>
  <si>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BB, 45 GRAUS, DN 40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</si>
  <si>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BB, 90 GRAUS, SEM ANEL, DN 40 MM, PARA ESGOTO PREDIAL SECUNDARIO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</si>
  <si>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COM BUCHA DE LATAO, 90 GRAUS, 20 MM X 1/2",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</si>
  <si>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COM BUCHA DE LATAO, 90 GRAUS, 25 MM X 3/4",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</si>
  <si>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45 GRAUS, DN 100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</si>
  <si>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45 GRAUS, DN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</si>
  <si>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100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</si>
  <si>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</si>
  <si>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75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</si>
  <si>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20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</si>
  <si>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25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</si>
  <si>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32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</si>
  <si>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40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</si>
  <si>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JOELHO, PVC SOLDAVEL, 45 GRAUS, 25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</si>
  <si>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JOELHO, PVC SOLDAVEL, 90 GRAUS, 75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</si>
  <si>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 DE REDUCAO, PVC, DN 100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</si>
  <si>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100 X 100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</si>
  <si>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50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</si>
  <si>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FLUORESCENTE COMPACTA 3U BRANCA 20 W, BASE E27 (127/220 V)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</si>
  <si>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FLUORESCENTE TUBULAR T10, DE 20 OU 40 W, BIVOLT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</si>
  <si>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FLUORESCENTE TUBULAR T8 DE 16/18 W, BIVOLT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</si>
  <si>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FLUORESCENTE TUBULAR T8 DE 32/36 W, BIVOLT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</si>
  <si>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TUBULAR BIVOLT 18/20 W, BASE G13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</si>
  <si>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TUBULAR BIVOLT 9/10 W, BASE G13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</si>
  <si>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10 W BIVOLT BRANCA, FORMATO TRADICIONAL (BASE E27)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</si>
  <si>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6 W BIVOLT BRANCA, FORMATO TRADICIONAL (BASE E27)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</si>
  <si>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VAPOR MERCURIO 250 W (BASE E40)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</si>
  <si>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LIXA D'AGUA EM FOLHA, GRAO 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</si>
  <si>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EMERGENCIA 30 LEDS, POTENCIA 2 W, BATERIA DE LITIO, AUTONOMIA DE 6 HORAS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</si>
  <si>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SOBREPOR EM CHAPA DE ACO PARA 1 LAMPADA FLUORESCENTE DE *18* W, ALETADA, COMPLETA (LAMPADA E REATOR INCLUSOS)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</si>
  <si>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SOBREPOR EM CHAPA DE ACO PARA 1 LAMPADA FLUORESCENTE DE *36* W, ALETADA, COMPLETA (LAMPADA E REATOR INCLUSOS)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</si>
  <si>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SOBREPOR EM CHAPA DE ACO PARA 2 LAMPADAS FLUORESCENTES DE *18* W, ALETADA, COMPLETA (LAMPADAS E REATOR INCLUSOS)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</si>
  <si>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SOBREPOR EM CHAPA DE ACO PARA 2 LAMPADAS FLUORESCENTES DE *36* W, ALETADA, COMPLETA (LAMPADAS E REATOR INCLUSOS)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</si>
  <si>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PLAFON REDONDO DE SOBREPOR BIVOLT 12/13 W,  D = *17*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</si>
  <si>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30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</si>
  <si>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</si>
  <si>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TIPO TARTARUGA PARA AREA EXTERNA EM ALUMINIO, COM GRADE, PARA 1 LAMPADA, BASE E27, POTENCIA MAXIMA 40/60 W (NAO INCLUI LAMPADA)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</si>
  <si>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32 MM X 25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</si>
  <si>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40 MM X 32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</si>
  <si>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60 MM X 50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</si>
  <si>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REDUCAO, SOLDAVEL, PVC, 50 X 25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</si>
  <si>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PARA ELETRODUTO, EM ACO GALVANIZADO ELETROLITICO, DIAMETRO DE 20 MM (3/4")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</si>
  <si>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SOLDAVEL COM ROSCA, PVC, 25 MM X 3/4",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</si>
  <si>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DE ACO ZINCADO COM ROSCA SOBERBA, CABECA CHATA E FENDA SIMPLES, DIAMETRO 4,8 MM, COMPRIMENTO 45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</si>
  <si>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PASTA LUBRIFICANTE PARA TUBOS E CONEXOES COM JUNTA ELASTICA, EMBALAGEM DE *400* GR (USO EM PVC, ACO, POLIETILENO E OUTROS)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</si>
  <si>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PATCH CORD (CABO DE REDE), CATEGORIA 6 (CAT 6) UTP, 23 AWG, 4 PARES, EXTENSAO DE 2,50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</si>
  <si>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REATOR ELETRONICO BIVOLT PARA 1 LAMPADA FLUORESCENTE DE 18/20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</si>
  <si>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REATOR ELETRONICO BIVOLT PARA 1 LAMPADA FLUORESCENTE DE 36/40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</si>
  <si>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REATOR ELETRONICO BIVOLT PARA 2 LAMPADAS FLUORESCENTES DE 18/20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</si>
  <si>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REATOR ELETRONICO BIVOLT PARA 2 LAMPADAS FLUORESCENTES DE 36/40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</si>
  <si>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REATOR INTERNO/INTEGRADO PARA LAMPADA VAPOR METALICO 400 W, ALTO FATOR DE POTENCIA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</si>
  <si>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REATOR P/ 1 LAMPADA VAPOR DE MERCURIO 250W USO EXT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</si>
  <si>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REDUCAO EXCENTRICA PVC, SERIE R, DN 75 X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</si>
  <si>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REFLETOR REDONDO EM ALUMINIO ANODIZADO PARA LAMPADA VAPOR DE MERCURIO/SODIO, CORPO EM ALUMINIO COM PINTURA EPOXI, PARA LAMPADA E-27 DE 300 W, COM SUPORTE REDONDO E ALCA REGULAVEL PARA FIXACAO.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</si>
  <si>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SIFAO EM METAL CROMADO PARA PIA OU LAVATORIO, 1 X 1.1/2 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</si>
  <si>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SOLUCAO PREPARADORA / LIMPADORA PARA PVC, FRASCO COM 1000 CM3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</si>
  <si>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SOQUETE DE BAQUELITE BASE E27, PARA LAMPADAS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</si>
  <si>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SUPORTE DE FIXACAO PARA ESPELHO / PLACA 4" X 2", PARA 3 MODULOS, PARA INSTALACAO DE TOMADAS E INTERRUPTORES (SOMENTE SUPORTE)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</si>
  <si>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SUPORTE ISOLADOR REFORCADO DIAMETRO NOMINAL 5/16", COM ROSCA SOBERBA E BUCHA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</si>
  <si>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DE REDUCAO, PVC, SOLDAVEL, 90 GRAUS, 40 MM X 32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</si>
  <si>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PVC, SOLDAVEL, COM BUCHA DE LATAO NA BOLSA CENTRAL, 90 GRAUS, 20 MM X 1/2",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</si>
  <si>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100 X 100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</si>
  <si>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50 X 50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</si>
  <si>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75 X 75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</si>
  <si>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20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</si>
  <si>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25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</si>
  <si>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32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</si>
  <si>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40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</si>
  <si>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60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</si>
  <si>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75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</si>
  <si>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TE, PVC, SERIE R, 100 X 75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</si>
  <si>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10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</si>
  <si>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16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</si>
  <si>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2,5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</si>
  <si>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25 MM2, 1 FURO E 1 COMPRESSAO, PARA PARAFUSO DE FIXACAO M8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</si>
  <si>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4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</si>
  <si>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</si>
  <si>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95 MM2, 1 FURO E 1 COMPRESSAO, PARA PARAFUSO DE FIXACAO M12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</si>
  <si>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METALICO A PRESSAO PARA 1 CABO DE 25 MM2, COM 1 FURO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</si>
  <si>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RJ11, 2 FIOS,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</si>
  <si>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RJ45, 8 FIOS, CAT 5E,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</si>
  <si>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 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</si>
  <si>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</si>
  <si>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250V, CONJUNTO MONTADO PARA SOBREPOR 4" X 2" (CAIXA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</si>
  <si>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20A, 250V 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</si>
  <si>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 SERIE NORMAL, DN 100 MM, PARA ESGOTO 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</si>
  <si>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 SERIE NORMAL, DN 40 MM, PARA ESGOTO 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</si>
  <si>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50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</si>
  <si>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75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</si>
  <si>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SERIE R, DN 100 MM, PARA ESGOTO OU AGUAS PLUVIAIS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</si>
  <si>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20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</si>
  <si>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25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</si>
  <si>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32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</si>
  <si>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40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</si>
  <si>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60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</si>
  <si>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85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</si>
  <si>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/>
  </si>
  <si>
    <t>RECARGA DE EXTINTOR DE INCÊNDIO ÁGUA PRESSURIZADA 10 LITROS NBR 11715</t>
  </si>
  <si>
    <t xml:space="preserve">UN </t>
  </si>
  <si>
    <t>RECARGA DE EXTINTOR DE INCÊNDIO ÁGUA PRESSURIZADA 12 LITROS NBR 11715</t>
  </si>
  <si>
    <t>RECARGA DE EXTINTOR DE INCÊNDIO PÓ QUÍMICO SECO 4 Kg (BC) NBR 11716</t>
  </si>
  <si>
    <t>RECARGA DE EXTINTOR DE INCÊNDIO PÓ QUÍMICO SECO 6 Kg (BC) NBR 11716</t>
  </si>
  <si>
    <t>RECARGA DE EXTINTOR DE INCÊNDIO PÓ QUÍMICO SECO 8 Kg (BC) NBR 11716</t>
  </si>
  <si>
    <t>RECARGA DE EXTINTOR DE INCÊNDIO PÓ QUÍMICO SECO 10 Kg (BC) NBR 11716</t>
  </si>
  <si>
    <t>RECARGA DE EXTINTOR DE INCÊNDIO PÓ QUÍMICO SECO 12 Kg (BC) NBR 11716</t>
  </si>
  <si>
    <t>RECARGA DE EXTINTOR DE INCÊNDIO PÓ QUÍMICO SECO 4 Kg (ABC) NBR 11716</t>
  </si>
  <si>
    <t>RECARGA DE EXTINTOR DE INCÊNDIO PÓ QUÍMICO SECO 6 Kg (ABC) NBR 11716</t>
  </si>
  <si>
    <t>RECARGA DE EXTINTOR DE INCÊNDIO PÓ QUÍMICO SECO 8 Kg (ABC) NBR 11716</t>
  </si>
  <si>
    <t>RECARGA DE EXTINTOR DE INCÊNDIO PÓ QUÍMICO SECO 10 Kg (ABC) NBR 11716</t>
  </si>
  <si>
    <t>RECARGA DE EXTINTOR DE INCÊNDIO PÓ QUÍMICO SECO 12 Kg (ABC) NBR 11716</t>
  </si>
  <si>
    <t>RECARGA DE EXTINTOR DE INCÊNDIO DIÓXIDO DE CARBONO (CO2) 4 Kg NBR 11716</t>
  </si>
  <si>
    <t>RECARGA DE EXTINTOR DE INCÊNDIO DIÓXIDO DE CARBONO (CO2) 6 Kg NBR 11716</t>
  </si>
  <si>
    <t xml:space="preserve">SUGESTÃO DE ISS (PONDERADO)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</si>
</sst>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[$R$-416]\ #,##0.00;[Red]\-[$R$-416]\ #,##0.00"/>
    <numFmt numFmtId="167" formatCode="[$R$-416]\ #,##0.00;[Red][$R$-416]\ #,##0.00"/>
    <numFmt numFmtId="168" formatCode="_-&quot;R$ &quot;* #,##0.0000_-;&quot;-R$ &quot;* #,##0.0000_-;_-&quot;R$ &quot;* \-??_-;_-@_-"/>
    <numFmt numFmtId="169" formatCode="_-&quot;R$&quot;* #,##0.00_-;&quot;-R$&quot;* #,##0.00_-;_-&quot;R$&quot;* \-??_-;_-@_-"/>
    <numFmt numFmtId="170" formatCode="&quot;R$&quot;#,##0.00;[Red]&quot;-R$&quot;#,##0.00"/>
    <numFmt numFmtId="171" formatCode="d/mmm"/>
    <numFmt numFmtId="172" formatCode="0.0000"/>
    <numFmt numFmtId="173" formatCode="0&quot; h&quot;"/>
    <numFmt numFmtId="174" formatCode="0&quot; diária(s)&quot;"/>
    <numFmt numFmtId="175" formatCode="0.0%"/>
    <numFmt numFmtId="176" formatCode="&quot;R$&quot;\ #,##0.00"/>
    <numFmt numFmtId="177" formatCode="_-[$R$-416]\ * #,##0.00_-;\-[$R$-416]\ * #,##0.00_-;_-[$R$-416]\ * &quot;-&quot;??_-;_-@_-"/>
  </numFmts>
  <fonts count="40" x14ac:knownFonts="1">
    <font>
      <sz val="11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C9211E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C9211E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color rgb="FFC55A11"/>
      <name val="Times New Roman"/>
      <family val="1"/>
      <charset val="1"/>
    </font>
    <font>
      <sz val="8"/>
      <color rgb="FFC55A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8"/>
      <color rgb="FF7030A0"/>
      <name val="Arial"/>
      <family val="2"/>
      <charset val="1"/>
    </font>
    <font>
      <sz val="8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A0A0A0"/>
      <name val="Arial"/>
      <family val="2"/>
      <charset val="1"/>
    </font>
    <font>
      <b/>
      <sz val="12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333399"/>
        <bgColor rgb="FF043363"/>
      </patternFill>
    </fill>
    <fill>
      <patternFill patternType="solid">
        <fgColor rgb="FFBFBFBF"/>
        <bgColor rgb="FFC0C0C0"/>
      </patternFill>
    </fill>
    <fill>
      <patternFill patternType="solid">
        <fgColor rgb="FFDAE3F3"/>
        <bgColor rgb="FFDDEBF7"/>
      </patternFill>
    </fill>
    <fill>
      <patternFill patternType="solid">
        <fgColor rgb="FFB2B2B2"/>
        <bgColor rgb="FFA6A6A6"/>
      </patternFill>
    </fill>
    <fill>
      <patternFill patternType="solid">
        <fgColor rgb="FFD9D9D9"/>
        <bgColor rgb="FFDDDDDD"/>
      </patternFill>
    </fill>
    <fill>
      <patternFill patternType="solid">
        <fgColor rgb="FFFFFF00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FFFFFF"/>
        <bgColor rgb="FFFFFFCC"/>
      </patternFill>
    </fill>
    <fill>
      <patternFill patternType="solid">
        <fgColor rgb="FF2E75B6"/>
        <bgColor rgb="FF4472C4"/>
      </patternFill>
    </fill>
    <fill>
      <patternFill patternType="solid">
        <fgColor rgb="FF00B0F0"/>
        <bgColor rgb="FF2E75B6"/>
      </patternFill>
    </fill>
    <fill>
      <patternFill patternType="solid">
        <fgColor rgb="FFD6DCE5"/>
        <bgColor rgb="FFDDDDDD"/>
      </patternFill>
    </fill>
    <fill>
      <patternFill patternType="solid">
        <fgColor rgb="FFDEEBF7"/>
        <bgColor rgb="FFDDEBF7"/>
      </patternFill>
    </fill>
    <fill>
      <patternFill patternType="solid">
        <fgColor rgb="FFCCCCCC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A6A6"/>
        <bgColor rgb="FFF4B183"/>
      </patternFill>
    </fill>
    <fill>
      <patternFill patternType="solid">
        <fgColor rgb="FFB4C7DD"/>
        <bgColor rgb="FFC0C0C0"/>
      </patternFill>
    </fill>
    <fill>
      <patternFill patternType="solid">
        <fgColor rgb="FF8FAADC"/>
        <bgColor rgb="FFA6A6A6"/>
      </patternFill>
    </fill>
    <fill>
      <patternFill patternType="solid">
        <fgColor rgb="FFE2F0D9"/>
        <bgColor rgb="FFDDE8CB"/>
      </patternFill>
    </fill>
    <fill>
      <patternFill patternType="solid">
        <fgColor rgb="FFBDD7EE"/>
        <bgColor rgb="FFB4C7DD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79998168889431442"/>
        <bgColor rgb="FFFFFFCC"/>
      </patternFill>
    </fill>
    <fill>
      <patternFill patternType="solid">
        <fgColor rgb="FFB4B4B4"/>
        <bgColor indexed="64"/>
      </patternFill>
    </fill>
    <fill>
      <patternFill patternType="solid">
        <fgColor rgb="FFB4B4B4"/>
        <bgColor rgb="FFC0C0C0"/>
      </patternFill>
    </fill>
    <fill>
      <patternFill patternType="solid">
        <fgColor theme="8" tint="0.59999389629810485"/>
        <bgColor rgb="FFFFFFCC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5" fontId="22" fillId="0" borderId="0" applyBorder="0" applyProtection="0"/>
    <xf numFmtId="164" fontId="22" fillId="0" borderId="0" applyBorder="0" applyProtection="0"/>
    <xf numFmtId="9" fontId="22" fillId="0" borderId="0" applyBorder="0" applyProtection="0"/>
    <xf numFmtId="0" fontId="5" fillId="3" borderId="0" applyBorder="0" applyProtection="0"/>
    <xf numFmtId="0" fontId="1" fillId="0" borderId="0"/>
    <xf numFmtId="44" fontId="1" fillId="0" borderId="0" applyFont="0" applyFill="0" applyBorder="0" applyAlignment="0" applyProtection="0"/>
  </cellStyleXfs>
  <cellXfs count="405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right"/>
    </xf>
    <xf numFmtId="165" fontId="7" fillId="0" borderId="3" xfId="0" applyNumberFormat="1" applyFont="1" applyBorder="1"/>
    <xf numFmtId="165" fontId="7" fillId="0" borderId="0" xfId="1" applyFont="1" applyBorder="1" applyAlignment="1" applyProtection="1">
      <alignment horizontal="center"/>
    </xf>
    <xf numFmtId="164" fontId="10" fillId="5" borderId="2" xfId="2" applyFont="1" applyFill="1" applyBorder="1" applyAlignment="1" applyProtection="1">
      <alignment horizontal="right"/>
    </xf>
    <xf numFmtId="168" fontId="10" fillId="5" borderId="3" xfId="0" applyNumberFormat="1" applyFont="1" applyFill="1" applyBorder="1"/>
    <xf numFmtId="164" fontId="7" fillId="0" borderId="0" xfId="0" applyNumberFormat="1" applyFont="1"/>
    <xf numFmtId="169" fontId="7" fillId="0" borderId="0" xfId="0" applyNumberFormat="1" applyFont="1"/>
    <xf numFmtId="169" fontId="7" fillId="0" borderId="4" xfId="0" applyNumberFormat="1" applyFont="1" applyBorder="1"/>
    <xf numFmtId="0" fontId="11" fillId="0" borderId="5" xfId="0" applyFont="1" applyBorder="1"/>
    <xf numFmtId="169" fontId="7" fillId="0" borderId="6" xfId="0" applyNumberFormat="1" applyFont="1" applyBorder="1"/>
    <xf numFmtId="0" fontId="7" fillId="0" borderId="7" xfId="0" applyFont="1" applyBorder="1"/>
    <xf numFmtId="170" fontId="7" fillId="0" borderId="6" xfId="2" applyNumberFormat="1" applyFont="1" applyBorder="1" applyAlignment="1" applyProtection="1">
      <alignment horizontal="right"/>
    </xf>
    <xf numFmtId="0" fontId="7" fillId="0" borderId="6" xfId="0" applyFont="1" applyBorder="1"/>
    <xf numFmtId="164" fontId="7" fillId="0" borderId="7" xfId="0" applyNumberFormat="1" applyFont="1" applyBorder="1"/>
    <xf numFmtId="0" fontId="7" fillId="0" borderId="8" xfId="0" applyFont="1" applyBorder="1"/>
    <xf numFmtId="10" fontId="7" fillId="0" borderId="9" xfId="3" applyNumberFormat="1" applyFont="1" applyBorder="1" applyProtection="1"/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justify" vertical="center" wrapText="1"/>
    </xf>
    <xf numFmtId="0" fontId="12" fillId="7" borderId="1" xfId="0" applyFont="1" applyFill="1" applyBorder="1" applyAlignment="1">
      <alignment vertical="center"/>
    </xf>
    <xf numFmtId="166" fontId="12" fillId="7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justify" vertical="center" wrapText="1"/>
    </xf>
    <xf numFmtId="4" fontId="10" fillId="7" borderId="1" xfId="0" applyNumberFormat="1" applyFont="1" applyFill="1" applyBorder="1" applyAlignment="1" applyProtection="1">
      <alignment horizontal="center" vertical="center"/>
      <protection locked="0"/>
    </xf>
    <xf numFmtId="166" fontId="10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6" fontId="10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justify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166" fontId="12" fillId="11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10" fillId="12" borderId="1" xfId="0" applyFont="1" applyFill="1" applyBorder="1" applyAlignment="1">
      <alignment horizontal="center" vertical="center" wrapText="1"/>
    </xf>
    <xf numFmtId="10" fontId="10" fillId="12" borderId="1" xfId="0" applyNumberFormat="1" applyFont="1" applyFill="1" applyBorder="1" applyAlignment="1">
      <alignment horizontal="center" vertical="center" wrapText="1"/>
    </xf>
    <xf numFmtId="166" fontId="12" fillId="1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6" fontId="11" fillId="13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/>
    <xf numFmtId="10" fontId="15" fillId="0" borderId="1" xfId="0" applyNumberFormat="1" applyFont="1" applyBorder="1" applyAlignment="1" applyProtection="1">
      <alignment horizontal="center" vertical="center" wrapText="1"/>
      <protection locked="0"/>
    </xf>
    <xf numFmtId="10" fontId="16" fillId="0" borderId="1" xfId="0" applyNumberFormat="1" applyFont="1" applyBorder="1" applyAlignment="1" applyProtection="1">
      <alignment horizontal="center" vertical="center" wrapText="1"/>
      <protection locked="0"/>
    </xf>
    <xf numFmtId="10" fontId="10" fillId="11" borderId="1" xfId="0" applyNumberFormat="1" applyFont="1" applyFill="1" applyBorder="1" applyAlignment="1">
      <alignment horizontal="center" vertical="center" wrapText="1"/>
    </xf>
    <xf numFmtId="10" fontId="17" fillId="0" borderId="1" xfId="3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2" fontId="11" fillId="5" borderId="1" xfId="2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justify" vertical="center" wrapText="1"/>
    </xf>
    <xf numFmtId="10" fontId="7" fillId="11" borderId="1" xfId="0" applyNumberFormat="1" applyFont="1" applyFill="1" applyBorder="1" applyAlignment="1">
      <alignment horizontal="center" vertical="center" wrapText="1"/>
    </xf>
    <xf numFmtId="166" fontId="11" fillId="11" borderId="1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166" fontId="11" fillId="14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72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1" xfId="1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4" borderId="1" xfId="0" applyFont="1" applyFill="1" applyBorder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12" fillId="15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0" fontId="11" fillId="14" borderId="1" xfId="0" applyFont="1" applyFill="1" applyBorder="1" applyAlignment="1">
      <alignment horizontal="justify" vertical="center" wrapText="1"/>
    </xf>
    <xf numFmtId="0" fontId="11" fillId="14" borderId="2" xfId="0" applyFont="1" applyFill="1" applyBorder="1" applyAlignment="1">
      <alignment horizontal="center" vertical="center" wrapText="1"/>
    </xf>
    <xf numFmtId="4" fontId="4" fillId="14" borderId="3" xfId="4" applyNumberFormat="1" applyFont="1" applyFill="1" applyBorder="1" applyAlignment="1">
      <alignment horizontal="center" vertical="center"/>
    </xf>
    <xf numFmtId="166" fontId="11" fillId="14" borderId="1" xfId="0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166" fontId="12" fillId="0" borderId="0" xfId="0" applyNumberFormat="1" applyFont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7" fillId="14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justify" vertical="center" wrapText="1"/>
    </xf>
    <xf numFmtId="10" fontId="10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justify" vertical="center" wrapText="1"/>
    </xf>
    <xf numFmtId="10" fontId="7" fillId="10" borderId="1" xfId="0" applyNumberFormat="1" applyFont="1" applyFill="1" applyBorder="1" applyAlignment="1" applyProtection="1">
      <alignment horizontal="center" vertical="center"/>
      <protection locked="0"/>
    </xf>
    <xf numFmtId="0" fontId="10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justify" vertical="center" wrapText="1"/>
    </xf>
    <xf numFmtId="10" fontId="10" fillId="10" borderId="1" xfId="0" applyNumberFormat="1" applyFont="1" applyFill="1" applyBorder="1" applyAlignment="1" applyProtection="1">
      <alignment horizontal="center" vertical="center"/>
      <protection locked="0"/>
    </xf>
    <xf numFmtId="0" fontId="10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justify" vertical="center" wrapText="1"/>
    </xf>
    <xf numFmtId="10" fontId="10" fillId="19" borderId="1" xfId="0" applyNumberFormat="1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justify" vertical="center" wrapText="1"/>
    </xf>
    <xf numFmtId="10" fontId="7" fillId="10" borderId="1" xfId="0" applyNumberFormat="1" applyFont="1" applyFill="1" applyBorder="1" applyAlignment="1">
      <alignment horizontal="center" vertical="center"/>
    </xf>
    <xf numFmtId="10" fontId="7" fillId="14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75" fontId="7" fillId="0" borderId="0" xfId="0" applyNumberFormat="1" applyFont="1" applyAlignment="1">
      <alignment horizontal="center" vertical="center" wrapText="1"/>
    </xf>
    <xf numFmtId="175" fontId="10" fillId="15" borderId="1" xfId="0" applyNumberFormat="1" applyFont="1" applyFill="1" applyBorder="1" applyAlignment="1">
      <alignment horizontal="center" vertical="center" wrapText="1"/>
    </xf>
    <xf numFmtId="175" fontId="7" fillId="0" borderId="1" xfId="3" applyNumberFormat="1" applyFont="1" applyBorder="1" applyAlignment="1" applyProtection="1">
      <alignment horizontal="center" vertical="center" wrapText="1"/>
      <protection locked="0"/>
    </xf>
    <xf numFmtId="2" fontId="10" fillId="15" borderId="1" xfId="0" applyNumberFormat="1" applyFont="1" applyFill="1" applyBorder="1" applyAlignment="1">
      <alignment horizontal="center" vertical="center" wrapText="1"/>
    </xf>
    <xf numFmtId="175" fontId="10" fillId="15" borderId="12" xfId="0" applyNumberFormat="1" applyFont="1" applyFill="1" applyBorder="1" applyAlignment="1">
      <alignment horizontal="center" vertical="center" wrapText="1"/>
    </xf>
    <xf numFmtId="10" fontId="10" fillId="15" borderId="12" xfId="3" applyNumberFormat="1" applyFont="1" applyFill="1" applyBorder="1" applyAlignment="1" applyProtection="1">
      <alignment horizontal="center" vertical="center" wrapText="1"/>
    </xf>
    <xf numFmtId="175" fontId="7" fillId="0" borderId="1" xfId="0" applyNumberFormat="1" applyFont="1" applyBorder="1" applyAlignment="1">
      <alignment horizontal="center" vertical="center" wrapText="1"/>
    </xf>
    <xf numFmtId="175" fontId="10" fillId="20" borderId="1" xfId="0" applyNumberFormat="1" applyFont="1" applyFill="1" applyBorder="1" applyAlignment="1">
      <alignment horizontal="center" vertical="center" wrapText="1"/>
    </xf>
    <xf numFmtId="10" fontId="10" fillId="20" borderId="1" xfId="3" applyNumberFormat="1" applyFont="1" applyFill="1" applyBorder="1" applyAlignment="1" applyProtection="1">
      <alignment horizontal="center" vertical="center" wrapText="1"/>
    </xf>
    <xf numFmtId="165" fontId="7" fillId="0" borderId="2" xfId="1" applyFont="1" applyBorder="1" applyAlignment="1" applyProtection="1">
      <alignment horizontal="center" vertical="center" wrapText="1"/>
    </xf>
    <xf numFmtId="175" fontId="7" fillId="0" borderId="12" xfId="3" applyNumberFormat="1" applyFont="1" applyBorder="1" applyAlignment="1" applyProtection="1">
      <alignment horizontal="center" vertical="center" wrapText="1"/>
    </xf>
    <xf numFmtId="0" fontId="10" fillId="21" borderId="3" xfId="0" applyFont="1" applyFill="1" applyBorder="1" applyAlignment="1">
      <alignment horizontal="center" vertical="center" wrapText="1"/>
    </xf>
    <xf numFmtId="165" fontId="10" fillId="21" borderId="2" xfId="0" applyNumberFormat="1" applyFont="1" applyFill="1" applyBorder="1" applyAlignment="1">
      <alignment horizontal="center" vertical="center" wrapText="1"/>
    </xf>
    <xf numFmtId="10" fontId="10" fillId="21" borderId="1" xfId="3" applyNumberFormat="1" applyFont="1" applyFill="1" applyBorder="1" applyAlignment="1" applyProtection="1">
      <alignment horizontal="center" vertical="center" wrapText="1"/>
    </xf>
    <xf numFmtId="165" fontId="10" fillId="22" borderId="2" xfId="0" applyNumberFormat="1" applyFont="1" applyFill="1" applyBorder="1" applyAlignment="1">
      <alignment horizontal="center" vertical="center" wrapText="1"/>
    </xf>
    <xf numFmtId="175" fontId="10" fillId="22" borderId="1" xfId="3" applyNumberFormat="1" applyFont="1" applyFill="1" applyBorder="1" applyAlignment="1" applyProtection="1">
      <alignment horizontal="center" vertical="center" wrapText="1"/>
    </xf>
    <xf numFmtId="165" fontId="10" fillId="16" borderId="2" xfId="0" applyNumberFormat="1" applyFont="1" applyFill="1" applyBorder="1" applyAlignment="1">
      <alignment horizontal="center" vertical="center" wrapText="1"/>
    </xf>
    <xf numFmtId="9" fontId="10" fillId="16" borderId="11" xfId="3" applyFont="1" applyFill="1" applyBorder="1" applyAlignment="1" applyProtection="1">
      <alignment horizontal="center" vertical="center" wrapText="1"/>
    </xf>
    <xf numFmtId="10" fontId="7" fillId="14" borderId="1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6" fillId="27" borderId="17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7" borderId="16" xfId="0" applyFont="1" applyFill="1" applyBorder="1" applyAlignment="1">
      <alignment horizontal="left" vertical="center" wrapText="1"/>
    </xf>
    <xf numFmtId="0" fontId="10" fillId="7" borderId="16" xfId="0" applyFont="1" applyFill="1" applyBorder="1" applyAlignment="1">
      <alignment horizontal="left" vertical="center"/>
    </xf>
    <xf numFmtId="0" fontId="11" fillId="6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6" borderId="1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7" fillId="25" borderId="0" xfId="0" applyFont="1" applyFill="1" applyAlignment="1">
      <alignment horizontal="center" vertical="center" wrapText="1"/>
    </xf>
    <xf numFmtId="0" fontId="0" fillId="25" borderId="0" xfId="0" applyFill="1"/>
    <xf numFmtId="0" fontId="10" fillId="25" borderId="0" xfId="0" applyFont="1" applyFill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77" fontId="0" fillId="0" borderId="16" xfId="0" applyNumberFormat="1" applyBorder="1" applyAlignment="1">
      <alignment horizontal="right" vertical="center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171" fontId="7" fillId="8" borderId="0" xfId="0" applyNumberFormat="1" applyFont="1" applyFill="1" applyAlignment="1">
      <alignment horizontal="center" vertical="center"/>
    </xf>
    <xf numFmtId="0" fontId="28" fillId="0" borderId="9" xfId="5" applyFont="1" applyBorder="1" applyAlignment="1">
      <alignment vertical="center"/>
    </xf>
    <xf numFmtId="0" fontId="29" fillId="30" borderId="1" xfId="5" applyFont="1" applyFill="1" applyBorder="1" applyAlignment="1">
      <alignment horizontal="center" vertical="center" wrapText="1"/>
    </xf>
    <xf numFmtId="0" fontId="29" fillId="30" borderId="1" xfId="5" applyFont="1" applyFill="1" applyBorder="1" applyAlignment="1">
      <alignment vertical="center" wrapText="1"/>
    </xf>
    <xf numFmtId="0" fontId="29" fillId="30" borderId="1" xfId="0" applyFont="1" applyFill="1" applyBorder="1" applyAlignment="1">
      <alignment horizontal="center" vertical="center" wrapText="1"/>
    </xf>
    <xf numFmtId="0" fontId="29" fillId="32" borderId="1" xfId="0" applyFont="1" applyFill="1" applyBorder="1" applyAlignment="1">
      <alignment vertical="center"/>
    </xf>
    <xf numFmtId="176" fontId="31" fillId="32" borderId="1" xfId="5" applyNumberFormat="1" applyFont="1" applyFill="1" applyBorder="1" applyAlignment="1">
      <alignment horizontal="center" vertical="center" wrapText="1"/>
    </xf>
    <xf numFmtId="0" fontId="31" fillId="32" borderId="1" xfId="5" applyFont="1" applyFill="1" applyBorder="1" applyAlignment="1">
      <alignment horizontal="center" vertical="center" wrapText="1"/>
    </xf>
    <xf numFmtId="176" fontId="31" fillId="32" borderId="1" xfId="5" applyNumberFormat="1" applyFont="1" applyFill="1" applyBorder="1" applyAlignment="1">
      <alignment horizontal="right" vertical="center" wrapText="1"/>
    </xf>
    <xf numFmtId="176" fontId="29" fillId="32" borderId="1" xfId="5" applyNumberFormat="1" applyFont="1" applyFill="1" applyBorder="1" applyAlignment="1">
      <alignment horizontal="right" vertical="center" wrapText="1"/>
    </xf>
    <xf numFmtId="0" fontId="31" fillId="32" borderId="1" xfId="0" applyFont="1" applyFill="1" applyBorder="1" applyAlignment="1">
      <alignment horizontal="right" vertical="center"/>
    </xf>
    <xf numFmtId="0" fontId="31" fillId="32" borderId="1" xfId="0" applyFont="1" applyFill="1" applyBorder="1" applyAlignment="1">
      <alignment vertical="center" wrapText="1"/>
    </xf>
    <xf numFmtId="4" fontId="32" fillId="32" borderId="16" xfId="0" applyNumberFormat="1" applyFont="1" applyFill="1" applyBorder="1" applyAlignment="1" applyProtection="1">
      <alignment horizontal="center" vertical="center"/>
      <protection locked="0"/>
    </xf>
    <xf numFmtId="176" fontId="31" fillId="33" borderId="1" xfId="5" applyNumberFormat="1" applyFont="1" applyFill="1" applyBorder="1" applyAlignment="1">
      <alignment vertical="center" wrapText="1"/>
    </xf>
    <xf numFmtId="0" fontId="29" fillId="32" borderId="1" xfId="5" applyFont="1" applyFill="1" applyBorder="1" applyAlignment="1">
      <alignment vertical="center"/>
    </xf>
    <xf numFmtId="0" fontId="29" fillId="32" borderId="1" xfId="5" applyFont="1" applyFill="1" applyBorder="1" applyAlignment="1">
      <alignment horizontal="center" vertical="center"/>
    </xf>
    <xf numFmtId="165" fontId="29" fillId="32" borderId="1" xfId="1" applyFont="1" applyFill="1" applyBorder="1" applyAlignment="1">
      <alignment vertical="center"/>
    </xf>
    <xf numFmtId="176" fontId="29" fillId="32" borderId="1" xfId="1" applyNumberFormat="1" applyFont="1" applyFill="1" applyBorder="1" applyAlignment="1">
      <alignment vertical="center"/>
    </xf>
    <xf numFmtId="0" fontId="29" fillId="33" borderId="1" xfId="5" applyFont="1" applyFill="1" applyBorder="1" applyAlignment="1">
      <alignment vertical="center"/>
    </xf>
    <xf numFmtId="0" fontId="33" fillId="32" borderId="1" xfId="5" applyFont="1" applyFill="1" applyBorder="1" applyAlignment="1">
      <alignment horizontal="center" vertical="center" wrapText="1"/>
    </xf>
    <xf numFmtId="176" fontId="33" fillId="32" borderId="1" xfId="1" applyNumberFormat="1" applyFont="1" applyFill="1" applyBorder="1" applyAlignment="1">
      <alignment vertical="center" wrapText="1"/>
    </xf>
    <xf numFmtId="0" fontId="33" fillId="33" borderId="1" xfId="5" applyFont="1" applyFill="1" applyBorder="1" applyAlignment="1">
      <alignment vertical="center" wrapText="1"/>
    </xf>
    <xf numFmtId="0" fontId="33" fillId="30" borderId="2" xfId="5" applyFont="1" applyFill="1" applyBorder="1" applyAlignment="1">
      <alignment horizontal="center" vertical="center" wrapText="1"/>
    </xf>
    <xf numFmtId="176" fontId="33" fillId="30" borderId="1" xfId="5" applyNumberFormat="1" applyFont="1" applyFill="1" applyBorder="1" applyAlignment="1">
      <alignment horizontal="center" vertical="center" wrapText="1"/>
    </xf>
    <xf numFmtId="0" fontId="31" fillId="32" borderId="0" xfId="5" applyFont="1" applyFill="1" applyAlignment="1">
      <alignment horizontal="center" vertical="center" wrapText="1"/>
    </xf>
    <xf numFmtId="0" fontId="29" fillId="32" borderId="12" xfId="0" applyFont="1" applyFill="1" applyBorder="1" applyAlignment="1">
      <alignment vertical="center"/>
    </xf>
    <xf numFmtId="176" fontId="31" fillId="32" borderId="12" xfId="5" applyNumberFormat="1" applyFont="1" applyFill="1" applyBorder="1" applyAlignment="1">
      <alignment horizontal="center" vertical="center" wrapText="1"/>
    </xf>
    <xf numFmtId="176" fontId="31" fillId="32" borderId="12" xfId="5" applyNumberFormat="1" applyFont="1" applyFill="1" applyBorder="1" applyAlignment="1">
      <alignment horizontal="right" vertical="center" wrapText="1"/>
    </xf>
    <xf numFmtId="176" fontId="29" fillId="32" borderId="12" xfId="5" applyNumberFormat="1" applyFont="1" applyFill="1" applyBorder="1" applyAlignment="1">
      <alignment horizontal="right" vertical="center" wrapText="1"/>
    </xf>
    <xf numFmtId="0" fontId="31" fillId="32" borderId="11" xfId="0" applyFont="1" applyFill="1" applyBorder="1" applyAlignment="1">
      <alignment horizontal="right" vertical="center"/>
    </xf>
    <xf numFmtId="0" fontId="31" fillId="32" borderId="11" xfId="0" applyFont="1" applyFill="1" applyBorder="1" applyAlignment="1">
      <alignment vertical="center" wrapText="1"/>
    </xf>
    <xf numFmtId="176" fontId="31" fillId="32" borderId="11" xfId="5" applyNumberFormat="1" applyFont="1" applyFill="1" applyBorder="1" applyAlignment="1">
      <alignment horizontal="center" vertical="center" wrapText="1"/>
    </xf>
    <xf numFmtId="4" fontId="32" fillId="32" borderId="18" xfId="0" applyNumberFormat="1" applyFont="1" applyFill="1" applyBorder="1" applyAlignment="1" applyProtection="1">
      <alignment horizontal="center" vertical="center"/>
      <protection locked="0"/>
    </xf>
    <xf numFmtId="176" fontId="31" fillId="32" borderId="11" xfId="5" applyNumberFormat="1" applyFont="1" applyFill="1" applyBorder="1" applyAlignment="1">
      <alignment horizontal="right" vertical="center" wrapText="1"/>
    </xf>
    <xf numFmtId="176" fontId="31" fillId="33" borderId="11" xfId="5" applyNumberFormat="1" applyFont="1" applyFill="1" applyBorder="1" applyAlignment="1">
      <alignment vertical="center" wrapText="1"/>
    </xf>
    <xf numFmtId="0" fontId="29" fillId="32" borderId="1" xfId="0" applyFont="1" applyFill="1" applyBorder="1" applyAlignment="1">
      <alignment horizontal="right" vertical="center"/>
    </xf>
    <xf numFmtId="0" fontId="29" fillId="32" borderId="1" xfId="0" applyFont="1" applyFill="1" applyBorder="1" applyAlignment="1">
      <alignment vertical="center" wrapText="1"/>
    </xf>
    <xf numFmtId="0" fontId="28" fillId="0" borderId="0" xfId="5" applyFont="1" applyAlignment="1">
      <alignment vertical="center"/>
    </xf>
    <xf numFmtId="0" fontId="33" fillId="30" borderId="1" xfId="5" applyFont="1" applyFill="1" applyBorder="1" applyAlignment="1">
      <alignment horizontal="center" vertical="center" wrapText="1"/>
    </xf>
    <xf numFmtId="0" fontId="33" fillId="30" borderId="2" xfId="5" applyFont="1" applyFill="1" applyBorder="1" applyAlignment="1">
      <alignment vertical="center" wrapText="1"/>
    </xf>
    <xf numFmtId="0" fontId="33" fillId="30" borderId="10" xfId="5" applyFont="1" applyFill="1" applyBorder="1" applyAlignment="1">
      <alignment vertical="center" wrapText="1"/>
    </xf>
    <xf numFmtId="0" fontId="33" fillId="30" borderId="3" xfId="5" applyFont="1" applyFill="1" applyBorder="1" applyAlignment="1">
      <alignment vertical="center" wrapText="1"/>
    </xf>
    <xf numFmtId="0" fontId="34" fillId="34" borderId="1" xfId="5" applyFont="1" applyFill="1" applyBorder="1" applyAlignment="1">
      <alignment horizontal="center" vertical="center" wrapText="1"/>
    </xf>
    <xf numFmtId="0" fontId="34" fillId="32" borderId="1" xfId="5" applyFont="1" applyFill="1" applyBorder="1" applyAlignment="1">
      <alignment horizontal="center" vertical="center" wrapText="1"/>
    </xf>
    <xf numFmtId="176" fontId="28" fillId="32" borderId="1" xfId="6" applyNumberFormat="1" applyFont="1" applyFill="1" applyBorder="1" applyAlignment="1">
      <alignment horizontal="center" vertical="center" wrapText="1"/>
    </xf>
    <xf numFmtId="0" fontId="33" fillId="34" borderId="1" xfId="5" applyFont="1" applyFill="1" applyBorder="1" applyAlignment="1">
      <alignment horizontal="center" vertical="center" wrapText="1"/>
    </xf>
    <xf numFmtId="10" fontId="31" fillId="23" borderId="1" xfId="5" applyNumberFormat="1" applyFont="1" applyFill="1" applyBorder="1" applyAlignment="1">
      <alignment horizontal="center" vertical="center" wrapText="1"/>
    </xf>
    <xf numFmtId="176" fontId="34" fillId="32" borderId="1" xfId="5" applyNumberFormat="1" applyFont="1" applyFill="1" applyBorder="1" applyAlignment="1">
      <alignment horizontal="center" vertical="center" wrapText="1"/>
    </xf>
    <xf numFmtId="10" fontId="31" fillId="32" borderId="1" xfId="5" applyNumberFormat="1" applyFont="1" applyFill="1" applyBorder="1" applyAlignment="1">
      <alignment horizontal="center" vertical="center" wrapText="1"/>
    </xf>
    <xf numFmtId="0" fontId="34" fillId="32" borderId="1" xfId="5" applyFont="1" applyFill="1" applyBorder="1" applyAlignment="1">
      <alignment horizontal="right" vertical="center" wrapText="1"/>
    </xf>
    <xf numFmtId="10" fontId="31" fillId="32" borderId="3" xfId="5" applyNumberFormat="1" applyFont="1" applyFill="1" applyBorder="1" applyAlignment="1">
      <alignment horizontal="center" vertical="center" wrapText="1"/>
    </xf>
    <xf numFmtId="176" fontId="33" fillId="31" borderId="1" xfId="5" applyNumberFormat="1" applyFont="1" applyFill="1" applyBorder="1" applyAlignment="1">
      <alignment horizontal="center" vertical="center" wrapText="1"/>
    </xf>
    <xf numFmtId="0" fontId="29" fillId="30" borderId="4" xfId="0" applyFont="1" applyFill="1" applyBorder="1" applyAlignment="1">
      <alignment horizontal="center" vertical="center"/>
    </xf>
    <xf numFmtId="0" fontId="31" fillId="30" borderId="14" xfId="0" applyFont="1" applyFill="1" applyBorder="1" applyAlignment="1">
      <alignment vertical="center"/>
    </xf>
    <xf numFmtId="0" fontId="31" fillId="30" borderId="5" xfId="0" applyFont="1" applyFill="1" applyBorder="1" applyAlignment="1">
      <alignment vertical="center"/>
    </xf>
    <xf numFmtId="0" fontId="29" fillId="30" borderId="2" xfId="0" applyFont="1" applyFill="1" applyBorder="1" applyAlignment="1">
      <alignment horizontal="center" vertical="center"/>
    </xf>
    <xf numFmtId="0" fontId="31" fillId="30" borderId="10" xfId="0" applyFont="1" applyFill="1" applyBorder="1" applyAlignment="1">
      <alignment vertical="center"/>
    </xf>
    <xf numFmtId="0" fontId="31" fillId="30" borderId="3" xfId="0" applyFont="1" applyFill="1" applyBorder="1" applyAlignment="1">
      <alignment vertical="center"/>
    </xf>
    <xf numFmtId="0" fontId="29" fillId="30" borderId="8" xfId="0" applyFont="1" applyFill="1" applyBorder="1" applyAlignment="1">
      <alignment horizontal="center" vertical="center"/>
    </xf>
    <xf numFmtId="0" fontId="31" fillId="30" borderId="13" xfId="0" applyFont="1" applyFill="1" applyBorder="1" applyAlignment="1">
      <alignment vertical="center"/>
    </xf>
    <xf numFmtId="0" fontId="31" fillId="30" borderId="9" xfId="0" applyFont="1" applyFill="1" applyBorder="1" applyAlignment="1">
      <alignment vertical="center"/>
    </xf>
    <xf numFmtId="0" fontId="18" fillId="23" borderId="0" xfId="0" applyFont="1" applyFill="1"/>
    <xf numFmtId="0" fontId="11" fillId="2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66" fontId="0" fillId="0" borderId="0" xfId="0" applyNumberFormat="1"/>
    <xf numFmtId="176" fontId="0" fillId="0" borderId="0" xfId="0" applyNumberFormat="1"/>
    <xf numFmtId="177" fontId="8" fillId="0" borderId="1" xfId="0" applyNumberFormat="1" applyFont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left" wrapText="1"/>
    </xf>
    <xf numFmtId="0" fontId="3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38" fillId="24" borderId="0" xfId="0" applyFont="1" applyFill="1" applyAlignment="1">
      <alignment horizontal="center" vertical="center"/>
    </xf>
    <xf numFmtId="8" fontId="39" fillId="0" borderId="0" xfId="0" applyNumberFormat="1" applyFont="1"/>
    <xf numFmtId="0" fontId="11" fillId="0" borderId="15" xfId="0" applyFont="1" applyBorder="1" applyAlignment="1" applyProtection="1">
      <alignment horizontal="center" vertical="center" wrapText="1"/>
      <protection locked="0"/>
    </xf>
    <xf numFmtId="0" fontId="7" fillId="35" borderId="1" xfId="0" applyFont="1" applyFill="1" applyBorder="1" applyAlignment="1">
      <alignment horizontal="center" vertical="center"/>
    </xf>
    <xf numFmtId="174" fontId="7" fillId="35" borderId="1" xfId="0" applyNumberFormat="1" applyFont="1" applyFill="1" applyBorder="1" applyAlignment="1">
      <alignment horizontal="center" vertical="center"/>
    </xf>
    <xf numFmtId="173" fontId="7" fillId="36" borderId="1" xfId="0" applyNumberFormat="1" applyFont="1" applyFill="1" applyBorder="1" applyAlignment="1">
      <alignment horizontal="center" vertical="center"/>
    </xf>
    <xf numFmtId="0" fontId="7" fillId="36" borderId="1" xfId="0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7" fillId="35" borderId="1" xfId="0" applyNumberFormat="1" applyFont="1" applyFill="1" applyBorder="1" applyAlignment="1">
      <alignment horizontal="center" vertical="center"/>
    </xf>
    <xf numFmtId="10" fontId="7" fillId="35" borderId="1" xfId="0" applyNumberFormat="1" applyFont="1" applyFill="1" applyBorder="1" applyAlignment="1">
      <alignment horizontal="center" vertical="center"/>
    </xf>
    <xf numFmtId="166" fontId="10" fillId="35" borderId="1" xfId="0" applyNumberFormat="1" applyFont="1" applyFill="1" applyBorder="1" applyAlignment="1">
      <alignment horizontal="center" vertical="center"/>
    </xf>
    <xf numFmtId="0" fontId="0" fillId="37" borderId="16" xfId="0" applyFill="1" applyBorder="1" applyAlignment="1">
      <alignment vertical="center" wrapText="1"/>
    </xf>
    <xf numFmtId="0" fontId="0" fillId="37" borderId="16" xfId="0" applyFill="1" applyBorder="1" applyAlignment="1">
      <alignment horizontal="center"/>
    </xf>
    <xf numFmtId="0" fontId="0" fillId="37" borderId="16" xfId="0" applyFill="1" applyBorder="1" applyAlignment="1">
      <alignment horizontal="center" vertical="center"/>
    </xf>
    <xf numFmtId="0" fontId="0" fillId="37" borderId="19" xfId="0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77" fontId="0" fillId="0" borderId="17" xfId="0" applyNumberFormat="1" applyBorder="1" applyAlignment="1">
      <alignment horizontal="center" vertical="center"/>
    </xf>
    <xf numFmtId="0" fontId="7" fillId="35" borderId="1" xfId="0" applyFont="1" applyFill="1" applyBorder="1" applyAlignment="1">
      <alignment horizontal="right" vertical="center"/>
    </xf>
    <xf numFmtId="0" fontId="7" fillId="35" borderId="1" xfId="0" applyFont="1" applyFill="1" applyBorder="1" applyAlignment="1">
      <alignment horizontal="justify" vertical="center" wrapText="1"/>
    </xf>
    <xf numFmtId="4" fontId="7" fillId="35" borderId="1" xfId="0" applyNumberFormat="1" applyFont="1" applyFill="1" applyBorder="1" applyAlignment="1" applyProtection="1">
      <alignment horizontal="center" vertical="center"/>
      <protection locked="0"/>
    </xf>
    <xf numFmtId="166" fontId="7" fillId="36" borderId="1" xfId="0" applyNumberFormat="1" applyFont="1" applyFill="1" applyBorder="1" applyAlignment="1">
      <alignment horizontal="center" vertical="center"/>
    </xf>
    <xf numFmtId="0" fontId="7" fillId="35" borderId="16" xfId="0" applyFont="1" applyFill="1" applyBorder="1" applyAlignment="1">
      <alignment horizontal="center" vertical="center"/>
    </xf>
    <xf numFmtId="0" fontId="7" fillId="35" borderId="15" xfId="0" applyFont="1" applyFill="1" applyBorder="1" applyAlignment="1">
      <alignment horizontal="center" vertical="center"/>
    </xf>
    <xf numFmtId="166" fontId="11" fillId="35" borderId="16" xfId="0" applyNumberFormat="1" applyFont="1" applyFill="1" applyBorder="1" applyAlignment="1" applyProtection="1">
      <alignment horizontal="center" vertical="center" wrapText="1"/>
      <protection locked="0"/>
    </xf>
    <xf numFmtId="166" fontId="11" fillId="35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35" borderId="16" xfId="0" applyFont="1" applyFill="1" applyBorder="1" applyAlignment="1" applyProtection="1">
      <alignment horizontal="center" vertical="center" wrapText="1"/>
      <protection locked="0"/>
    </xf>
    <xf numFmtId="0" fontId="11" fillId="35" borderId="15" xfId="0" applyFont="1" applyFill="1" applyBorder="1" applyAlignment="1" applyProtection="1">
      <alignment horizontal="center" vertical="center" wrapText="1"/>
      <protection locked="0"/>
    </xf>
    <xf numFmtId="167" fontId="11" fillId="35" borderId="16" xfId="0" applyNumberFormat="1" applyFont="1" applyFill="1" applyBorder="1" applyAlignment="1" applyProtection="1">
      <alignment horizontal="center" vertical="center" wrapText="1"/>
      <protection locked="0"/>
    </xf>
    <xf numFmtId="167" fontId="11" fillId="35" borderId="15" xfId="0" applyNumberFormat="1" applyFont="1" applyFill="1" applyBorder="1" applyAlignment="1" applyProtection="1">
      <alignment horizontal="center" vertical="center" wrapText="1"/>
      <protection locked="0"/>
    </xf>
    <xf numFmtId="166" fontId="11" fillId="37" borderId="1" xfId="0" applyNumberFormat="1" applyFont="1" applyFill="1" applyBorder="1" applyAlignment="1">
      <alignment horizontal="center" vertical="center" wrapText="1"/>
    </xf>
    <xf numFmtId="0" fontId="8" fillId="35" borderId="1" xfId="0" applyFont="1" applyFill="1" applyBorder="1" applyAlignment="1">
      <alignment vertical="center" wrapText="1"/>
    </xf>
    <xf numFmtId="0" fontId="8" fillId="35" borderId="1" xfId="0" applyFont="1" applyFill="1" applyBorder="1" applyAlignment="1">
      <alignment horizontal="center" vertical="center" wrapText="1"/>
    </xf>
    <xf numFmtId="0" fontId="8" fillId="35" borderId="1" xfId="0" applyFont="1" applyFill="1" applyBorder="1" applyAlignment="1">
      <alignment horizontal="justify" vertical="center" wrapText="1"/>
    </xf>
    <xf numFmtId="0" fontId="7" fillId="35" borderId="1" xfId="0" applyFont="1" applyFill="1" applyBorder="1" applyAlignment="1">
      <alignment horizontal="center" vertical="center" wrapText="1"/>
    </xf>
    <xf numFmtId="0" fontId="0" fillId="38" borderId="0" xfId="0" applyFill="1"/>
    <xf numFmtId="0" fontId="7" fillId="39" borderId="1" xfId="0" applyFont="1" applyFill="1" applyBorder="1" applyAlignment="1">
      <alignment horizontal="justify" vertical="center" wrapText="1"/>
    </xf>
    <xf numFmtId="10" fontId="7" fillId="40" borderId="1" xfId="0" applyNumberFormat="1" applyFont="1" applyFill="1" applyBorder="1" applyAlignment="1" applyProtection="1">
      <alignment horizontal="center" vertical="center"/>
      <protection locked="0"/>
    </xf>
    <xf numFmtId="0" fontId="34" fillId="32" borderId="1" xfId="5" applyFont="1" applyFill="1" applyBorder="1" applyAlignment="1">
      <alignment horizontal="center" vertical="center" wrapText="1"/>
    </xf>
    <xf numFmtId="0" fontId="34" fillId="32" borderId="2" xfId="5" applyFont="1" applyFill="1" applyBorder="1" applyAlignment="1">
      <alignment horizontal="center" vertical="center" wrapText="1"/>
    </xf>
    <xf numFmtId="0" fontId="34" fillId="32" borderId="10" xfId="5" applyFont="1" applyFill="1" applyBorder="1" applyAlignment="1">
      <alignment horizontal="center" vertical="center" wrapText="1"/>
    </xf>
    <xf numFmtId="0" fontId="34" fillId="32" borderId="3" xfId="5" applyFont="1" applyFill="1" applyBorder="1" applyAlignment="1">
      <alignment horizontal="center" vertical="center" wrapText="1"/>
    </xf>
    <xf numFmtId="0" fontId="33" fillId="30" borderId="1" xfId="5" applyFont="1" applyFill="1" applyBorder="1" applyAlignment="1">
      <alignment horizontal="center" vertical="center" wrapText="1"/>
    </xf>
    <xf numFmtId="0" fontId="29" fillId="34" borderId="1" xfId="0" applyFont="1" applyFill="1" applyBorder="1" applyAlignment="1">
      <alignment horizontal="center" vertical="center" textRotation="90"/>
    </xf>
    <xf numFmtId="0" fontId="30" fillId="30" borderId="1" xfId="5" applyFont="1" applyFill="1" applyBorder="1" applyAlignment="1">
      <alignment horizontal="center" vertical="center" textRotation="90"/>
    </xf>
    <xf numFmtId="0" fontId="33" fillId="31" borderId="2" xfId="5" applyFont="1" applyFill="1" applyBorder="1" applyAlignment="1">
      <alignment horizontal="center" vertical="center" wrapText="1"/>
    </xf>
    <xf numFmtId="0" fontId="33" fillId="31" borderId="10" xfId="5" applyFont="1" applyFill="1" applyBorder="1" applyAlignment="1">
      <alignment horizontal="center" vertical="center" wrapText="1"/>
    </xf>
    <xf numFmtId="0" fontId="33" fillId="31" borderId="3" xfId="5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7" fillId="30" borderId="2" xfId="0" applyFont="1" applyFill="1" applyBorder="1" applyAlignment="1">
      <alignment horizontal="center" vertical="center" wrapText="1"/>
    </xf>
    <xf numFmtId="0" fontId="27" fillId="30" borderId="10" xfId="0" applyFont="1" applyFill="1" applyBorder="1" applyAlignment="1">
      <alignment horizontal="center" vertical="center"/>
    </xf>
    <xf numFmtId="0" fontId="27" fillId="30" borderId="3" xfId="0" applyFont="1" applyFill="1" applyBorder="1" applyAlignment="1">
      <alignment horizontal="center" vertical="center"/>
    </xf>
    <xf numFmtId="0" fontId="27" fillId="31" borderId="1" xfId="5" applyFont="1" applyFill="1" applyBorder="1" applyAlignment="1">
      <alignment horizontal="center" vertical="center"/>
    </xf>
    <xf numFmtId="0" fontId="29" fillId="30" borderId="1" xfId="5" applyFont="1" applyFill="1" applyBorder="1" applyAlignment="1">
      <alignment horizontal="center" vertical="center"/>
    </xf>
    <xf numFmtId="0" fontId="33" fillId="30" borderId="2" xfId="5" applyFont="1" applyFill="1" applyBorder="1" applyAlignment="1">
      <alignment horizontal="center" vertical="center" wrapText="1"/>
    </xf>
    <xf numFmtId="0" fontId="33" fillId="30" borderId="10" xfId="5" applyFont="1" applyFill="1" applyBorder="1" applyAlignment="1">
      <alignment horizontal="center" vertical="center" wrapText="1"/>
    </xf>
    <xf numFmtId="0" fontId="33" fillId="30" borderId="3" xfId="5" applyFont="1" applyFill="1" applyBorder="1" applyAlignment="1">
      <alignment horizontal="center" vertical="center" wrapText="1"/>
    </xf>
    <xf numFmtId="0" fontId="27" fillId="23" borderId="2" xfId="5" applyFont="1" applyFill="1" applyBorder="1" applyAlignment="1">
      <alignment horizontal="center" vertical="center"/>
    </xf>
    <xf numFmtId="0" fontId="27" fillId="23" borderId="10" xfId="5" applyFont="1" applyFill="1" applyBorder="1" applyAlignment="1">
      <alignment horizontal="center" vertical="center"/>
    </xf>
    <xf numFmtId="0" fontId="27" fillId="23" borderId="3" xfId="5" applyFont="1" applyFill="1" applyBorder="1" applyAlignment="1">
      <alignment horizontal="center" vertical="center"/>
    </xf>
    <xf numFmtId="0" fontId="29" fillId="2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1" fontId="7" fillId="8" borderId="0" xfId="0" applyNumberFormat="1" applyFont="1" applyFill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29" borderId="2" xfId="0" applyFont="1" applyFill="1" applyBorder="1" applyAlignment="1">
      <alignment horizontal="center" vertical="center"/>
    </xf>
    <xf numFmtId="0" fontId="10" fillId="29" borderId="10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14" fontId="2" fillId="0" borderId="38" xfId="0" applyNumberFormat="1" applyFont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2" fillId="28" borderId="16" xfId="0" applyFont="1" applyFill="1" applyBorder="1" applyAlignment="1">
      <alignment horizontal="center" vertical="center" wrapText="1"/>
    </xf>
    <xf numFmtId="0" fontId="2" fillId="28" borderId="26" xfId="0" applyFont="1" applyFill="1" applyBorder="1" applyAlignment="1">
      <alignment horizontal="center" vertical="center" wrapText="1"/>
    </xf>
    <xf numFmtId="0" fontId="2" fillId="28" borderId="24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left" vertical="center" wrapText="1"/>
    </xf>
    <xf numFmtId="166" fontId="11" fillId="0" borderId="0" xfId="0" applyNumberFormat="1" applyFont="1" applyAlignment="1" applyProtection="1">
      <alignment horizontal="center" vertical="center" wrapText="1"/>
      <protection locked="0"/>
    </xf>
    <xf numFmtId="0" fontId="2" fillId="27" borderId="33" xfId="0" applyFont="1" applyFill="1" applyBorder="1" applyAlignment="1">
      <alignment horizontal="center" vertical="center" wrapText="1"/>
    </xf>
    <xf numFmtId="0" fontId="2" fillId="27" borderId="34" xfId="0" applyFont="1" applyFill="1" applyBorder="1" applyAlignment="1">
      <alignment horizontal="center" vertical="center" wrapText="1"/>
    </xf>
    <xf numFmtId="0" fontId="2" fillId="27" borderId="35" xfId="0" applyFont="1" applyFill="1" applyBorder="1" applyAlignment="1">
      <alignment horizontal="center" vertical="center" wrapText="1"/>
    </xf>
    <xf numFmtId="0" fontId="2" fillId="28" borderId="30" xfId="0" applyFont="1" applyFill="1" applyBorder="1" applyAlignment="1">
      <alignment horizontal="center" vertical="center" wrapText="1"/>
    </xf>
    <xf numFmtId="0" fontId="2" fillId="28" borderId="1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6" borderId="15" xfId="0" applyFont="1" applyFill="1" applyBorder="1" applyAlignment="1">
      <alignment horizontal="center" vertical="center"/>
    </xf>
    <xf numFmtId="0" fontId="6" fillId="26" borderId="20" xfId="0" applyFont="1" applyFill="1" applyBorder="1" applyAlignment="1">
      <alignment horizontal="center" vertical="center"/>
    </xf>
    <xf numFmtId="0" fontId="6" fillId="26" borderId="19" xfId="0" applyFont="1" applyFill="1" applyBorder="1" applyAlignment="1">
      <alignment horizontal="center" vertical="center"/>
    </xf>
    <xf numFmtId="0" fontId="6" fillId="26" borderId="31" xfId="0" applyFont="1" applyFill="1" applyBorder="1" applyAlignment="1">
      <alignment horizontal="center" vertical="center"/>
    </xf>
    <xf numFmtId="0" fontId="6" fillId="26" borderId="27" xfId="0" applyFont="1" applyFill="1" applyBorder="1" applyAlignment="1">
      <alignment horizontal="center" vertical="center"/>
    </xf>
    <xf numFmtId="0" fontId="6" fillId="26" borderId="4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35" borderId="1" xfId="0" applyFont="1" applyFill="1" applyBorder="1" applyAlignment="1">
      <alignment horizontal="justify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35" borderId="1" xfId="0" applyFont="1" applyFill="1" applyBorder="1" applyAlignment="1">
      <alignment horizontal="justify" vertical="center"/>
    </xf>
    <xf numFmtId="0" fontId="10" fillId="15" borderId="1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3" fillId="25" borderId="16" xfId="0" applyFont="1" applyFill="1" applyBorder="1" applyAlignment="1">
      <alignment horizontal="left"/>
    </xf>
    <xf numFmtId="0" fontId="12" fillId="1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</cellXfs>
  <cellStyles count="7">
    <cellStyle name="Moeda" xfId="2" builtinId="4"/>
    <cellStyle name="Moeda 2" xfId="6" xr:uid="{E6365B74-9FC2-432C-A318-2D184567ABEF}"/>
    <cellStyle name="Normal" xfId="0" builtinId="0"/>
    <cellStyle name="Normal 3" xfId="5" xr:uid="{8A41BF4E-D3DE-4117-8498-063F5AC54D57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DE8CB"/>
      <rgbColor rgb="FF0000EE"/>
      <rgbColor rgb="FFFFFF00"/>
      <rgbColor rgb="FFFFC7CE"/>
      <rgbColor rgb="FFC6EFCE"/>
      <rgbColor rgb="FF9C0006"/>
      <rgbColor rgb="FF006600"/>
      <rgbColor rgb="FFE2F0D9"/>
      <rgbColor rgb="FF996600"/>
      <rgbColor rgb="FFC55A11"/>
      <rgbColor rgb="FFCCCCCC"/>
      <rgbColor rgb="FFC0C0C0"/>
      <rgbColor rgb="FF808080"/>
      <rgbColor rgb="FF8FAADC"/>
      <rgbColor rgb="FF7030A0"/>
      <rgbColor rgb="FFFFFFCC"/>
      <rgbColor rgb="FFDDEBF7"/>
      <rgbColor rgb="FFDDDDDD"/>
      <rgbColor rgb="FFFF8080"/>
      <rgbColor rgb="FF2E75B6"/>
      <rgbColor rgb="FFBDD7EE"/>
      <rgbColor rgb="FFFBE5D6"/>
      <rgbColor rgb="FFD9D9D9"/>
      <rgbColor rgb="FFFFE699"/>
      <rgbColor rgb="FFC5E0B4"/>
      <rgbColor rgb="FFD6DCE5"/>
      <rgbColor rgb="FFCC0000"/>
      <rgbColor rgb="FFD0CECE"/>
      <rgbColor rgb="FFDAE3F3"/>
      <rgbColor rgb="FF00B0F0"/>
      <rgbColor rgb="FFDEEBF7"/>
      <rgbColor rgb="FFCCFFCC"/>
      <rgbColor rgb="FFFFEB9C"/>
      <rgbColor rgb="FFB4C7DD"/>
      <rgbColor rgb="FFFFA6A6"/>
      <rgbColor rgb="FFB2B2B2"/>
      <rgbColor rgb="FFFFCCCC"/>
      <rgbColor rgb="FF4472C4"/>
      <rgbColor rgb="FFA9D18E"/>
      <rgbColor rgb="FF92D050"/>
      <rgbColor rgb="FFFFC000"/>
      <rgbColor rgb="FFF4B183"/>
      <rgbColor rgb="FFFF6600"/>
      <rgbColor rgb="FF595959"/>
      <rgbColor rgb="FFA6A6A6"/>
      <rgbColor rgb="FF043363"/>
      <rgbColor rgb="FFBFBFBF"/>
      <rgbColor rgb="FF006100"/>
      <rgbColor rgb="FF404040"/>
      <rgbColor rgb="FF9C5700"/>
      <rgbColor rgb="FFC9211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0A0A0"/>
      <color rgb="FFA6A6A6"/>
      <color rgb="FFBE05FF"/>
      <color rgb="FF7BEEFD"/>
      <color rgb="FFF7FA7E"/>
      <color rgb="FFFC7C88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546BB49F-CD35-B4BD-84A5-FA29ECE42A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9C8ACC68-6549-77C6-C7B8-2F23509A5A9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</xdr:colOff>
      <xdr:row>24</xdr:row>
      <xdr:rowOff>141120</xdr:rowOff>
    </xdr:from>
    <xdr:to>
      <xdr:col>3</xdr:col>
      <xdr:colOff>624240</xdr:colOff>
      <xdr:row>24</xdr:row>
      <xdr:rowOff>2098080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0" y="9004320"/>
          <a:ext cx="4299120" cy="195696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ili\Downloads\01___Modelo_de_Proposta_Orcamento_Para%20(1).xlsx" TargetMode="External"/><Relationship Id="rId1" Type="http://schemas.openxmlformats.org/officeDocument/2006/relationships/externalLinkPath" Target="01___Modelo_de_Proposta_Orcamento_Par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entações"/>
      <sheetName val="II - Planilha Consolidada"/>
      <sheetName val="III - Parcela Fixa"/>
      <sheetName val="III-A - Mão de Obra (CCT)"/>
      <sheetName val="CCT E VT"/>
      <sheetName val="III-A.1 - Memorial de Cálculo"/>
      <sheetName val="III-A.2 - Uniforme, EPI e Equip"/>
      <sheetName val="III-C - Desloc e Pern"/>
      <sheetName val="III-E - Materiais de Consumo"/>
      <sheetName val="V - BDI"/>
      <sheetName val="V-A - I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sengepa.com.br/portal/salario-engenheiro" TargetMode="External"/><Relationship Id="rId1" Type="http://schemas.openxmlformats.org/officeDocument/2006/relationships/hyperlink" Target="http://sengepa.com.br/portal/salario-engenheir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29"/>
  <sheetViews>
    <sheetView view="pageBreakPreview" zoomScaleNormal="100" workbookViewId="0">
      <selection activeCell="E27" sqref="E27"/>
    </sheetView>
  </sheetViews>
  <sheetFormatPr defaultRowHeight="14.25" x14ac:dyDescent="0.2"/>
  <cols>
    <col min="1" max="1" width="72.25"/>
    <col min="2" max="1025" width="8.875"/>
  </cols>
  <sheetData>
    <row r="1" spans="1:1" ht="15" x14ac:dyDescent="0.25">
      <c r="A1" s="16" t="s">
        <v>0</v>
      </c>
    </row>
    <row r="3" spans="1:1" ht="31.5" x14ac:dyDescent="0.25">
      <c r="A3" s="270" t="s">
        <v>1</v>
      </c>
    </row>
    <row r="4" spans="1:1" x14ac:dyDescent="0.2">
      <c r="A4" s="17"/>
    </row>
    <row r="5" spans="1:1" x14ac:dyDescent="0.2">
      <c r="A5" s="17"/>
    </row>
    <row r="6" spans="1:1" ht="30" x14ac:dyDescent="0.25">
      <c r="A6" s="18" t="s">
        <v>2</v>
      </c>
    </row>
    <row r="7" spans="1:1" ht="15" x14ac:dyDescent="0.25">
      <c r="A7" s="271" t="s">
        <v>3</v>
      </c>
    </row>
    <row r="8" spans="1:1" x14ac:dyDescent="0.2">
      <c r="A8" s="17"/>
    </row>
    <row r="9" spans="1:1" ht="15" x14ac:dyDescent="0.25">
      <c r="A9" s="19" t="s">
        <v>4</v>
      </c>
    </row>
    <row r="10" spans="1:1" x14ac:dyDescent="0.2">
      <c r="A10" s="18"/>
    </row>
    <row r="11" spans="1:1" ht="29.25" x14ac:dyDescent="0.2">
      <c r="A11" s="272" t="s">
        <v>5</v>
      </c>
    </row>
    <row r="13" spans="1:1" ht="30" x14ac:dyDescent="0.25">
      <c r="A13" s="19" t="s">
        <v>6</v>
      </c>
    </row>
    <row r="15" spans="1:1" ht="44.25" x14ac:dyDescent="0.25">
      <c r="A15" s="19" t="s">
        <v>7</v>
      </c>
    </row>
    <row r="17" spans="1:1" ht="29.25" x14ac:dyDescent="0.2">
      <c r="A17" s="19" t="s">
        <v>8</v>
      </c>
    </row>
    <row r="19" spans="1:1" ht="30" x14ac:dyDescent="0.25">
      <c r="A19" s="19" t="s">
        <v>9</v>
      </c>
    </row>
    <row r="20" spans="1:1" ht="28.5" x14ac:dyDescent="0.2">
      <c r="A20" s="273" t="s">
        <v>10</v>
      </c>
    </row>
    <row r="21" spans="1:1" ht="57" x14ac:dyDescent="0.2">
      <c r="A21" s="273" t="s">
        <v>11</v>
      </c>
    </row>
    <row r="22" spans="1:1" ht="42.75" x14ac:dyDescent="0.2">
      <c r="A22" s="273" t="s">
        <v>12</v>
      </c>
    </row>
    <row r="23" spans="1:1" ht="42.75" x14ac:dyDescent="0.2">
      <c r="A23" s="273" t="s">
        <v>13</v>
      </c>
    </row>
    <row r="25" spans="1:1" ht="30" x14ac:dyDescent="0.25">
      <c r="A25" s="19" t="s">
        <v>14</v>
      </c>
    </row>
    <row r="27" spans="1:1" ht="30" x14ac:dyDescent="0.25">
      <c r="A27" s="19" t="s">
        <v>15</v>
      </c>
    </row>
    <row r="29" spans="1:1" ht="15" x14ac:dyDescent="0.25">
      <c r="A29" s="20" t="s">
        <v>16</v>
      </c>
    </row>
  </sheetData>
  <printOptions horizontalCentered="1"/>
  <pageMargins left="0.39370078740157483" right="0.39370078740157483" top="0.59055118110236227" bottom="0.39370078740157483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AD47"/>
    <pageSetUpPr fitToPage="1"/>
  </sheetPr>
  <dimension ref="A1:AMI25"/>
  <sheetViews>
    <sheetView view="pageBreakPreview" zoomScale="115" zoomScaleNormal="100" zoomScalePageLayoutView="115" workbookViewId="0">
      <selection activeCell="D16" sqref="D16"/>
    </sheetView>
  </sheetViews>
  <sheetFormatPr defaultRowHeight="14.25" x14ac:dyDescent="0.2"/>
  <cols>
    <col min="1" max="1" width="10.875" style="23"/>
    <col min="2" max="2" width="25.875" style="57"/>
    <col min="3" max="3" width="10.875" style="23"/>
    <col min="4" max="4" width="14" style="23"/>
    <col min="5" max="1023" width="10.875" style="23"/>
    <col min="1024" max="1025" width="8.875"/>
  </cols>
  <sheetData>
    <row r="1" spans="1:4" ht="54" customHeight="1" x14ac:dyDescent="0.2">
      <c r="A1" s="335" t="s">
        <v>531</v>
      </c>
      <c r="B1" s="335"/>
      <c r="C1" s="335"/>
      <c r="D1" s="335"/>
    </row>
    <row r="2" spans="1:4" x14ac:dyDescent="0.2">
      <c r="A2"/>
      <c r="B2"/>
      <c r="C2"/>
      <c r="D2"/>
    </row>
    <row r="3" spans="1:4" s="144" customFormat="1" ht="22.9" customHeight="1" x14ac:dyDescent="0.2">
      <c r="A3" s="2" t="s">
        <v>347</v>
      </c>
      <c r="B3" s="2" t="s">
        <v>97</v>
      </c>
      <c r="C3" s="2" t="s">
        <v>59</v>
      </c>
      <c r="D3" s="2" t="s">
        <v>532</v>
      </c>
    </row>
    <row r="4" spans="1:4" x14ac:dyDescent="0.2">
      <c r="A4" s="147" t="s">
        <v>61</v>
      </c>
      <c r="B4" s="148" t="s">
        <v>533</v>
      </c>
      <c r="C4" s="149">
        <f>SUM(C5:C7)</f>
        <v>0</v>
      </c>
      <c r="D4" s="149">
        <f>SUM(D5:D7)</f>
        <v>0</v>
      </c>
    </row>
    <row r="5" spans="1:4" x14ac:dyDescent="0.2">
      <c r="A5" s="150" t="s">
        <v>534</v>
      </c>
      <c r="B5" s="151" t="s">
        <v>535</v>
      </c>
      <c r="C5" s="152"/>
      <c r="D5" s="152"/>
    </row>
    <row r="6" spans="1:4" x14ac:dyDescent="0.2">
      <c r="A6" s="150" t="s">
        <v>536</v>
      </c>
      <c r="B6" s="151" t="s">
        <v>537</v>
      </c>
      <c r="C6" s="152"/>
      <c r="D6" s="152"/>
    </row>
    <row r="7" spans="1:4" x14ac:dyDescent="0.2">
      <c r="A7" s="150" t="s">
        <v>538</v>
      </c>
      <c r="B7" s="151" t="s">
        <v>539</v>
      </c>
      <c r="C7" s="152"/>
      <c r="D7" s="152"/>
    </row>
    <row r="8" spans="1:4" x14ac:dyDescent="0.2">
      <c r="A8" s="153" t="s">
        <v>63</v>
      </c>
      <c r="B8" s="154" t="s">
        <v>540</v>
      </c>
      <c r="C8" s="155"/>
      <c r="D8" s="155"/>
    </row>
    <row r="9" spans="1:4" x14ac:dyDescent="0.2">
      <c r="A9" s="156" t="s">
        <v>65</v>
      </c>
      <c r="B9" s="157" t="s">
        <v>541</v>
      </c>
      <c r="C9" s="158">
        <f>SUM(C10:C16)</f>
        <v>4.4999999999999998E-2</v>
      </c>
      <c r="D9" s="158">
        <f>SUM(D10:D16)</f>
        <v>4.4999999999999998E-2</v>
      </c>
    </row>
    <row r="10" spans="1:4" x14ac:dyDescent="0.2">
      <c r="A10" s="159" t="s">
        <v>542</v>
      </c>
      <c r="B10" s="160" t="s">
        <v>543</v>
      </c>
      <c r="C10" s="152"/>
      <c r="D10" s="152"/>
    </row>
    <row r="11" spans="1:4" x14ac:dyDescent="0.2">
      <c r="A11" s="159" t="s">
        <v>544</v>
      </c>
      <c r="B11" s="160" t="s">
        <v>545</v>
      </c>
      <c r="C11" s="161"/>
      <c r="D11" s="161"/>
    </row>
    <row r="12" spans="1:4" x14ac:dyDescent="0.2">
      <c r="A12" s="159" t="s">
        <v>546</v>
      </c>
      <c r="B12" s="160" t="s">
        <v>547</v>
      </c>
      <c r="C12" s="161"/>
      <c r="D12" s="161"/>
    </row>
    <row r="13" spans="1:4" ht="54" x14ac:dyDescent="0.2">
      <c r="A13" s="159" t="s">
        <v>548</v>
      </c>
      <c r="B13" s="160" t="s">
        <v>549</v>
      </c>
      <c r="C13" s="162">
        <f>IF('II - Planilha Consolidada'!G52="DESONERADO",0.045,0)</f>
        <v>4.4999999999999998E-2</v>
      </c>
      <c r="D13" s="162">
        <f>C13</f>
        <v>4.4999999999999998E-2</v>
      </c>
    </row>
    <row r="14" spans="1:4" x14ac:dyDescent="0.2">
      <c r="A14" s="159" t="s">
        <v>550</v>
      </c>
      <c r="B14" s="160" t="s">
        <v>551</v>
      </c>
      <c r="C14" s="152"/>
      <c r="D14" s="152"/>
    </row>
    <row r="15" spans="1:4" x14ac:dyDescent="0.2">
      <c r="A15" s="159" t="s">
        <v>552</v>
      </c>
      <c r="B15" s="160" t="s">
        <v>553</v>
      </c>
      <c r="C15" s="118"/>
      <c r="D15" s="118"/>
    </row>
    <row r="16" spans="1:4" x14ac:dyDescent="0.2">
      <c r="A16" s="159" t="s">
        <v>554</v>
      </c>
      <c r="B16" s="160" t="s">
        <v>555</v>
      </c>
      <c r="C16" s="152"/>
      <c r="D16" s="152"/>
    </row>
    <row r="17" spans="1:4" x14ac:dyDescent="0.2">
      <c r="A17" s="309"/>
      <c r="B17" s="310" t="s">
        <v>939</v>
      </c>
      <c r="C17" s="311">
        <f>'V-A - ISS'!F75</f>
        <v>2.4348867487073281E-2</v>
      </c>
      <c r="D17" s="311">
        <f>'[1]V-A - ISS'!G75</f>
        <v>0</v>
      </c>
    </row>
    <row r="18" spans="1:4" x14ac:dyDescent="0.2">
      <c r="A18" s="390" t="s">
        <v>362</v>
      </c>
      <c r="B18" s="390"/>
      <c r="C18" s="163">
        <f>((1+(C5+C7))*(1+C6)*(1+C8))/(1-C11-C12-C13-C14-C16)-1</f>
        <v>4.7120418848167533E-2</v>
      </c>
      <c r="D18"/>
    </row>
    <row r="19" spans="1:4" x14ac:dyDescent="0.2">
      <c r="A19" s="390" t="s">
        <v>556</v>
      </c>
      <c r="B19" s="390"/>
      <c r="C19" s="390"/>
      <c r="D19" s="163">
        <f>((1+(D5+D7))*(1+D6)*(1+D8))/(1-D11-D12-D13-D14-D16)-1</f>
        <v>4.7120418848167533E-2</v>
      </c>
    </row>
    <row r="20" spans="1:4" x14ac:dyDescent="0.2">
      <c r="A20"/>
      <c r="B20"/>
      <c r="C20"/>
      <c r="D20"/>
    </row>
    <row r="21" spans="1:4" x14ac:dyDescent="0.2">
      <c r="A21" s="399" t="s">
        <v>557</v>
      </c>
      <c r="B21" s="399"/>
      <c r="C21" s="399"/>
      <c r="D21" s="399"/>
    </row>
    <row r="22" spans="1:4" ht="396.75" customHeight="1" x14ac:dyDescent="0.2">
      <c r="A22" s="401" t="s">
        <v>558</v>
      </c>
      <c r="B22" s="401"/>
      <c r="C22" s="401"/>
      <c r="D22" s="401"/>
    </row>
    <row r="23" spans="1:4" x14ac:dyDescent="0.2">
      <c r="A23"/>
      <c r="B23"/>
      <c r="C23"/>
      <c r="D23"/>
    </row>
    <row r="24" spans="1:4" x14ac:dyDescent="0.2">
      <c r="A24" s="399" t="s">
        <v>559</v>
      </c>
      <c r="B24" s="399"/>
      <c r="C24" s="399"/>
      <c r="D24" s="399"/>
    </row>
    <row r="25" spans="1:4" ht="197.1" customHeight="1" x14ac:dyDescent="0.2">
      <c r="A25" s="400"/>
      <c r="B25" s="400"/>
      <c r="C25" s="400"/>
      <c r="D25" s="400"/>
    </row>
  </sheetData>
  <mergeCells count="7">
    <mergeCell ref="A24:D24"/>
    <mergeCell ref="A25:D25"/>
    <mergeCell ref="A1:D1"/>
    <mergeCell ref="A18:B18"/>
    <mergeCell ref="A19:C19"/>
    <mergeCell ref="A21:D21"/>
    <mergeCell ref="A22:D22"/>
  </mergeCells>
  <printOptions horizontalCentered="1"/>
  <pageMargins left="0.39370078740157483" right="0.39370078740157483" top="0.59055118110236227" bottom="0.39370078740157483" header="0" footer="0"/>
  <pageSetup paperSize="9" scale="79" firstPageNumber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  <pageSetUpPr fitToPage="1"/>
  </sheetPr>
  <dimension ref="A1:AMD84"/>
  <sheetViews>
    <sheetView tabSelected="1" view="pageBreakPreview" topLeftCell="A67" zoomScaleNormal="150" workbookViewId="0">
      <selection activeCell="A11" sqref="A11"/>
    </sheetView>
  </sheetViews>
  <sheetFormatPr defaultRowHeight="14.25" x14ac:dyDescent="0.2"/>
  <cols>
    <col min="1" max="1" width="13.25" style="58"/>
    <col min="2" max="2" width="22.75" style="58" customWidth="1"/>
    <col min="3" max="4" width="13.25" style="58"/>
    <col min="5" max="5" width="13.25" style="164"/>
    <col min="6" max="1018" width="13.25" style="58"/>
    <col min="1019" max="1025" width="8.875"/>
  </cols>
  <sheetData>
    <row r="1" spans="1:7" ht="62.25" customHeight="1" x14ac:dyDescent="0.2">
      <c r="A1" s="392" t="s">
        <v>560</v>
      </c>
      <c r="B1" s="393"/>
      <c r="C1" s="393"/>
      <c r="D1" s="393"/>
      <c r="E1" s="393"/>
      <c r="F1" s="393"/>
      <c r="G1" s="393"/>
    </row>
    <row r="2" spans="1:7" x14ac:dyDescent="0.2">
      <c r="A2"/>
      <c r="B2"/>
      <c r="C2"/>
      <c r="D2"/>
      <c r="E2"/>
      <c r="F2"/>
      <c r="G2"/>
    </row>
    <row r="3" spans="1:7" ht="22.5" x14ac:dyDescent="0.2">
      <c r="A3" s="2" t="s">
        <v>352</v>
      </c>
      <c r="B3" s="2" t="s">
        <v>561</v>
      </c>
      <c r="C3" s="2" t="s">
        <v>348</v>
      </c>
      <c r="D3" s="2" t="s">
        <v>562</v>
      </c>
      <c r="E3" s="165" t="s">
        <v>563</v>
      </c>
      <c r="F3" s="2" t="s">
        <v>564</v>
      </c>
      <c r="G3" s="168" t="s">
        <v>565</v>
      </c>
    </row>
    <row r="4" spans="1:7" ht="65.25" customHeight="1" x14ac:dyDescent="0.2">
      <c r="A4" s="119" t="s">
        <v>635</v>
      </c>
      <c r="B4" s="119" t="s">
        <v>636</v>
      </c>
      <c r="C4" s="145">
        <v>9843.66</v>
      </c>
      <c r="D4" s="182">
        <f>IFERROR(C4/$C$73,"")</f>
        <v>0.19741059111112269</v>
      </c>
      <c r="E4" s="166">
        <v>0.05</v>
      </c>
      <c r="F4" s="184">
        <f t="shared" ref="F4:F35" si="0">IFERROR(D4*E4,"")</f>
        <v>9.8705295555561352E-3</v>
      </c>
      <c r="G4" s="183" t="s">
        <v>566</v>
      </c>
    </row>
    <row r="5" spans="1:7" ht="33.75" x14ac:dyDescent="0.2">
      <c r="A5" s="119" t="s">
        <v>637</v>
      </c>
      <c r="B5" s="119" t="s">
        <v>638</v>
      </c>
      <c r="C5" s="145">
        <v>458.17</v>
      </c>
      <c r="D5" s="182">
        <f t="shared" ref="D5:D68" si="1">IFERROR(C5/$C$73,"")</f>
        <v>9.1884126970438931E-3</v>
      </c>
      <c r="E5" s="166">
        <v>0.05</v>
      </c>
      <c r="F5" s="184">
        <f t="shared" si="0"/>
        <v>4.5942063485219467E-4</v>
      </c>
      <c r="G5" s="183" t="s">
        <v>566</v>
      </c>
    </row>
    <row r="6" spans="1:7" ht="33.75" x14ac:dyDescent="0.2">
      <c r="A6" s="119" t="s">
        <v>639</v>
      </c>
      <c r="B6" s="119" t="s">
        <v>640</v>
      </c>
      <c r="C6" s="145">
        <v>617.69000000000005</v>
      </c>
      <c r="D6" s="182">
        <f t="shared" si="1"/>
        <v>1.2387521310511476E-2</v>
      </c>
      <c r="E6" s="166">
        <v>0.05</v>
      </c>
      <c r="F6" s="184">
        <f t="shared" si="0"/>
        <v>6.1937606552557383E-4</v>
      </c>
      <c r="G6" s="183" t="s">
        <v>566</v>
      </c>
    </row>
    <row r="7" spans="1:7" ht="33.75" x14ac:dyDescent="0.2">
      <c r="A7" s="119" t="s">
        <v>641</v>
      </c>
      <c r="B7" s="119" t="s">
        <v>642</v>
      </c>
      <c r="C7" s="145">
        <v>3224.6</v>
      </c>
      <c r="D7" s="182">
        <f t="shared" si="1"/>
        <v>6.4668039336682318E-2</v>
      </c>
      <c r="E7" s="166">
        <v>0.05</v>
      </c>
      <c r="F7" s="184">
        <f t="shared" si="0"/>
        <v>3.2334019668341161E-3</v>
      </c>
      <c r="G7" s="183" t="s">
        <v>566</v>
      </c>
    </row>
    <row r="8" spans="1:7" ht="33.75" x14ac:dyDescent="0.2">
      <c r="A8" s="119" t="s">
        <v>643</v>
      </c>
      <c r="B8" s="119" t="s">
        <v>644</v>
      </c>
      <c r="C8" s="145">
        <v>943.78</v>
      </c>
      <c r="D8" s="182">
        <f t="shared" si="1"/>
        <v>1.8927123415361295E-2</v>
      </c>
      <c r="E8" s="166">
        <v>0.05</v>
      </c>
      <c r="F8" s="184">
        <f t="shared" si="0"/>
        <v>9.4635617076806481E-4</v>
      </c>
      <c r="G8" s="183" t="s">
        <v>566</v>
      </c>
    </row>
    <row r="9" spans="1:7" ht="33.75" x14ac:dyDescent="0.2">
      <c r="A9" s="119" t="s">
        <v>645</v>
      </c>
      <c r="B9" s="119" t="s">
        <v>646</v>
      </c>
      <c r="C9" s="145">
        <v>402.9</v>
      </c>
      <c r="D9" s="182">
        <f t="shared" si="1"/>
        <v>8.0799953633781882E-3</v>
      </c>
      <c r="E9" s="166">
        <v>0.05</v>
      </c>
      <c r="F9" s="184">
        <f t="shared" si="0"/>
        <v>4.0399976816890944E-4</v>
      </c>
      <c r="G9" s="183" t="s">
        <v>566</v>
      </c>
    </row>
    <row r="10" spans="1:7" ht="33.75" x14ac:dyDescent="0.2">
      <c r="A10" s="119" t="s">
        <v>647</v>
      </c>
      <c r="B10" s="119" t="s">
        <v>648</v>
      </c>
      <c r="C10" s="145">
        <v>821.84</v>
      </c>
      <c r="D10" s="182">
        <f t="shared" si="1"/>
        <v>1.6481666392252993E-2</v>
      </c>
      <c r="E10" s="166">
        <v>0.05</v>
      </c>
      <c r="F10" s="184">
        <f t="shared" si="0"/>
        <v>8.2408331961264969E-4</v>
      </c>
      <c r="G10" s="183" t="s">
        <v>566</v>
      </c>
    </row>
    <row r="11" spans="1:7" ht="33.75" x14ac:dyDescent="0.2">
      <c r="A11" s="119" t="s">
        <v>649</v>
      </c>
      <c r="B11" s="119" t="s">
        <v>650</v>
      </c>
      <c r="C11" s="145">
        <v>1637.08</v>
      </c>
      <c r="D11" s="182">
        <f t="shared" si="1"/>
        <v>3.2830972473266724E-2</v>
      </c>
      <c r="E11" s="166">
        <v>0.05</v>
      </c>
      <c r="F11" s="184">
        <f t="shared" si="0"/>
        <v>1.6415486236633363E-3</v>
      </c>
      <c r="G11" s="183" t="s">
        <v>566</v>
      </c>
    </row>
    <row r="12" spans="1:7" ht="33.75" x14ac:dyDescent="0.2">
      <c r="A12" s="119" t="s">
        <v>651</v>
      </c>
      <c r="B12" s="119" t="s">
        <v>652</v>
      </c>
      <c r="C12" s="145">
        <v>450</v>
      </c>
      <c r="D12" s="182">
        <f t="shared" si="1"/>
        <v>9.0245666754037845E-3</v>
      </c>
      <c r="E12" s="166">
        <v>0.05</v>
      </c>
      <c r="F12" s="184">
        <f t="shared" si="0"/>
        <v>4.5122833377018925E-4</v>
      </c>
      <c r="G12" s="183" t="s">
        <v>566</v>
      </c>
    </row>
    <row r="13" spans="1:7" ht="33.75" x14ac:dyDescent="0.2">
      <c r="A13" s="119" t="s">
        <v>653</v>
      </c>
      <c r="B13" s="119" t="s">
        <v>654</v>
      </c>
      <c r="C13" s="145">
        <v>7010.31</v>
      </c>
      <c r="D13" s="182">
        <f t="shared" si="1"/>
        <v>0.14058891113388869</v>
      </c>
      <c r="E13" s="166">
        <v>0.05</v>
      </c>
      <c r="F13" s="184">
        <f t="shared" si="0"/>
        <v>7.029445556694435E-3</v>
      </c>
      <c r="G13" s="183" t="s">
        <v>566</v>
      </c>
    </row>
    <row r="14" spans="1:7" ht="33.75" x14ac:dyDescent="0.2">
      <c r="A14" s="119" t="s">
        <v>655</v>
      </c>
      <c r="B14" s="119" t="s">
        <v>642</v>
      </c>
      <c r="C14" s="145">
        <v>514</v>
      </c>
      <c r="D14" s="182">
        <f t="shared" si="1"/>
        <v>1.0308060602572323E-2</v>
      </c>
      <c r="E14" s="166">
        <v>0.05</v>
      </c>
      <c r="F14" s="184">
        <f t="shared" si="0"/>
        <v>5.1540303012861618E-4</v>
      </c>
      <c r="G14" s="183" t="s">
        <v>566</v>
      </c>
    </row>
    <row r="15" spans="1:7" ht="33.75" x14ac:dyDescent="0.2">
      <c r="A15" s="119" t="s">
        <v>656</v>
      </c>
      <c r="B15" s="119" t="s">
        <v>657</v>
      </c>
      <c r="C15" s="145">
        <v>330</v>
      </c>
      <c r="D15" s="182">
        <f t="shared" si="1"/>
        <v>6.6180155619627755E-3</v>
      </c>
      <c r="E15" s="166">
        <v>0.05</v>
      </c>
      <c r="F15" s="184">
        <f t="shared" si="0"/>
        <v>3.3090077809813878E-4</v>
      </c>
      <c r="G15" s="183" t="s">
        <v>567</v>
      </c>
    </row>
    <row r="16" spans="1:7" ht="33.75" x14ac:dyDescent="0.2">
      <c r="A16" s="119" t="s">
        <v>658</v>
      </c>
      <c r="B16" s="119" t="s">
        <v>659</v>
      </c>
      <c r="C16" s="145">
        <v>820.77</v>
      </c>
      <c r="D16" s="182">
        <f t="shared" si="1"/>
        <v>1.6460207978158142E-2</v>
      </c>
      <c r="E16" s="166">
        <v>0.05</v>
      </c>
      <c r="F16" s="184">
        <f t="shared" si="0"/>
        <v>8.2301039890790714E-4</v>
      </c>
      <c r="G16" s="183" t="s">
        <v>568</v>
      </c>
    </row>
    <row r="17" spans="1:7" ht="45" x14ac:dyDescent="0.2">
      <c r="A17" s="119" t="s">
        <v>660</v>
      </c>
      <c r="B17" s="119" t="s">
        <v>661</v>
      </c>
      <c r="C17" s="145">
        <v>459.8</v>
      </c>
      <c r="D17" s="182">
        <f t="shared" si="1"/>
        <v>9.2211016830014668E-3</v>
      </c>
      <c r="E17" s="166">
        <v>0.03</v>
      </c>
      <c r="F17" s="184">
        <f t="shared" si="0"/>
        <v>2.7663305049004398E-4</v>
      </c>
      <c r="G17" s="183" t="s">
        <v>569</v>
      </c>
    </row>
    <row r="18" spans="1:7" ht="56.25" x14ac:dyDescent="0.2">
      <c r="A18" s="119" t="s">
        <v>662</v>
      </c>
      <c r="B18" s="119" t="s">
        <v>663</v>
      </c>
      <c r="C18" s="145">
        <v>330</v>
      </c>
      <c r="D18" s="182">
        <f t="shared" si="1"/>
        <v>6.6180155619627755E-3</v>
      </c>
      <c r="E18" s="166">
        <v>0.05</v>
      </c>
      <c r="F18" s="184">
        <f t="shared" si="0"/>
        <v>3.3090077809813878E-4</v>
      </c>
      <c r="G18" s="183" t="s">
        <v>570</v>
      </c>
    </row>
    <row r="19" spans="1:7" ht="45" x14ac:dyDescent="0.2">
      <c r="A19" s="119" t="s">
        <v>664</v>
      </c>
      <c r="B19" s="119" t="s">
        <v>665</v>
      </c>
      <c r="C19" s="145">
        <v>330</v>
      </c>
      <c r="D19" s="182">
        <f t="shared" si="1"/>
        <v>6.6180155619627755E-3</v>
      </c>
      <c r="E19" s="166">
        <v>0.05</v>
      </c>
      <c r="F19" s="184">
        <f t="shared" si="0"/>
        <v>3.3090077809813878E-4</v>
      </c>
      <c r="G19" s="183" t="s">
        <v>571</v>
      </c>
    </row>
    <row r="20" spans="1:7" ht="45" x14ac:dyDescent="0.2">
      <c r="A20" s="119" t="s">
        <v>666</v>
      </c>
      <c r="B20" s="119" t="s">
        <v>667</v>
      </c>
      <c r="C20" s="145">
        <v>330</v>
      </c>
      <c r="D20" s="182">
        <f t="shared" si="1"/>
        <v>6.6180155619627755E-3</v>
      </c>
      <c r="E20" s="166">
        <v>0.05</v>
      </c>
      <c r="F20" s="184">
        <f t="shared" si="0"/>
        <v>3.3090077809813878E-4</v>
      </c>
      <c r="G20" s="183" t="s">
        <v>572</v>
      </c>
    </row>
    <row r="21" spans="1:7" ht="33.75" x14ac:dyDescent="0.2">
      <c r="A21" s="119" t="s">
        <v>668</v>
      </c>
      <c r="B21" s="119" t="s">
        <v>669</v>
      </c>
      <c r="C21" s="145">
        <v>348.91</v>
      </c>
      <c r="D21" s="182">
        <f t="shared" si="1"/>
        <v>6.9972479082558549E-3</v>
      </c>
      <c r="E21" s="166">
        <v>0.05</v>
      </c>
      <c r="F21" s="184">
        <f t="shared" si="0"/>
        <v>3.4986239541279278E-4</v>
      </c>
      <c r="G21" s="183" t="s">
        <v>573</v>
      </c>
    </row>
    <row r="22" spans="1:7" ht="33.75" x14ac:dyDescent="0.2">
      <c r="A22" s="119" t="s">
        <v>670</v>
      </c>
      <c r="B22" s="119" t="s">
        <v>669</v>
      </c>
      <c r="C22" s="145">
        <v>108.54</v>
      </c>
      <c r="D22" s="182">
        <f t="shared" si="1"/>
        <v>2.1767254821073931E-3</v>
      </c>
      <c r="E22" s="166">
        <v>0.05</v>
      </c>
      <c r="F22" s="184">
        <f t="shared" si="0"/>
        <v>1.0883627410536965E-4</v>
      </c>
      <c r="G22" s="183" t="s">
        <v>573</v>
      </c>
    </row>
    <row r="23" spans="1:7" ht="45" x14ac:dyDescent="0.2">
      <c r="A23" s="119" t="s">
        <v>671</v>
      </c>
      <c r="B23" s="119" t="s">
        <v>672</v>
      </c>
      <c r="C23" s="145">
        <v>626.5</v>
      </c>
      <c r="D23" s="182">
        <f t="shared" si="1"/>
        <v>1.2564202271423269E-2</v>
      </c>
      <c r="E23" s="166">
        <v>0.05</v>
      </c>
      <c r="F23" s="184">
        <f t="shared" si="0"/>
        <v>6.2821011357116346E-4</v>
      </c>
      <c r="G23" s="183" t="s">
        <v>574</v>
      </c>
    </row>
    <row r="24" spans="1:7" ht="33.75" x14ac:dyDescent="0.2">
      <c r="A24" s="119" t="s">
        <v>673</v>
      </c>
      <c r="B24" s="119" t="s">
        <v>674</v>
      </c>
      <c r="C24" s="145">
        <v>450.13</v>
      </c>
      <c r="D24" s="182">
        <f t="shared" si="1"/>
        <v>9.0271737724433448E-3</v>
      </c>
      <c r="E24" s="166">
        <v>0.05</v>
      </c>
      <c r="F24" s="184">
        <f t="shared" si="0"/>
        <v>4.5135868862216727E-4</v>
      </c>
      <c r="G24" s="183" t="s">
        <v>575</v>
      </c>
    </row>
    <row r="25" spans="1:7" ht="34.5" customHeight="1" x14ac:dyDescent="0.2">
      <c r="A25" s="119" t="s">
        <v>675</v>
      </c>
      <c r="B25" s="119" t="s">
        <v>676</v>
      </c>
      <c r="C25" s="145">
        <v>635.79999999999995</v>
      </c>
      <c r="D25" s="182">
        <f t="shared" si="1"/>
        <v>1.2750709982714947E-2</v>
      </c>
      <c r="E25" s="166">
        <v>0.05</v>
      </c>
      <c r="F25" s="184">
        <f t="shared" si="0"/>
        <v>6.3753549913574733E-4</v>
      </c>
      <c r="G25" s="183" t="s">
        <v>576</v>
      </c>
    </row>
    <row r="26" spans="1:7" ht="56.25" x14ac:dyDescent="0.2">
      <c r="A26" s="119" t="s">
        <v>677</v>
      </c>
      <c r="B26" s="119" t="s">
        <v>678</v>
      </c>
      <c r="C26" s="145">
        <v>1666.85</v>
      </c>
      <c r="D26" s="182">
        <f t="shared" si="1"/>
        <v>3.3427997695326214E-2</v>
      </c>
      <c r="E26" s="166">
        <v>0.05</v>
      </c>
      <c r="F26" s="184">
        <f t="shared" si="0"/>
        <v>1.6713998847663108E-3</v>
      </c>
      <c r="G26" s="183" t="s">
        <v>577</v>
      </c>
    </row>
    <row r="27" spans="1:7" ht="33.75" x14ac:dyDescent="0.2">
      <c r="A27" s="119" t="s">
        <v>679</v>
      </c>
      <c r="B27" s="119" t="s">
        <v>680</v>
      </c>
      <c r="C27" s="145">
        <v>330</v>
      </c>
      <c r="D27" s="182">
        <f t="shared" si="1"/>
        <v>6.6180155619627755E-3</v>
      </c>
      <c r="E27" s="166">
        <v>0.05</v>
      </c>
      <c r="F27" s="184">
        <f t="shared" si="0"/>
        <v>3.3090077809813878E-4</v>
      </c>
      <c r="G27" s="183" t="s">
        <v>578</v>
      </c>
    </row>
    <row r="28" spans="1:7" ht="45" x14ac:dyDescent="0.2">
      <c r="A28" s="119" t="s">
        <v>681</v>
      </c>
      <c r="B28" s="119" t="s">
        <v>682</v>
      </c>
      <c r="C28" s="145">
        <v>330</v>
      </c>
      <c r="D28" s="182">
        <f t="shared" si="1"/>
        <v>6.6180155619627755E-3</v>
      </c>
      <c r="E28" s="166">
        <v>0.05</v>
      </c>
      <c r="F28" s="184">
        <f t="shared" si="0"/>
        <v>3.3090077809813878E-4</v>
      </c>
      <c r="G28" s="183" t="s">
        <v>579</v>
      </c>
    </row>
    <row r="29" spans="1:7" ht="56.25" x14ac:dyDescent="0.2">
      <c r="A29" s="119" t="s">
        <v>683</v>
      </c>
      <c r="B29" s="119" t="s">
        <v>684</v>
      </c>
      <c r="C29" s="145">
        <v>330</v>
      </c>
      <c r="D29" s="182">
        <f t="shared" si="1"/>
        <v>6.6180155619627755E-3</v>
      </c>
      <c r="E29" s="166">
        <v>0.05</v>
      </c>
      <c r="F29" s="184">
        <f t="shared" si="0"/>
        <v>3.3090077809813878E-4</v>
      </c>
      <c r="G29" s="183" t="s">
        <v>580</v>
      </c>
    </row>
    <row r="30" spans="1:7" ht="33.75" x14ac:dyDescent="0.2">
      <c r="A30" s="119" t="s">
        <v>685</v>
      </c>
      <c r="B30" s="119" t="s">
        <v>686</v>
      </c>
      <c r="C30" s="145">
        <v>330</v>
      </c>
      <c r="D30" s="182">
        <f t="shared" si="1"/>
        <v>6.6180155619627755E-3</v>
      </c>
      <c r="E30" s="166">
        <v>0.05</v>
      </c>
      <c r="F30" s="184">
        <f t="shared" si="0"/>
        <v>3.3090077809813878E-4</v>
      </c>
      <c r="G30" s="183" t="s">
        <v>581</v>
      </c>
    </row>
    <row r="31" spans="1:7" ht="33.75" x14ac:dyDescent="0.2">
      <c r="A31" s="119" t="s">
        <v>687</v>
      </c>
      <c r="B31" s="119" t="s">
        <v>688</v>
      </c>
      <c r="C31" s="145">
        <v>330</v>
      </c>
      <c r="D31" s="182">
        <f t="shared" si="1"/>
        <v>6.6180155619627755E-3</v>
      </c>
      <c r="E31" s="166">
        <v>0.05</v>
      </c>
      <c r="F31" s="184">
        <f t="shared" si="0"/>
        <v>3.3090077809813878E-4</v>
      </c>
      <c r="G31" s="183" t="s">
        <v>582</v>
      </c>
    </row>
    <row r="32" spans="1:7" ht="45" x14ac:dyDescent="0.2">
      <c r="A32" s="119" t="s">
        <v>689</v>
      </c>
      <c r="B32" s="119" t="s">
        <v>690</v>
      </c>
      <c r="C32" s="145">
        <v>330</v>
      </c>
      <c r="D32" s="182">
        <f t="shared" si="1"/>
        <v>6.6180155619627755E-3</v>
      </c>
      <c r="E32" s="166">
        <v>0.05</v>
      </c>
      <c r="F32" s="184">
        <f t="shared" si="0"/>
        <v>3.3090077809813878E-4</v>
      </c>
      <c r="G32" s="183" t="s">
        <v>583</v>
      </c>
    </row>
    <row r="33" spans="1:7" ht="56.25" x14ac:dyDescent="0.2">
      <c r="A33" s="119" t="s">
        <v>691</v>
      </c>
      <c r="B33" s="119" t="s">
        <v>692</v>
      </c>
      <c r="C33" s="145">
        <v>330</v>
      </c>
      <c r="D33" s="182">
        <f t="shared" si="1"/>
        <v>6.6180155619627755E-3</v>
      </c>
      <c r="E33" s="166">
        <v>0.05</v>
      </c>
      <c r="F33" s="184">
        <f t="shared" si="0"/>
        <v>3.3090077809813878E-4</v>
      </c>
      <c r="G33" s="183" t="s">
        <v>584</v>
      </c>
    </row>
    <row r="34" spans="1:7" ht="33.75" x14ac:dyDescent="0.2">
      <c r="A34" s="119" t="s">
        <v>693</v>
      </c>
      <c r="B34" s="119" t="s">
        <v>694</v>
      </c>
      <c r="C34" s="145">
        <v>330</v>
      </c>
      <c r="D34" s="182">
        <f t="shared" si="1"/>
        <v>6.6180155619627755E-3</v>
      </c>
      <c r="E34" s="166">
        <v>0.05</v>
      </c>
      <c r="F34" s="184">
        <f t="shared" si="0"/>
        <v>3.3090077809813878E-4</v>
      </c>
      <c r="G34" s="183" t="s">
        <v>585</v>
      </c>
    </row>
    <row r="35" spans="1:7" ht="33.75" x14ac:dyDescent="0.2">
      <c r="A35" s="119" t="s">
        <v>695</v>
      </c>
      <c r="B35" s="119" t="s">
        <v>696</v>
      </c>
      <c r="C35" s="145">
        <v>330</v>
      </c>
      <c r="D35" s="182">
        <f t="shared" si="1"/>
        <v>6.6180155619627755E-3</v>
      </c>
      <c r="E35" s="166">
        <v>0.05</v>
      </c>
      <c r="F35" s="184">
        <f t="shared" si="0"/>
        <v>3.3090077809813878E-4</v>
      </c>
      <c r="G35" s="183" t="s">
        <v>586</v>
      </c>
    </row>
    <row r="36" spans="1:7" ht="33.75" x14ac:dyDescent="0.2">
      <c r="A36" s="119" t="s">
        <v>697</v>
      </c>
      <c r="B36" s="119" t="s">
        <v>698</v>
      </c>
      <c r="C36" s="145">
        <v>330</v>
      </c>
      <c r="D36" s="182">
        <f t="shared" si="1"/>
        <v>6.6180155619627755E-3</v>
      </c>
      <c r="E36" s="166">
        <v>0.05</v>
      </c>
      <c r="F36" s="184">
        <f t="shared" ref="F36:F66" si="2">IFERROR(D36*E36,"")</f>
        <v>3.3090077809813878E-4</v>
      </c>
      <c r="G36" s="183" t="s">
        <v>587</v>
      </c>
    </row>
    <row r="37" spans="1:7" ht="33.75" x14ac:dyDescent="0.2">
      <c r="A37" s="119" t="s">
        <v>699</v>
      </c>
      <c r="B37" s="119" t="s">
        <v>700</v>
      </c>
      <c r="C37" s="145">
        <v>330</v>
      </c>
      <c r="D37" s="182">
        <f t="shared" si="1"/>
        <v>6.6180155619627755E-3</v>
      </c>
      <c r="E37" s="166">
        <v>0.05</v>
      </c>
      <c r="F37" s="184">
        <f t="shared" si="2"/>
        <v>3.3090077809813878E-4</v>
      </c>
      <c r="G37" s="183" t="s">
        <v>588</v>
      </c>
    </row>
    <row r="38" spans="1:7" ht="45" x14ac:dyDescent="0.2">
      <c r="A38" s="119" t="s">
        <v>701</v>
      </c>
      <c r="B38" s="119" t="s">
        <v>702</v>
      </c>
      <c r="C38" s="145">
        <v>330</v>
      </c>
      <c r="D38" s="182">
        <f t="shared" si="1"/>
        <v>6.6180155619627755E-3</v>
      </c>
      <c r="E38" s="166">
        <v>0.05</v>
      </c>
      <c r="F38" s="184">
        <f t="shared" si="2"/>
        <v>3.3090077809813878E-4</v>
      </c>
      <c r="G38" s="183" t="s">
        <v>589</v>
      </c>
    </row>
    <row r="39" spans="1:7" ht="33.75" x14ac:dyDescent="0.2">
      <c r="A39" s="119" t="s">
        <v>703</v>
      </c>
      <c r="B39" s="119" t="s">
        <v>704</v>
      </c>
      <c r="C39" s="145">
        <v>599.59</v>
      </c>
      <c r="D39" s="182">
        <f t="shared" si="1"/>
        <v>1.2024533184234123E-2</v>
      </c>
      <c r="E39" s="166">
        <v>0.05</v>
      </c>
      <c r="F39" s="184">
        <f t="shared" si="2"/>
        <v>6.0122665921170622E-4</v>
      </c>
      <c r="G39" s="183" t="s">
        <v>590</v>
      </c>
    </row>
    <row r="40" spans="1:7" ht="45" x14ac:dyDescent="0.2">
      <c r="A40" s="119" t="s">
        <v>705</v>
      </c>
      <c r="B40" s="119" t="s">
        <v>706</v>
      </c>
      <c r="C40" s="145">
        <v>330</v>
      </c>
      <c r="D40" s="182">
        <f t="shared" si="1"/>
        <v>6.6180155619627755E-3</v>
      </c>
      <c r="E40" s="166">
        <v>0.05</v>
      </c>
      <c r="F40" s="184">
        <f t="shared" si="2"/>
        <v>3.3090077809813878E-4</v>
      </c>
      <c r="G40" s="183" t="s">
        <v>591</v>
      </c>
    </row>
    <row r="41" spans="1:7" ht="56.25" x14ac:dyDescent="0.2">
      <c r="A41" s="119" t="s">
        <v>707</v>
      </c>
      <c r="B41" s="119" t="s">
        <v>708</v>
      </c>
      <c r="C41" s="145">
        <v>330</v>
      </c>
      <c r="D41" s="182">
        <f t="shared" si="1"/>
        <v>6.6180155619627755E-3</v>
      </c>
      <c r="E41" s="166">
        <v>0.05</v>
      </c>
      <c r="F41" s="184">
        <f t="shared" si="2"/>
        <v>3.3090077809813878E-4</v>
      </c>
      <c r="G41" s="183" t="s">
        <v>592</v>
      </c>
    </row>
    <row r="42" spans="1:7" ht="45" x14ac:dyDescent="0.2">
      <c r="A42" s="119" t="s">
        <v>709</v>
      </c>
      <c r="B42" s="119" t="s">
        <v>710</v>
      </c>
      <c r="C42" s="145">
        <v>330</v>
      </c>
      <c r="D42" s="182">
        <f t="shared" si="1"/>
        <v>6.6180155619627755E-3</v>
      </c>
      <c r="E42" s="166">
        <v>0.05</v>
      </c>
      <c r="F42" s="184">
        <f t="shared" si="2"/>
        <v>3.3090077809813878E-4</v>
      </c>
      <c r="G42" s="183" t="s">
        <v>593</v>
      </c>
    </row>
    <row r="43" spans="1:7" ht="56.25" x14ac:dyDescent="0.2">
      <c r="A43" s="119" t="s">
        <v>711</v>
      </c>
      <c r="B43" s="119" t="s">
        <v>712</v>
      </c>
      <c r="C43" s="145">
        <v>330</v>
      </c>
      <c r="D43" s="182">
        <f t="shared" si="1"/>
        <v>6.6180155619627755E-3</v>
      </c>
      <c r="E43" s="166">
        <v>0.03</v>
      </c>
      <c r="F43" s="184">
        <f t="shared" si="2"/>
        <v>1.9854046685888326E-4</v>
      </c>
      <c r="G43" s="183" t="s">
        <v>594</v>
      </c>
    </row>
    <row r="44" spans="1:7" ht="45" x14ac:dyDescent="0.2">
      <c r="A44" s="119" t="s">
        <v>713</v>
      </c>
      <c r="B44" s="119" t="s">
        <v>714</v>
      </c>
      <c r="C44" s="145">
        <v>330</v>
      </c>
      <c r="D44" s="182">
        <f t="shared" si="1"/>
        <v>6.6180155619627755E-3</v>
      </c>
      <c r="E44" s="166">
        <v>0.05</v>
      </c>
      <c r="F44" s="184">
        <f t="shared" si="2"/>
        <v>3.3090077809813878E-4</v>
      </c>
      <c r="G44" s="183" t="s">
        <v>595</v>
      </c>
    </row>
    <row r="45" spans="1:7" ht="56.25" x14ac:dyDescent="0.2">
      <c r="A45" s="119" t="s">
        <v>715</v>
      </c>
      <c r="B45" s="119" t="s">
        <v>716</v>
      </c>
      <c r="C45" s="145">
        <v>330</v>
      </c>
      <c r="D45" s="182">
        <f t="shared" si="1"/>
        <v>6.6180155619627755E-3</v>
      </c>
      <c r="E45" s="166">
        <v>0.05</v>
      </c>
      <c r="F45" s="184">
        <f t="shared" si="2"/>
        <v>3.3090077809813878E-4</v>
      </c>
      <c r="G45" s="183" t="s">
        <v>596</v>
      </c>
    </row>
    <row r="46" spans="1:7" ht="45" x14ac:dyDescent="0.2">
      <c r="A46" s="119" t="s">
        <v>717</v>
      </c>
      <c r="B46" s="119" t="s">
        <v>718</v>
      </c>
      <c r="C46" s="145">
        <v>309</v>
      </c>
      <c r="D46" s="182">
        <f t="shared" si="1"/>
        <v>6.1968691171105988E-3</v>
      </c>
      <c r="E46" s="166">
        <v>0.05</v>
      </c>
      <c r="F46" s="184">
        <f t="shared" si="2"/>
        <v>3.0984345585552994E-4</v>
      </c>
      <c r="G46" s="183" t="s">
        <v>597</v>
      </c>
    </row>
    <row r="47" spans="1:7" ht="45" x14ac:dyDescent="0.2">
      <c r="A47" s="119" t="s">
        <v>719</v>
      </c>
      <c r="B47" s="119" t="s">
        <v>720</v>
      </c>
      <c r="C47" s="145">
        <v>330</v>
      </c>
      <c r="D47" s="182">
        <f t="shared" si="1"/>
        <v>6.6180155619627755E-3</v>
      </c>
      <c r="E47" s="166">
        <v>0.05</v>
      </c>
      <c r="F47" s="184">
        <f t="shared" si="2"/>
        <v>3.3090077809813878E-4</v>
      </c>
      <c r="G47" s="183" t="s">
        <v>598</v>
      </c>
    </row>
    <row r="48" spans="1:7" ht="56.25" x14ac:dyDescent="0.2">
      <c r="A48" s="119" t="s">
        <v>721</v>
      </c>
      <c r="B48" s="119" t="s">
        <v>722</v>
      </c>
      <c r="C48" s="145">
        <v>691.7</v>
      </c>
      <c r="D48" s="182">
        <f t="shared" si="1"/>
        <v>1.3871761709726219E-2</v>
      </c>
      <c r="E48" s="166">
        <v>0.05</v>
      </c>
      <c r="F48" s="184">
        <f t="shared" si="2"/>
        <v>6.9358808548631093E-4</v>
      </c>
      <c r="G48" s="183" t="s">
        <v>599</v>
      </c>
    </row>
    <row r="49" spans="1:7" ht="56.25" x14ac:dyDescent="0.2">
      <c r="A49" s="119" t="s">
        <v>723</v>
      </c>
      <c r="B49" s="119" t="s">
        <v>724</v>
      </c>
      <c r="C49" s="145">
        <v>878.66</v>
      </c>
      <c r="D49" s="182">
        <f t="shared" si="1"/>
        <v>1.7621168344467308E-2</v>
      </c>
      <c r="E49" s="166">
        <v>0.05</v>
      </c>
      <c r="F49" s="184">
        <f t="shared" si="2"/>
        <v>8.8105841722336544E-4</v>
      </c>
      <c r="G49" s="183" t="s">
        <v>600</v>
      </c>
    </row>
    <row r="50" spans="1:7" ht="56.25" x14ac:dyDescent="0.2">
      <c r="A50" s="119" t="s">
        <v>725</v>
      </c>
      <c r="B50" s="119" t="s">
        <v>726</v>
      </c>
      <c r="C50" s="145">
        <v>626.5</v>
      </c>
      <c r="D50" s="182">
        <f t="shared" si="1"/>
        <v>1.2564202271423269E-2</v>
      </c>
      <c r="E50" s="166">
        <v>0.05</v>
      </c>
      <c r="F50" s="184">
        <f t="shared" si="2"/>
        <v>6.2821011357116346E-4</v>
      </c>
      <c r="G50" s="183" t="s">
        <v>601</v>
      </c>
    </row>
    <row r="51" spans="1:7" ht="45" x14ac:dyDescent="0.2">
      <c r="A51" s="119" t="s">
        <v>727</v>
      </c>
      <c r="B51" s="119" t="s">
        <v>728</v>
      </c>
      <c r="C51" s="145">
        <v>580.87</v>
      </c>
      <c r="D51" s="182">
        <f t="shared" si="1"/>
        <v>1.1649111210537326E-2</v>
      </c>
      <c r="E51" s="166">
        <v>0.05</v>
      </c>
      <c r="F51" s="184">
        <f t="shared" si="2"/>
        <v>5.824555605268663E-4</v>
      </c>
      <c r="G51" s="183" t="s">
        <v>602</v>
      </c>
    </row>
    <row r="52" spans="1:7" ht="45" x14ac:dyDescent="0.2">
      <c r="A52" s="119" t="s">
        <v>729</v>
      </c>
      <c r="B52" s="119" t="s">
        <v>730</v>
      </c>
      <c r="C52" s="145">
        <v>330</v>
      </c>
      <c r="D52" s="182">
        <f t="shared" si="1"/>
        <v>6.6180155619627755E-3</v>
      </c>
      <c r="E52" s="166">
        <v>0.05</v>
      </c>
      <c r="F52" s="184">
        <f t="shared" si="2"/>
        <v>3.3090077809813878E-4</v>
      </c>
      <c r="G52" s="183" t="s">
        <v>603</v>
      </c>
    </row>
    <row r="53" spans="1:7" ht="45" x14ac:dyDescent="0.2">
      <c r="A53" s="119" t="s">
        <v>731</v>
      </c>
      <c r="B53" s="119" t="s">
        <v>732</v>
      </c>
      <c r="C53" s="145">
        <v>330</v>
      </c>
      <c r="D53" s="182">
        <f t="shared" si="1"/>
        <v>6.6180155619627755E-3</v>
      </c>
      <c r="E53" s="166">
        <v>0.05</v>
      </c>
      <c r="F53" s="184">
        <f t="shared" si="2"/>
        <v>3.3090077809813878E-4</v>
      </c>
      <c r="G53" s="183" t="s">
        <v>604</v>
      </c>
    </row>
    <row r="54" spans="1:7" ht="45" x14ac:dyDescent="0.2">
      <c r="A54" s="119" t="s">
        <v>733</v>
      </c>
      <c r="B54" s="119" t="s">
        <v>734</v>
      </c>
      <c r="C54" s="145">
        <v>330</v>
      </c>
      <c r="D54" s="182">
        <f t="shared" si="1"/>
        <v>6.6180155619627755E-3</v>
      </c>
      <c r="E54" s="166">
        <v>0.04</v>
      </c>
      <c r="F54" s="184">
        <f t="shared" si="2"/>
        <v>2.6472062247851104E-4</v>
      </c>
      <c r="G54" s="183" t="s">
        <v>605</v>
      </c>
    </row>
    <row r="55" spans="1:7" ht="45" x14ac:dyDescent="0.2">
      <c r="A55" s="119" t="s">
        <v>735</v>
      </c>
      <c r="B55" s="119" t="s">
        <v>736</v>
      </c>
      <c r="C55" s="145">
        <v>330</v>
      </c>
      <c r="D55" s="182">
        <f t="shared" si="1"/>
        <v>6.6180155619627755E-3</v>
      </c>
      <c r="E55" s="166">
        <v>0.05</v>
      </c>
      <c r="F55" s="184">
        <f t="shared" si="2"/>
        <v>3.3090077809813878E-4</v>
      </c>
      <c r="G55" s="183" t="s">
        <v>606</v>
      </c>
    </row>
    <row r="56" spans="1:7" ht="56.25" x14ac:dyDescent="0.2">
      <c r="A56" s="119" t="s">
        <v>737</v>
      </c>
      <c r="B56" s="119" t="s">
        <v>738</v>
      </c>
      <c r="C56" s="145">
        <v>330</v>
      </c>
      <c r="D56" s="182">
        <f t="shared" si="1"/>
        <v>6.6180155619627755E-3</v>
      </c>
      <c r="E56" s="166">
        <v>0.04</v>
      </c>
      <c r="F56" s="184">
        <f t="shared" si="2"/>
        <v>2.6472062247851104E-4</v>
      </c>
      <c r="G56" s="183" t="s">
        <v>607</v>
      </c>
    </row>
    <row r="57" spans="1:7" ht="56.25" x14ac:dyDescent="0.2">
      <c r="A57" s="119" t="s">
        <v>739</v>
      </c>
      <c r="B57" s="119" t="s">
        <v>740</v>
      </c>
      <c r="C57" s="145">
        <v>330</v>
      </c>
      <c r="D57" s="182">
        <f t="shared" si="1"/>
        <v>6.6180155619627755E-3</v>
      </c>
      <c r="E57" s="166">
        <v>0.05</v>
      </c>
      <c r="F57" s="184">
        <f t="shared" si="2"/>
        <v>3.3090077809813878E-4</v>
      </c>
      <c r="G57" s="183" t="s">
        <v>608</v>
      </c>
    </row>
    <row r="58" spans="1:7" ht="56.25" x14ac:dyDescent="0.2">
      <c r="A58" s="119" t="s">
        <v>741</v>
      </c>
      <c r="B58" s="119" t="s">
        <v>742</v>
      </c>
      <c r="C58" s="145">
        <v>301.77</v>
      </c>
      <c r="D58" s="182">
        <f t="shared" si="1"/>
        <v>6.051874412525777E-3</v>
      </c>
      <c r="E58" s="166">
        <v>0.05</v>
      </c>
      <c r="F58" s="184">
        <f t="shared" si="2"/>
        <v>3.0259372062628887E-4</v>
      </c>
      <c r="G58" s="183" t="s">
        <v>609</v>
      </c>
    </row>
    <row r="59" spans="1:7" ht="56.25" x14ac:dyDescent="0.2">
      <c r="A59" s="119" t="s">
        <v>743</v>
      </c>
      <c r="B59" s="119" t="s">
        <v>744</v>
      </c>
      <c r="C59" s="145">
        <v>160</v>
      </c>
      <c r="D59" s="182">
        <f t="shared" si="1"/>
        <v>3.2087348179213456E-3</v>
      </c>
      <c r="E59" s="166">
        <v>0.05</v>
      </c>
      <c r="F59" s="184">
        <f t="shared" si="2"/>
        <v>1.6043674089606728E-4</v>
      </c>
      <c r="G59" s="183" t="s">
        <v>610</v>
      </c>
    </row>
    <row r="60" spans="1:7" ht="33.75" x14ac:dyDescent="0.2">
      <c r="A60" s="119" t="s">
        <v>745</v>
      </c>
      <c r="B60" s="119" t="s">
        <v>746</v>
      </c>
      <c r="C60" s="145">
        <v>330</v>
      </c>
      <c r="D60" s="182">
        <f t="shared" si="1"/>
        <v>6.6180155619627755E-3</v>
      </c>
      <c r="E60" s="166">
        <v>0.05</v>
      </c>
      <c r="F60" s="184">
        <f t="shared" si="2"/>
        <v>3.3090077809813878E-4</v>
      </c>
      <c r="G60" s="183" t="s">
        <v>611</v>
      </c>
    </row>
    <row r="61" spans="1:7" ht="45" x14ac:dyDescent="0.2">
      <c r="A61" s="119" t="s">
        <v>747</v>
      </c>
      <c r="B61" s="119" t="s">
        <v>748</v>
      </c>
      <c r="C61" s="145">
        <v>330</v>
      </c>
      <c r="D61" s="182">
        <f t="shared" si="1"/>
        <v>6.6180155619627755E-3</v>
      </c>
      <c r="E61" s="166">
        <v>0.04</v>
      </c>
      <c r="F61" s="184">
        <f t="shared" si="2"/>
        <v>2.6472062247851104E-4</v>
      </c>
      <c r="G61" s="183" t="s">
        <v>612</v>
      </c>
    </row>
    <row r="62" spans="1:7" ht="56.25" x14ac:dyDescent="0.2">
      <c r="A62" s="119" t="s">
        <v>749</v>
      </c>
      <c r="B62" s="119" t="s">
        <v>750</v>
      </c>
      <c r="C62" s="145">
        <v>330</v>
      </c>
      <c r="D62" s="182">
        <f t="shared" si="1"/>
        <v>6.6180155619627755E-3</v>
      </c>
      <c r="E62" s="166">
        <v>0.05</v>
      </c>
      <c r="F62" s="184">
        <f t="shared" si="2"/>
        <v>3.3090077809813878E-4</v>
      </c>
      <c r="G62" s="183" t="s">
        <v>613</v>
      </c>
    </row>
    <row r="63" spans="1:7" ht="56.25" x14ac:dyDescent="0.2">
      <c r="A63" s="119" t="s">
        <v>751</v>
      </c>
      <c r="B63" s="119" t="s">
        <v>752</v>
      </c>
      <c r="C63" s="145">
        <v>1088</v>
      </c>
      <c r="D63" s="182">
        <f t="shared" si="1"/>
        <v>2.1819396761865149E-2</v>
      </c>
      <c r="E63" s="166">
        <v>0.02</v>
      </c>
      <c r="F63" s="184">
        <f t="shared" si="2"/>
        <v>4.3638793523730296E-4</v>
      </c>
      <c r="G63" s="183" t="s">
        <v>614</v>
      </c>
    </row>
    <row r="64" spans="1:7" ht="45" x14ac:dyDescent="0.2">
      <c r="A64" s="119" t="s">
        <v>753</v>
      </c>
      <c r="B64" s="119" t="s">
        <v>754</v>
      </c>
      <c r="C64" s="145">
        <v>330</v>
      </c>
      <c r="D64" s="182">
        <f t="shared" si="1"/>
        <v>6.6180155619627755E-3</v>
      </c>
      <c r="E64" s="166">
        <v>0.03</v>
      </c>
      <c r="F64" s="184">
        <f t="shared" si="2"/>
        <v>1.9854046685888326E-4</v>
      </c>
      <c r="G64" s="183" t="s">
        <v>615</v>
      </c>
    </row>
    <row r="65" spans="1:7" ht="45" x14ac:dyDescent="0.2">
      <c r="A65" s="119" t="s">
        <v>755</v>
      </c>
      <c r="B65" s="119" t="s">
        <v>756</v>
      </c>
      <c r="C65" s="145">
        <v>475</v>
      </c>
      <c r="D65" s="182">
        <f t="shared" si="1"/>
        <v>9.5259314907039944E-3</v>
      </c>
      <c r="E65" s="166">
        <v>0.05</v>
      </c>
      <c r="F65" s="184">
        <f t="shared" si="2"/>
        <v>4.7629657453519977E-4</v>
      </c>
      <c r="G65" s="183" t="s">
        <v>616</v>
      </c>
    </row>
    <row r="66" spans="1:7" ht="45" x14ac:dyDescent="0.2">
      <c r="A66" s="119" t="s">
        <v>757</v>
      </c>
      <c r="B66" s="119" t="s">
        <v>756</v>
      </c>
      <c r="C66" s="145">
        <v>368</v>
      </c>
      <c r="D66" s="182">
        <f t="shared" si="1"/>
        <v>7.3800900812190946E-3</v>
      </c>
      <c r="E66" s="166">
        <v>0.05</v>
      </c>
      <c r="F66" s="184">
        <f t="shared" si="2"/>
        <v>3.6900450406095474E-4</v>
      </c>
      <c r="G66" s="183" t="s">
        <v>616</v>
      </c>
    </row>
    <row r="67" spans="1:7" ht="67.5" x14ac:dyDescent="0.2">
      <c r="A67" s="119" t="s">
        <v>758</v>
      </c>
      <c r="B67" s="119" t="s">
        <v>759</v>
      </c>
      <c r="C67" s="145">
        <v>278.47000000000003</v>
      </c>
      <c r="D67" s="182">
        <f t="shared" si="1"/>
        <v>5.5846024046659823E-3</v>
      </c>
      <c r="E67" s="166">
        <v>0.05</v>
      </c>
      <c r="F67" s="184">
        <f t="shared" ref="F67:F71" si="3">IFERROR(D67*E67,"")</f>
        <v>2.7923012023329911E-4</v>
      </c>
      <c r="G67" s="183" t="s">
        <v>617</v>
      </c>
    </row>
    <row r="68" spans="1:7" ht="33.75" x14ac:dyDescent="0.2">
      <c r="A68" s="119" t="s">
        <v>760</v>
      </c>
      <c r="B68" s="119" t="s">
        <v>761</v>
      </c>
      <c r="C68" s="145">
        <v>585</v>
      </c>
      <c r="D68" s="182">
        <f t="shared" si="1"/>
        <v>1.1731936678024919E-2</v>
      </c>
      <c r="E68" s="166">
        <v>0.05</v>
      </c>
      <c r="F68" s="184">
        <f t="shared" si="3"/>
        <v>5.8659683390124601E-4</v>
      </c>
      <c r="G68" s="183" t="s">
        <v>618</v>
      </c>
    </row>
    <row r="69" spans="1:7" ht="33.75" x14ac:dyDescent="0.2">
      <c r="A69" s="119" t="s">
        <v>762</v>
      </c>
      <c r="B69" s="119" t="s">
        <v>763</v>
      </c>
      <c r="C69" s="145">
        <v>330</v>
      </c>
      <c r="D69" s="182">
        <f t="shared" ref="D69:D71" si="4">IFERROR(C69/$C$73,"")</f>
        <v>6.6180155619627755E-3</v>
      </c>
      <c r="E69" s="166">
        <v>0.05</v>
      </c>
      <c r="F69" s="184">
        <f t="shared" si="3"/>
        <v>3.3090077809813878E-4</v>
      </c>
      <c r="G69" s="183" t="s">
        <v>619</v>
      </c>
    </row>
    <row r="70" spans="1:7" ht="56.25" x14ac:dyDescent="0.2">
      <c r="A70" s="119" t="s">
        <v>764</v>
      </c>
      <c r="B70" s="119" t="s">
        <v>765</v>
      </c>
      <c r="C70" s="145">
        <v>330</v>
      </c>
      <c r="D70" s="182">
        <f t="shared" si="4"/>
        <v>6.6180155619627755E-3</v>
      </c>
      <c r="E70" s="166">
        <v>0.05</v>
      </c>
      <c r="F70" s="184">
        <f t="shared" si="3"/>
        <v>3.3090077809813878E-4</v>
      </c>
      <c r="G70" s="183" t="s">
        <v>620</v>
      </c>
    </row>
    <row r="71" spans="1:7" ht="45" x14ac:dyDescent="0.2">
      <c r="A71" s="119" t="s">
        <v>766</v>
      </c>
      <c r="B71" s="119" t="s">
        <v>767</v>
      </c>
      <c r="C71" s="145">
        <v>330</v>
      </c>
      <c r="D71" s="182">
        <f t="shared" si="4"/>
        <v>6.6180155619627755E-3</v>
      </c>
      <c r="E71" s="166">
        <v>0.05</v>
      </c>
      <c r="F71" s="184">
        <f t="shared" si="3"/>
        <v>3.3090077809813878E-4</v>
      </c>
      <c r="G71" s="183" t="s">
        <v>621</v>
      </c>
    </row>
    <row r="72" spans="1:7" ht="45" x14ac:dyDescent="0.2">
      <c r="A72" s="119" t="s">
        <v>768</v>
      </c>
      <c r="B72" s="119"/>
      <c r="C72" s="145"/>
      <c r="D72" s="182"/>
      <c r="E72" s="166">
        <v>0.05</v>
      </c>
      <c r="F72" s="184"/>
      <c r="G72" s="183" t="s">
        <v>622</v>
      </c>
    </row>
    <row r="73" spans="1:7" s="12" customFormat="1" ht="27.2" customHeight="1" x14ac:dyDescent="0.2">
      <c r="A73" s="2" t="s">
        <v>346</v>
      </c>
      <c r="B73" s="2"/>
      <c r="C73" s="167">
        <f>SUM(C4:C72)</f>
        <v>49863.89</v>
      </c>
      <c r="D73" s="2"/>
      <c r="E73" s="168"/>
      <c r="F73" s="169">
        <f>IF(C4="",0,SUM(F4:F72))</f>
        <v>4.8697734974146561E-2</v>
      </c>
      <c r="G73" s="2"/>
    </row>
    <row r="74" spans="1:7" ht="22.5" x14ac:dyDescent="0.2">
      <c r="A74"/>
      <c r="B74"/>
      <c r="C74"/>
      <c r="D74"/>
      <c r="E74" s="170" t="s">
        <v>623</v>
      </c>
      <c r="F74" s="146">
        <f>D79</f>
        <v>0.5</v>
      </c>
    </row>
    <row r="75" spans="1:7" x14ac:dyDescent="0.2">
      <c r="A75"/>
      <c r="B75"/>
      <c r="C75"/>
      <c r="D75"/>
      <c r="E75" s="171" t="s">
        <v>624</v>
      </c>
      <c r="F75" s="172">
        <f>F73*F74</f>
        <v>2.4348867487073281E-2</v>
      </c>
    </row>
    <row r="76" spans="1:7" ht="22.5" customHeight="1" x14ac:dyDescent="0.2">
      <c r="A76" s="402" t="s">
        <v>625</v>
      </c>
      <c r="B76" s="402"/>
      <c r="C76" s="10" t="s">
        <v>626</v>
      </c>
      <c r="D76" s="10" t="s">
        <v>627</v>
      </c>
    </row>
    <row r="77" spans="1:7" ht="33.75" customHeight="1" x14ac:dyDescent="0.2">
      <c r="A77" s="403" t="s">
        <v>628</v>
      </c>
      <c r="B77" s="102" t="s">
        <v>629</v>
      </c>
      <c r="C77" s="173">
        <f>('II - Planilha Consolidada'!H6+'II - Planilha Consolidada'!I38*0.5)/(1+'V - BDI'!$C$18)</f>
        <v>269673.82949193986</v>
      </c>
      <c r="D77" s="174">
        <f>C77/$C$84</f>
        <v>0.5</v>
      </c>
    </row>
    <row r="78" spans="1:7" x14ac:dyDescent="0.2">
      <c r="A78" s="403"/>
      <c r="B78" s="102" t="s">
        <v>630</v>
      </c>
      <c r="C78" s="173">
        <v>0</v>
      </c>
      <c r="D78" s="174">
        <f>C78/$C$84</f>
        <v>0</v>
      </c>
    </row>
    <row r="79" spans="1:7" x14ac:dyDescent="0.2">
      <c r="A79" s="403"/>
      <c r="B79" s="175" t="s">
        <v>183</v>
      </c>
      <c r="C79" s="176">
        <f>C78+C77</f>
        <v>269673.82949193986</v>
      </c>
      <c r="D79" s="177">
        <f>C79/C84</f>
        <v>0.5</v>
      </c>
    </row>
    <row r="80" spans="1:7" ht="22.5" customHeight="1" x14ac:dyDescent="0.2">
      <c r="A80" s="404" t="s">
        <v>631</v>
      </c>
      <c r="B80" s="14" t="s">
        <v>632</v>
      </c>
      <c r="C80" s="115">
        <f>('II - Planilha Consolidada'!H29)/(1+'V - BDI'!$C$18)</f>
        <v>0</v>
      </c>
      <c r="D80" s="174">
        <f>C80/$C$84</f>
        <v>0</v>
      </c>
    </row>
    <row r="81" spans="1:4" x14ac:dyDescent="0.2">
      <c r="A81" s="404"/>
      <c r="B81" s="14" t="s">
        <v>530</v>
      </c>
      <c r="C81" s="115">
        <f>('II - Planilha Consolidada'!I38*0.5)/(1+'V - BDI'!$C$18)</f>
        <v>269673.82949193986</v>
      </c>
      <c r="D81" s="174">
        <f>C81/$C$84</f>
        <v>0.5</v>
      </c>
    </row>
    <row r="82" spans="1:4" x14ac:dyDescent="0.2">
      <c r="A82" s="404"/>
      <c r="B82" s="14" t="s">
        <v>633</v>
      </c>
      <c r="C82" s="115">
        <f>(SUM('II - Planilha Consolidada'!H25:H28))/(1+'V - BDI'!$C$18)</f>
        <v>0</v>
      </c>
      <c r="D82" s="174">
        <f>C82/$C$84</f>
        <v>0</v>
      </c>
    </row>
    <row r="83" spans="1:4" x14ac:dyDescent="0.2">
      <c r="A83" s="404"/>
      <c r="B83" s="9" t="s">
        <v>183</v>
      </c>
      <c r="C83" s="178">
        <f>SUM(C80:C82)</f>
        <v>269673.82949193986</v>
      </c>
      <c r="D83" s="179">
        <f>C83/C84</f>
        <v>0.5</v>
      </c>
    </row>
    <row r="84" spans="1:4" ht="19.5" customHeight="1" x14ac:dyDescent="0.2">
      <c r="A84" s="402" t="s">
        <v>634</v>
      </c>
      <c r="B84" s="402"/>
      <c r="C84" s="180">
        <f>C83+C79</f>
        <v>539347.65898387972</v>
      </c>
      <c r="D84" s="181">
        <f>D83+D79</f>
        <v>1</v>
      </c>
    </row>
  </sheetData>
  <mergeCells count="5">
    <mergeCell ref="A76:B76"/>
    <mergeCell ref="A77:A79"/>
    <mergeCell ref="A80:A83"/>
    <mergeCell ref="A84:B84"/>
    <mergeCell ref="A1:G1"/>
  </mergeCells>
  <printOptions horizontalCentered="1"/>
  <pageMargins left="0.39370078740157483" right="0.39370078740157483" top="0.59055118110236227" bottom="0.39370078740157483" header="0" footer="0"/>
  <pageSetup paperSize="9" scale="70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MH75"/>
  <sheetViews>
    <sheetView view="pageBreakPreview" topLeftCell="C28" zoomScaleNormal="100" zoomScaleSheetLayoutView="100" workbookViewId="0">
      <selection activeCell="I44" sqref="I44"/>
    </sheetView>
  </sheetViews>
  <sheetFormatPr defaultColWidth="6.5" defaultRowHeight="14.25" x14ac:dyDescent="0.2"/>
  <cols>
    <col min="1" max="1" width="9" style="21" customWidth="1"/>
    <col min="2" max="2" width="9.125" style="22" customWidth="1"/>
    <col min="3" max="3" width="42" style="22" customWidth="1"/>
    <col min="4" max="5" width="9" style="22" customWidth="1"/>
    <col min="6" max="6" width="12.875" style="22" customWidth="1"/>
    <col min="7" max="7" width="21" style="22" customWidth="1"/>
    <col min="8" max="9" width="22.125" style="22" customWidth="1"/>
    <col min="10" max="10" width="14.375" style="22" bestFit="1" customWidth="1"/>
    <col min="11" max="1022" width="6.5" style="22"/>
  </cols>
  <sheetData>
    <row r="1" spans="1:9" ht="64.5" customHeight="1" x14ac:dyDescent="0.2">
      <c r="A1" s="323" t="s">
        <v>17</v>
      </c>
      <c r="B1" s="324"/>
      <c r="C1" s="324"/>
      <c r="D1" s="324"/>
      <c r="E1" s="324"/>
      <c r="F1" s="324"/>
      <c r="G1" s="324"/>
      <c r="H1" s="324"/>
      <c r="I1" s="325"/>
    </row>
    <row r="2" spans="1:9" ht="15" customHeight="1" x14ac:dyDescent="0.2">
      <c r="A2" s="326" t="s">
        <v>18</v>
      </c>
      <c r="B2" s="326"/>
      <c r="C2" s="326"/>
      <c r="D2" s="326"/>
      <c r="E2" s="326"/>
      <c r="F2" s="326"/>
      <c r="G2" s="326"/>
      <c r="H2" s="326"/>
      <c r="I2" s="326"/>
    </row>
    <row r="3" spans="1:9" ht="15" x14ac:dyDescent="0.2">
      <c r="A3" s="331"/>
      <c r="B3" s="332"/>
      <c r="C3" s="332"/>
      <c r="D3" s="332"/>
      <c r="E3" s="332"/>
      <c r="F3" s="332"/>
      <c r="G3" s="332"/>
      <c r="H3" s="332"/>
      <c r="I3" s="333"/>
    </row>
    <row r="4" spans="1:9" ht="14.25" customHeight="1" x14ac:dyDescent="0.2">
      <c r="A4" s="204"/>
      <c r="B4" s="327" t="s">
        <v>19</v>
      </c>
      <c r="C4" s="327"/>
      <c r="D4" s="327"/>
      <c r="E4" s="327"/>
      <c r="F4" s="327"/>
      <c r="G4" s="327"/>
      <c r="H4" s="327"/>
      <c r="I4" s="327"/>
    </row>
    <row r="5" spans="1:9" ht="38.25" customHeight="1" x14ac:dyDescent="0.2">
      <c r="A5" s="318" t="s">
        <v>20</v>
      </c>
      <c r="B5" s="205"/>
      <c r="C5" s="206" t="s">
        <v>21</v>
      </c>
      <c r="D5" s="205" t="s">
        <v>22</v>
      </c>
      <c r="E5" s="207" t="s">
        <v>23</v>
      </c>
      <c r="F5" s="207" t="s">
        <v>24</v>
      </c>
      <c r="G5" s="205" t="s">
        <v>25</v>
      </c>
      <c r="H5" s="205" t="s">
        <v>26</v>
      </c>
      <c r="I5" s="205" t="s">
        <v>27</v>
      </c>
    </row>
    <row r="6" spans="1:9" ht="14.25" customHeight="1" x14ac:dyDescent="0.2">
      <c r="A6" s="318"/>
      <c r="B6" s="208" t="s">
        <v>28</v>
      </c>
      <c r="C6" s="208" t="s">
        <v>29</v>
      </c>
      <c r="D6" s="209"/>
      <c r="E6" s="210"/>
      <c r="F6" s="211"/>
      <c r="G6" s="212">
        <f>SUM(G9:G24)</f>
        <v>0</v>
      </c>
      <c r="H6" s="212">
        <f>SUM(H9:H24)</f>
        <v>0</v>
      </c>
      <c r="I6" s="209"/>
    </row>
    <row r="7" spans="1:9" ht="14.25" customHeight="1" x14ac:dyDescent="0.2">
      <c r="A7" s="318"/>
      <c r="B7" s="228" t="s">
        <v>28</v>
      </c>
      <c r="C7" s="228" t="s">
        <v>30</v>
      </c>
      <c r="D7" s="229"/>
      <c r="E7" s="227"/>
      <c r="F7" s="230"/>
      <c r="G7" s="231"/>
      <c r="H7" s="231"/>
      <c r="I7" s="229"/>
    </row>
    <row r="8" spans="1:9" ht="14.25" customHeight="1" x14ac:dyDescent="0.2">
      <c r="A8" s="318"/>
      <c r="B8" s="334" t="s">
        <v>31</v>
      </c>
      <c r="C8" s="334"/>
      <c r="D8" s="334"/>
      <c r="E8" s="334"/>
      <c r="F8" s="334"/>
      <c r="G8" s="334"/>
      <c r="H8" s="334"/>
      <c r="I8" s="334"/>
    </row>
    <row r="9" spans="1:9" ht="38.25" customHeight="1" x14ac:dyDescent="0.2">
      <c r="A9" s="318"/>
      <c r="B9" s="232" t="str">
        <f>'III - Parcela Fixa'!A7</f>
        <v>1.1.1.1</v>
      </c>
      <c r="C9" s="233" t="str">
        <f>'III - Parcela Fixa'!B7</f>
        <v>Oficial de Manutenção A (Eletricista/Instalador-Reparador de Redes Telefônicas e de comunicação de dados) - CBO 5143-25 - Jornada 44h</v>
      </c>
      <c r="D9" s="234" t="str">
        <f>'III - Parcela Fixa'!C7</f>
        <v>posto/mês</v>
      </c>
      <c r="E9" s="235">
        <f>'III - Parcela Fixa'!E7</f>
        <v>5</v>
      </c>
      <c r="F9" s="236">
        <f>'III-A - Mão de Obra (CCT)'!D$123</f>
        <v>0</v>
      </c>
      <c r="G9" s="236">
        <f>F9*E9</f>
        <v>0</v>
      </c>
      <c r="H9" s="236">
        <f>G9*12</f>
        <v>0</v>
      </c>
      <c r="I9" s="237"/>
    </row>
    <row r="10" spans="1:9" ht="25.5" x14ac:dyDescent="0.2">
      <c r="A10" s="318"/>
      <c r="B10" s="213" t="str">
        <f>'III - Parcela Fixa'!A8</f>
        <v>1.1.1.2</v>
      </c>
      <c r="C10" s="214" t="str">
        <f>'III - Parcela Fixa'!B8</f>
        <v>Oficial de Manutenção B (Pedreiro/Bombeiro Hidráulico) - CBO 5143-25 - Jornada 44h</v>
      </c>
      <c r="D10" s="209" t="str">
        <f>'III - Parcela Fixa'!C8</f>
        <v>posto/mês</v>
      </c>
      <c r="E10" s="215">
        <f>'III - Parcela Fixa'!E8</f>
        <v>5</v>
      </c>
      <c r="F10" s="211">
        <f>'III-A - Mão de Obra (CCT)'!G$123</f>
        <v>0</v>
      </c>
      <c r="G10" s="211">
        <f t="shared" ref="G10:G28" si="0">F10*E10</f>
        <v>0</v>
      </c>
      <c r="H10" s="211">
        <f t="shared" ref="H10:H28" si="1">G10*12</f>
        <v>0</v>
      </c>
      <c r="I10" s="216"/>
    </row>
    <row r="11" spans="1:9" ht="38.25" x14ac:dyDescent="0.2">
      <c r="A11" s="318"/>
      <c r="B11" s="213" t="str">
        <f>'III - Parcela Fixa'!A9</f>
        <v>1.1.1.3</v>
      </c>
      <c r="C11" s="214" t="str">
        <f>'III - Parcela Fixa'!B9</f>
        <v>Ajudante de Eletricista/Instalador - Reparado de Redes Telefônicas e de Comunicação de Dados - CBO 7156-15 - Jornada 44h</v>
      </c>
      <c r="D11" s="209" t="str">
        <f>'III - Parcela Fixa'!C9</f>
        <v>posto/mês</v>
      </c>
      <c r="E11" s="215">
        <f>'III - Parcela Fixa'!E9</f>
        <v>5</v>
      </c>
      <c r="F11" s="211">
        <f>'III-A - Mão de Obra (CCT)'!J$123</f>
        <v>0</v>
      </c>
      <c r="G11" s="211">
        <f t="shared" si="0"/>
        <v>0</v>
      </c>
      <c r="H11" s="211">
        <f t="shared" si="1"/>
        <v>0</v>
      </c>
      <c r="I11" s="216"/>
    </row>
    <row r="12" spans="1:9" x14ac:dyDescent="0.2">
      <c r="A12" s="318"/>
      <c r="B12" s="334" t="s">
        <v>32</v>
      </c>
      <c r="C12" s="334"/>
      <c r="D12" s="334"/>
      <c r="E12" s="334"/>
      <c r="F12" s="334"/>
      <c r="G12" s="334"/>
      <c r="H12" s="334"/>
      <c r="I12" s="334"/>
    </row>
    <row r="13" spans="1:9" ht="38.25" x14ac:dyDescent="0.2">
      <c r="A13" s="318"/>
      <c r="B13" s="213" t="str">
        <f>'III - Parcela Fixa'!A11</f>
        <v>1.1.1.4</v>
      </c>
      <c r="C13" s="214" t="str">
        <f>'III - Parcela Fixa'!B11</f>
        <v>Oficial de Manutenção A (Eletricista/Instalador-Reparador de Redes Telefônicas e de comunicação de dados) - CBO 5143-25 - Jornada 44h</v>
      </c>
      <c r="D13" s="209" t="str">
        <f>'III - Parcela Fixa'!C11</f>
        <v>posto/mês</v>
      </c>
      <c r="E13" s="215">
        <f>'III - Parcela Fixa'!E11</f>
        <v>1</v>
      </c>
      <c r="F13" s="211">
        <f>'III-A - Mão de Obra (CCT)'!E$123</f>
        <v>0</v>
      </c>
      <c r="G13" s="236">
        <f>F13*E13</f>
        <v>0</v>
      </c>
      <c r="H13" s="236">
        <f>G13*12</f>
        <v>0</v>
      </c>
      <c r="I13" s="216"/>
    </row>
    <row r="14" spans="1:9" ht="25.5" x14ac:dyDescent="0.2">
      <c r="A14" s="318"/>
      <c r="B14" s="213" t="str">
        <f>'III - Parcela Fixa'!A12</f>
        <v>1.1.1.5</v>
      </c>
      <c r="C14" s="214" t="str">
        <f>'III - Parcela Fixa'!B12</f>
        <v>Oficial de Manutenção B (Pedreiro/Bombeiro Hidráulico) - CBO 5143-25 - Jornada 44h</v>
      </c>
      <c r="D14" s="209" t="str">
        <f>'III - Parcela Fixa'!C12</f>
        <v>posto/mês</v>
      </c>
      <c r="E14" s="215">
        <f>'III - Parcela Fixa'!E12</f>
        <v>1</v>
      </c>
      <c r="F14" s="211">
        <f>'III-A - Mão de Obra (CCT)'!H$123</f>
        <v>0</v>
      </c>
      <c r="G14" s="211">
        <f t="shared" ref="G14:G15" si="2">F14*E14</f>
        <v>0</v>
      </c>
      <c r="H14" s="211">
        <f t="shared" ref="H14:H15" si="3">G14*12</f>
        <v>0</v>
      </c>
      <c r="I14" s="216"/>
    </row>
    <row r="15" spans="1:9" ht="38.25" x14ac:dyDescent="0.2">
      <c r="A15" s="318"/>
      <c r="B15" s="213" t="str">
        <f>'III - Parcela Fixa'!A13</f>
        <v>1.1.1.6</v>
      </c>
      <c r="C15" s="214" t="str">
        <f>'III - Parcela Fixa'!B13</f>
        <v>Ajudante de Eletricista/Instalador - Reparado de Redes Telefônicas e de Comunicação de Dados - CBO 7156-15 - Jornada 44h</v>
      </c>
      <c r="D15" s="209" t="str">
        <f>'III - Parcela Fixa'!C13</f>
        <v>posto/mês</v>
      </c>
      <c r="E15" s="215">
        <f>'III - Parcela Fixa'!E13</f>
        <v>1</v>
      </c>
      <c r="F15" s="211">
        <f>'III-A - Mão de Obra (CCT)'!K$123</f>
        <v>0</v>
      </c>
      <c r="G15" s="211">
        <f t="shared" si="2"/>
        <v>0</v>
      </c>
      <c r="H15" s="211">
        <f t="shared" si="3"/>
        <v>0</v>
      </c>
      <c r="I15" s="216"/>
    </row>
    <row r="16" spans="1:9" x14ac:dyDescent="0.2">
      <c r="A16" s="318"/>
      <c r="B16" s="334" t="s">
        <v>33</v>
      </c>
      <c r="C16" s="334"/>
      <c r="D16" s="334"/>
      <c r="E16" s="334"/>
      <c r="F16" s="334"/>
      <c r="G16" s="334"/>
      <c r="H16" s="334"/>
      <c r="I16" s="334"/>
    </row>
    <row r="17" spans="1:12" ht="38.25" x14ac:dyDescent="0.2">
      <c r="A17" s="318"/>
      <c r="B17" s="213" t="str">
        <f>'III - Parcela Fixa'!A15</f>
        <v>1.1.1.7</v>
      </c>
      <c r="C17" s="214" t="str">
        <f>'III - Parcela Fixa'!B15</f>
        <v>Oficial de Manutenção A (Eletricista/Instalador-Reparador de Redes Telefônicas e de comunicação de dados) - CBO 5143-25 - Jornada 44h</v>
      </c>
      <c r="D17" s="209" t="str">
        <f>'III - Parcela Fixa'!C15</f>
        <v>posto/mês</v>
      </c>
      <c r="E17" s="215">
        <f>'III - Parcela Fixa'!E15</f>
        <v>1</v>
      </c>
      <c r="F17" s="211">
        <f>'III-A - Mão de Obra (CCT)'!F$123</f>
        <v>0</v>
      </c>
      <c r="G17" s="236">
        <f>F17*E17</f>
        <v>0</v>
      </c>
      <c r="H17" s="236">
        <f>G17*12</f>
        <v>0</v>
      </c>
      <c r="I17" s="216"/>
      <c r="J17"/>
      <c r="L17"/>
    </row>
    <row r="18" spans="1:12" ht="38.25" x14ac:dyDescent="0.2">
      <c r="A18" s="318"/>
      <c r="B18" s="213" t="str">
        <f>'III - Parcela Fixa'!A16</f>
        <v>1.1.1.8</v>
      </c>
      <c r="C18" s="214" t="str">
        <f>'III - Parcela Fixa'!B16</f>
        <v>Ajudante de Eletricista/Instalador - Reparado de Redes Telefônicas e de Comunicação de Dados - CBO 7156-15 - Jornada 44h</v>
      </c>
      <c r="D18" s="209" t="str">
        <f>'III - Parcela Fixa'!C16</f>
        <v>posto/mês</v>
      </c>
      <c r="E18" s="215">
        <f>'III - Parcela Fixa'!E16</f>
        <v>1</v>
      </c>
      <c r="F18" s="211">
        <f>'III-A - Mão de Obra (CCT)'!L$123</f>
        <v>0</v>
      </c>
      <c r="G18" s="211">
        <f t="shared" ref="G18:G19" si="4">F18*E18</f>
        <v>0</v>
      </c>
      <c r="H18" s="211">
        <f t="shared" ref="H18:H19" si="5">G18*12</f>
        <v>0</v>
      </c>
      <c r="I18" s="216"/>
      <c r="J18"/>
      <c r="L18"/>
    </row>
    <row r="19" spans="1:12" ht="25.5" x14ac:dyDescent="0.2">
      <c r="A19" s="318"/>
      <c r="B19" s="213" t="str">
        <f>'III - Parcela Fixa'!A17</f>
        <v>1.1.1.9</v>
      </c>
      <c r="C19" s="214" t="str">
        <f>'III - Parcela Fixa'!B17</f>
        <v>Oficial de Manutenção B (Pedreiro/Bombeiro Hidráulico) - CBO 5143-25 - Jornada 44h</v>
      </c>
      <c r="D19" s="209" t="str">
        <f>'III - Parcela Fixa'!C17</f>
        <v>posto/mês</v>
      </c>
      <c r="E19" s="215">
        <f>'III - Parcela Fixa'!E17</f>
        <v>1</v>
      </c>
      <c r="F19" s="211">
        <f>'III-A - Mão de Obra (CCT)'!I$123</f>
        <v>0</v>
      </c>
      <c r="G19" s="211">
        <f t="shared" si="4"/>
        <v>0</v>
      </c>
      <c r="H19" s="211">
        <f t="shared" si="5"/>
        <v>0</v>
      </c>
      <c r="I19" s="216"/>
      <c r="J19"/>
      <c r="L19"/>
    </row>
    <row r="20" spans="1:12" x14ac:dyDescent="0.2">
      <c r="A20" s="318"/>
      <c r="B20" s="238" t="s">
        <v>34</v>
      </c>
      <c r="C20" s="239" t="s">
        <v>35</v>
      </c>
      <c r="D20" s="209"/>
      <c r="E20" s="215"/>
      <c r="F20" s="211"/>
      <c r="G20" s="211"/>
      <c r="H20" s="211"/>
      <c r="I20" s="216"/>
      <c r="J20"/>
      <c r="L20"/>
    </row>
    <row r="21" spans="1:12" x14ac:dyDescent="0.2">
      <c r="A21" s="318"/>
      <c r="B21" s="334" t="s">
        <v>31</v>
      </c>
      <c r="C21" s="334"/>
      <c r="D21" s="334"/>
      <c r="E21" s="334"/>
      <c r="F21" s="334"/>
      <c r="G21" s="334"/>
      <c r="H21" s="334"/>
      <c r="I21" s="334"/>
      <c r="J21"/>
      <c r="L21"/>
    </row>
    <row r="22" spans="1:12" x14ac:dyDescent="0.2">
      <c r="A22" s="318"/>
      <c r="B22" s="213" t="s">
        <v>36</v>
      </c>
      <c r="C22" s="214" t="s">
        <v>37</v>
      </c>
      <c r="D22" s="209" t="s">
        <v>38</v>
      </c>
      <c r="E22" s="215">
        <f>'III - Parcela Fixa'!E20</f>
        <v>0.68120535714285713</v>
      </c>
      <c r="F22" s="211">
        <f>'III-A - Mão de Obra (CCT)'!N123</f>
        <v>0</v>
      </c>
      <c r="G22" s="211">
        <f t="shared" si="0"/>
        <v>0</v>
      </c>
      <c r="H22" s="211">
        <f t="shared" si="1"/>
        <v>0</v>
      </c>
      <c r="I22" s="216"/>
      <c r="J22"/>
      <c r="L22"/>
    </row>
    <row r="23" spans="1:12" x14ac:dyDescent="0.2">
      <c r="A23" s="318"/>
      <c r="B23" s="213" t="s">
        <v>39</v>
      </c>
      <c r="C23" s="214" t="s">
        <v>40</v>
      </c>
      <c r="D23" s="209" t="s">
        <v>38</v>
      </c>
      <c r="E23" s="215">
        <f>'III - Parcela Fixa'!E21</f>
        <v>0.16605384199134199</v>
      </c>
      <c r="F23" s="211">
        <f>'III-A - Mão de Obra (CCT)'!O123</f>
        <v>0</v>
      </c>
      <c r="G23" s="211">
        <f t="shared" si="0"/>
        <v>0</v>
      </c>
      <c r="H23" s="211">
        <f t="shared" si="1"/>
        <v>0</v>
      </c>
      <c r="I23" s="216"/>
      <c r="J23"/>
      <c r="L23"/>
    </row>
    <row r="24" spans="1:12" x14ac:dyDescent="0.2">
      <c r="A24" s="318"/>
      <c r="B24" s="213" t="s">
        <v>41</v>
      </c>
      <c r="C24" s="214" t="s">
        <v>42</v>
      </c>
      <c r="D24" s="209" t="s">
        <v>38</v>
      </c>
      <c r="E24" s="215">
        <f>'III - Parcela Fixa'!E22</f>
        <v>1</v>
      </c>
      <c r="F24" s="211">
        <f>'III-A - Mão de Obra (CCT)'!M123</f>
        <v>0</v>
      </c>
      <c r="G24" s="211">
        <f t="shared" si="0"/>
        <v>0</v>
      </c>
      <c r="H24" s="211">
        <f t="shared" si="1"/>
        <v>0</v>
      </c>
      <c r="I24" s="216"/>
      <c r="J24"/>
      <c r="L24"/>
    </row>
    <row r="25" spans="1:12" x14ac:dyDescent="0.2">
      <c r="A25" s="318"/>
      <c r="B25" s="217" t="s">
        <v>34</v>
      </c>
      <c r="C25" s="208" t="s">
        <v>43</v>
      </c>
      <c r="D25" s="218" t="s">
        <v>22</v>
      </c>
      <c r="E25" s="218">
        <v>1</v>
      </c>
      <c r="F25" s="219">
        <f>'III-C - Desloc e Pern'!J5</f>
        <v>0</v>
      </c>
      <c r="G25" s="220">
        <f t="shared" si="0"/>
        <v>0</v>
      </c>
      <c r="H25" s="220">
        <f t="shared" si="1"/>
        <v>0</v>
      </c>
      <c r="I25" s="221"/>
      <c r="J25"/>
      <c r="L25"/>
    </row>
    <row r="26" spans="1:12" x14ac:dyDescent="0.2">
      <c r="A26" s="318"/>
      <c r="B26" s="217" t="s">
        <v>44</v>
      </c>
      <c r="C26" s="208" t="s">
        <v>45</v>
      </c>
      <c r="D26" s="218" t="s">
        <v>22</v>
      </c>
      <c r="E26" s="222">
        <v>1</v>
      </c>
      <c r="F26" s="219">
        <f>'III-C - Desloc e Pern'!J6</f>
        <v>0</v>
      </c>
      <c r="G26" s="223">
        <f>F26*E26</f>
        <v>0</v>
      </c>
      <c r="H26" s="223">
        <f>G26*12</f>
        <v>0</v>
      </c>
      <c r="I26" s="224"/>
      <c r="J26"/>
      <c r="L26"/>
    </row>
    <row r="27" spans="1:12" x14ac:dyDescent="0.2">
      <c r="A27" s="318"/>
      <c r="B27" s="217" t="s">
        <v>46</v>
      </c>
      <c r="C27" s="208" t="s">
        <v>47</v>
      </c>
      <c r="D27" s="218" t="s">
        <v>22</v>
      </c>
      <c r="E27" s="222">
        <v>1</v>
      </c>
      <c r="F27" s="219">
        <f>'III-C - Desloc e Pern'!J7</f>
        <v>0</v>
      </c>
      <c r="G27" s="223">
        <f t="shared" si="0"/>
        <v>0</v>
      </c>
      <c r="H27" s="223">
        <f t="shared" si="1"/>
        <v>0</v>
      </c>
      <c r="I27" s="224"/>
      <c r="J27"/>
      <c r="L27"/>
    </row>
    <row r="28" spans="1:12" x14ac:dyDescent="0.2">
      <c r="A28" s="318"/>
      <c r="B28" s="217" t="s">
        <v>48</v>
      </c>
      <c r="C28" s="208" t="s">
        <v>49</v>
      </c>
      <c r="D28" s="218" t="s">
        <v>22</v>
      </c>
      <c r="E28" s="222">
        <v>6</v>
      </c>
      <c r="F28" s="219">
        <f>'III-C - Desloc e Pern'!G8*(1+H38)</f>
        <v>0</v>
      </c>
      <c r="G28" s="223">
        <f t="shared" si="0"/>
        <v>0</v>
      </c>
      <c r="H28" s="223">
        <f t="shared" si="1"/>
        <v>0</v>
      </c>
      <c r="I28" s="224"/>
      <c r="J28" s="268"/>
      <c r="L28">
        <f>2350*1.3</f>
        <v>3055</v>
      </c>
    </row>
    <row r="29" spans="1:12" x14ac:dyDescent="0.2">
      <c r="A29" s="318"/>
      <c r="B29" s="217" t="s">
        <v>50</v>
      </c>
      <c r="C29" s="208" t="s">
        <v>51</v>
      </c>
      <c r="D29" s="218" t="s">
        <v>22</v>
      </c>
      <c r="E29" s="222">
        <v>1</v>
      </c>
      <c r="F29" s="219">
        <f>'III-E - Materiais de Consumo'!I329</f>
        <v>0</v>
      </c>
      <c r="G29" s="223">
        <f t="shared" ref="G29" si="6">F29*E29</f>
        <v>0</v>
      </c>
      <c r="H29" s="223">
        <f t="shared" ref="H29" si="7">G29*12</f>
        <v>0</v>
      </c>
      <c r="I29" s="224"/>
      <c r="J29" s="268"/>
      <c r="L29"/>
    </row>
    <row r="30" spans="1:12" x14ac:dyDescent="0.2">
      <c r="A30" s="318"/>
      <c r="B30" s="225" t="s">
        <v>52</v>
      </c>
      <c r="C30" s="328" t="s">
        <v>53</v>
      </c>
      <c r="D30" s="329"/>
      <c r="E30" s="329"/>
      <c r="F30" s="329"/>
      <c r="G30" s="329"/>
      <c r="H30" s="330"/>
      <c r="I30" s="226">
        <f>SUM(H25:H29)+H6</f>
        <v>0</v>
      </c>
      <c r="J30" s="268"/>
      <c r="L30"/>
    </row>
    <row r="31" spans="1:12" x14ac:dyDescent="0.2">
      <c r="A31" s="5"/>
      <c r="B31" s="5"/>
      <c r="C31" s="5"/>
      <c r="D31" s="5"/>
      <c r="E31" s="5"/>
      <c r="F31" s="5"/>
      <c r="G31"/>
      <c r="H31"/>
      <c r="I31"/>
      <c r="J31"/>
      <c r="L31"/>
    </row>
    <row r="32" spans="1:12" x14ac:dyDescent="0.2">
      <c r="A32" s="240"/>
      <c r="B32" s="327" t="s">
        <v>54</v>
      </c>
      <c r="C32" s="327"/>
      <c r="D32" s="327"/>
      <c r="E32" s="327"/>
      <c r="F32" s="327"/>
      <c r="G32" s="327"/>
      <c r="H32" s="327"/>
      <c r="I32" s="327"/>
      <c r="J32"/>
      <c r="L32"/>
    </row>
    <row r="33" spans="1:10" x14ac:dyDescent="0.2">
      <c r="A33" s="318" t="s">
        <v>55</v>
      </c>
      <c r="B33" s="316" t="s">
        <v>56</v>
      </c>
      <c r="C33" s="316"/>
      <c r="D33" s="316"/>
      <c r="E33" s="316"/>
      <c r="F33" s="316"/>
      <c r="G33" s="316"/>
      <c r="H33" s="316"/>
      <c r="I33" s="316"/>
      <c r="J33"/>
    </row>
    <row r="34" spans="1:10" ht="44.85" customHeight="1" x14ac:dyDescent="0.2">
      <c r="A34" s="318"/>
      <c r="B34" s="241" t="s">
        <v>57</v>
      </c>
      <c r="C34" s="242" t="s">
        <v>58</v>
      </c>
      <c r="D34" s="243"/>
      <c r="E34" s="243"/>
      <c r="F34" s="243"/>
      <c r="G34" s="244"/>
      <c r="H34" s="241" t="s">
        <v>59</v>
      </c>
      <c r="I34" s="241" t="s">
        <v>60</v>
      </c>
      <c r="J34"/>
    </row>
    <row r="35" spans="1:10" x14ac:dyDescent="0.2">
      <c r="A35" s="318"/>
      <c r="B35" s="245" t="s">
        <v>61</v>
      </c>
      <c r="C35" s="312" t="s">
        <v>62</v>
      </c>
      <c r="D35" s="312"/>
      <c r="E35" s="312"/>
      <c r="F35" s="312"/>
      <c r="G35" s="312"/>
      <c r="H35" s="246"/>
      <c r="I35" s="247">
        <v>539347.65898387972</v>
      </c>
      <c r="J35" s="268"/>
    </row>
    <row r="36" spans="1:10" ht="39" customHeight="1" x14ac:dyDescent="0.2">
      <c r="A36" s="318"/>
      <c r="B36" s="248" t="s">
        <v>63</v>
      </c>
      <c r="C36" s="312" t="s">
        <v>64</v>
      </c>
      <c r="D36" s="312"/>
      <c r="E36" s="312"/>
      <c r="F36" s="312"/>
      <c r="G36" s="312"/>
      <c r="H36" s="249">
        <v>0</v>
      </c>
      <c r="I36" s="250">
        <f>I35*H36</f>
        <v>0</v>
      </c>
      <c r="J36"/>
    </row>
    <row r="37" spans="1:10" ht="30" customHeight="1" x14ac:dyDescent="0.2">
      <c r="A37" s="318"/>
      <c r="B37" s="248" t="s">
        <v>65</v>
      </c>
      <c r="C37" s="312" t="s">
        <v>66</v>
      </c>
      <c r="D37" s="312"/>
      <c r="E37" s="312"/>
      <c r="F37" s="312"/>
      <c r="G37" s="312"/>
      <c r="H37" s="251"/>
      <c r="I37" s="250">
        <f>I35-I36</f>
        <v>539347.65898387972</v>
      </c>
      <c r="J37"/>
    </row>
    <row r="38" spans="1:10" ht="44.85" customHeight="1" x14ac:dyDescent="0.2">
      <c r="A38" s="318"/>
      <c r="B38" s="248" t="s">
        <v>67</v>
      </c>
      <c r="C38" s="313" t="s">
        <v>68</v>
      </c>
      <c r="D38" s="314"/>
      <c r="E38" s="314"/>
      <c r="F38" s="315"/>
      <c r="G38" s="252" t="s">
        <v>69</v>
      </c>
      <c r="H38" s="253">
        <f>'V - BDI'!C18</f>
        <v>4.7120418848167533E-2</v>
      </c>
      <c r="I38" s="250">
        <f>I37*(1+H38)</f>
        <v>564761.9465799788</v>
      </c>
      <c r="J38"/>
    </row>
    <row r="39" spans="1:10" ht="44.85" customHeight="1" x14ac:dyDescent="0.2">
      <c r="A39" s="318"/>
      <c r="B39" s="241" t="s">
        <v>70</v>
      </c>
      <c r="C39" s="316" t="s">
        <v>71</v>
      </c>
      <c r="D39" s="316"/>
      <c r="E39" s="316"/>
      <c r="F39" s="316"/>
      <c r="G39" s="316"/>
      <c r="H39" s="316"/>
      <c r="I39" s="226">
        <f>I38</f>
        <v>564761.9465799788</v>
      </c>
      <c r="J39" s="268"/>
    </row>
    <row r="40" spans="1:10" x14ac:dyDescent="0.2">
      <c r="A40" s="5"/>
      <c r="B40" s="5"/>
      <c r="C40" s="5"/>
      <c r="D40" s="5"/>
      <c r="E40" s="5"/>
      <c r="F40" s="5"/>
      <c r="G40"/>
      <c r="H40"/>
      <c r="I40"/>
      <c r="J40"/>
    </row>
    <row r="41" spans="1:10" x14ac:dyDescent="0.2">
      <c r="A41" s="318" t="s">
        <v>72</v>
      </c>
      <c r="B41" s="319" t="s">
        <v>73</v>
      </c>
      <c r="C41" s="320"/>
      <c r="D41" s="320"/>
      <c r="E41" s="320"/>
      <c r="F41" s="320"/>
      <c r="G41" s="320"/>
      <c r="H41" s="321"/>
      <c r="I41"/>
      <c r="J41"/>
    </row>
    <row r="42" spans="1:10" x14ac:dyDescent="0.2">
      <c r="A42" s="318"/>
      <c r="B42" s="241" t="s">
        <v>74</v>
      </c>
      <c r="C42" s="316" t="s">
        <v>58</v>
      </c>
      <c r="D42" s="316"/>
      <c r="E42" s="316"/>
      <c r="F42" s="316"/>
      <c r="G42" s="316"/>
      <c r="H42" s="241" t="s">
        <v>75</v>
      </c>
      <c r="I42"/>
      <c r="J42"/>
    </row>
    <row r="43" spans="1:10" x14ac:dyDescent="0.2">
      <c r="A43" s="318"/>
      <c r="B43" s="222" t="s">
        <v>52</v>
      </c>
      <c r="C43" s="312" t="s">
        <v>76</v>
      </c>
      <c r="D43" s="312"/>
      <c r="E43" s="312"/>
      <c r="F43" s="312"/>
      <c r="G43" s="312"/>
      <c r="H43" s="250">
        <f>I30</f>
        <v>0</v>
      </c>
      <c r="I43" s="268"/>
      <c r="J43"/>
    </row>
    <row r="44" spans="1:10" ht="27" customHeight="1" x14ac:dyDescent="0.2">
      <c r="A44" s="318"/>
      <c r="B44" s="222" t="s">
        <v>70</v>
      </c>
      <c r="C44" s="312" t="s">
        <v>77</v>
      </c>
      <c r="D44" s="312"/>
      <c r="E44" s="312"/>
      <c r="F44" s="312"/>
      <c r="G44" s="312"/>
      <c r="H44" s="250">
        <f>I39</f>
        <v>564761.9465799788</v>
      </c>
      <c r="I44" s="268"/>
      <c r="J44"/>
    </row>
    <row r="45" spans="1:10" ht="15.75" x14ac:dyDescent="0.25">
      <c r="A45" s="318"/>
      <c r="B45" s="319" t="s">
        <v>78</v>
      </c>
      <c r="C45" s="320"/>
      <c r="D45" s="320"/>
      <c r="E45" s="320"/>
      <c r="F45" s="320"/>
      <c r="G45" s="321"/>
      <c r="H45" s="254">
        <f>SUM(H43:H44)</f>
        <v>564761.9465799788</v>
      </c>
      <c r="I45" s="268"/>
      <c r="J45" s="275"/>
    </row>
    <row r="46" spans="1:10" x14ac:dyDescent="0.2">
      <c r="A46" s="5"/>
      <c r="B46" s="5"/>
      <c r="C46" s="5"/>
      <c r="D46" s="5"/>
      <c r="E46" s="5"/>
      <c r="F46" s="5"/>
      <c r="G46"/>
      <c r="H46"/>
      <c r="I46" s="268"/>
      <c r="J46" s="268"/>
    </row>
    <row r="47" spans="1:10" x14ac:dyDescent="0.2">
      <c r="A47" s="317" t="s">
        <v>79</v>
      </c>
      <c r="B47" s="255" t="s">
        <v>61</v>
      </c>
      <c r="C47" s="256" t="s">
        <v>80</v>
      </c>
      <c r="D47" s="256"/>
      <c r="E47" s="256"/>
      <c r="F47" s="256"/>
      <c r="G47" s="256"/>
      <c r="H47" s="257"/>
      <c r="I47"/>
      <c r="J47" s="268"/>
    </row>
    <row r="48" spans="1:10" x14ac:dyDescent="0.2">
      <c r="A48" s="317"/>
      <c r="B48" s="258" t="s">
        <v>63</v>
      </c>
      <c r="C48" s="259" t="s">
        <v>81</v>
      </c>
      <c r="D48" s="259"/>
      <c r="E48" s="259"/>
      <c r="F48" s="259"/>
      <c r="G48" s="259"/>
      <c r="H48" s="260"/>
      <c r="I48"/>
      <c r="J48"/>
    </row>
    <row r="49" spans="1:9" x14ac:dyDescent="0.2">
      <c r="A49" s="317"/>
      <c r="B49" s="261" t="s">
        <v>65</v>
      </c>
      <c r="C49" s="262" t="s">
        <v>82</v>
      </c>
      <c r="D49" s="262"/>
      <c r="E49" s="262"/>
      <c r="F49" s="262"/>
      <c r="G49" s="262"/>
      <c r="H49" s="263"/>
      <c r="I49"/>
    </row>
    <row r="50" spans="1:9" x14ac:dyDescent="0.2">
      <c r="A50" s="317"/>
      <c r="B50" s="261" t="s">
        <v>67</v>
      </c>
      <c r="C50" s="262" t="s">
        <v>83</v>
      </c>
      <c r="D50" s="262"/>
      <c r="E50" s="262"/>
      <c r="F50" s="262"/>
      <c r="G50" s="262"/>
      <c r="H50" s="263"/>
      <c r="I50"/>
    </row>
    <row r="51" spans="1:9" x14ac:dyDescent="0.2">
      <c r="A51" s="5"/>
      <c r="B51" s="5"/>
      <c r="C51" s="5"/>
      <c r="D51" s="5"/>
      <c r="E51" s="5"/>
      <c r="F51" s="5"/>
      <c r="G51"/>
      <c r="H51"/>
      <c r="I51"/>
    </row>
    <row r="52" spans="1:9" ht="44.85" customHeight="1" x14ac:dyDescent="0.2">
      <c r="A52" s="7" t="s">
        <v>84</v>
      </c>
      <c r="B52" s="322" t="s">
        <v>85</v>
      </c>
      <c r="C52" s="322"/>
      <c r="D52" s="322"/>
      <c r="E52" s="322"/>
      <c r="F52" s="322"/>
      <c r="G52" s="24" t="s">
        <v>86</v>
      </c>
      <c r="H52"/>
      <c r="I52"/>
    </row>
    <row r="67" spans="4:6" hidden="1" x14ac:dyDescent="0.2">
      <c r="D67" s="21"/>
      <c r="E67" s="25" t="s">
        <v>87</v>
      </c>
      <c r="F67" s="26" t="e">
        <f>SUM(#REF!)</f>
        <v>#REF!</v>
      </c>
    </row>
    <row r="68" spans="4:6" hidden="1" x14ac:dyDescent="0.2">
      <c r="D68" s="27"/>
      <c r="E68" s="28" t="s">
        <v>88</v>
      </c>
      <c r="F68" s="29" t="e">
        <f>#REF!/F67</f>
        <v>#REF!</v>
      </c>
    </row>
    <row r="69" spans="4:6" hidden="1" x14ac:dyDescent="0.2">
      <c r="D69"/>
      <c r="E69" s="31"/>
      <c r="F69" s="30"/>
    </row>
    <row r="70" spans="4:6" hidden="1" x14ac:dyDescent="0.2">
      <c r="D70" s="322" t="s">
        <v>89</v>
      </c>
      <c r="E70" s="32" t="s">
        <v>90</v>
      </c>
      <c r="F70" s="33">
        <v>971.65099999999995</v>
      </c>
    </row>
    <row r="71" spans="4:6" hidden="1" x14ac:dyDescent="0.2">
      <c r="D71" s="322"/>
      <c r="E71" s="34" t="s">
        <v>91</v>
      </c>
      <c r="F71" s="35">
        <v>773.27300000000002</v>
      </c>
    </row>
    <row r="72" spans="4:6" hidden="1" x14ac:dyDescent="0.2">
      <c r="D72" s="322"/>
      <c r="E72" s="36" t="s">
        <v>92</v>
      </c>
      <c r="F72" s="35">
        <f>F71/F70</f>
        <v>0.79583410092718487</v>
      </c>
    </row>
    <row r="73" spans="4:6" hidden="1" x14ac:dyDescent="0.2">
      <c r="D73" s="322"/>
      <c r="E73" s="37" t="s">
        <v>93</v>
      </c>
      <c r="F73" s="38" t="e">
        <f>F72*F68</f>
        <v>#REF!</v>
      </c>
    </row>
    <row r="74" spans="4:6" hidden="1" x14ac:dyDescent="0.2">
      <c r="D74" s="322"/>
      <c r="E74" s="37" t="s">
        <v>94</v>
      </c>
      <c r="F74" s="35">
        <v>3.52</v>
      </c>
    </row>
    <row r="75" spans="4:6" hidden="1" x14ac:dyDescent="0.2">
      <c r="D75" s="322"/>
      <c r="E75" s="39"/>
      <c r="F75" s="40" t="e">
        <f>F73/F74</f>
        <v>#REF!</v>
      </c>
    </row>
  </sheetData>
  <mergeCells count="27">
    <mergeCell ref="D70:D75"/>
    <mergeCell ref="B52:F52"/>
    <mergeCell ref="A1:I1"/>
    <mergeCell ref="A2:I2"/>
    <mergeCell ref="B4:I4"/>
    <mergeCell ref="A5:A30"/>
    <mergeCell ref="C30:H30"/>
    <mergeCell ref="A3:I3"/>
    <mergeCell ref="B8:I8"/>
    <mergeCell ref="B12:I12"/>
    <mergeCell ref="B16:I16"/>
    <mergeCell ref="B21:I21"/>
    <mergeCell ref="B32:I32"/>
    <mergeCell ref="A33:A39"/>
    <mergeCell ref="B33:I33"/>
    <mergeCell ref="C35:G35"/>
    <mergeCell ref="C36:G36"/>
    <mergeCell ref="C37:G37"/>
    <mergeCell ref="C38:F38"/>
    <mergeCell ref="C39:H39"/>
    <mergeCell ref="A47:A50"/>
    <mergeCell ref="A41:A45"/>
    <mergeCell ref="B41:H41"/>
    <mergeCell ref="C42:G42"/>
    <mergeCell ref="C43:G43"/>
    <mergeCell ref="C44:G44"/>
    <mergeCell ref="B45:G45"/>
  </mergeCells>
  <dataValidations count="1">
    <dataValidation type="list" allowBlank="1" showErrorMessage="1" sqref="G52" xr:uid="{00000000-0002-0000-0100-000000000000}">
      <formula1>"DESONERADO,NÃO DESONERADO"</formula1>
      <formula2>0</formula2>
    </dataValidation>
  </dataValidations>
  <printOptions horizontalCentered="1"/>
  <pageMargins left="0.39370078740157483" right="0.39370078740157483" top="0.59055118110236227" bottom="0.39370078740157483" header="0" footer="0"/>
  <pageSetup paperSize="9" scale="56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ML28"/>
  <sheetViews>
    <sheetView view="pageBreakPreview" zoomScaleNormal="100" workbookViewId="0">
      <selection activeCell="A11" sqref="A11"/>
    </sheetView>
  </sheetViews>
  <sheetFormatPr defaultRowHeight="14.25" x14ac:dyDescent="0.2"/>
  <cols>
    <col min="1" max="1" width="11.625" style="23"/>
    <col min="2" max="2" width="49" style="41"/>
    <col min="3" max="3" width="10.875" style="41"/>
    <col min="4" max="4" width="9" style="41"/>
    <col min="5" max="5" width="10.875" style="41"/>
    <col min="6" max="6" width="15.375" style="41"/>
    <col min="7" max="7" width="16.25" style="41"/>
    <col min="8" max="9" width="9" style="41" hidden="1" customWidth="1"/>
    <col min="10" max="1026" width="10.875" style="41"/>
  </cols>
  <sheetData>
    <row r="1" spans="1:10" ht="42.95" customHeight="1" x14ac:dyDescent="0.2">
      <c r="A1" s="335" t="s">
        <v>95</v>
      </c>
      <c r="B1" s="335"/>
      <c r="C1" s="335"/>
      <c r="D1" s="335"/>
      <c r="E1" s="335"/>
      <c r="F1" s="335"/>
      <c r="G1" s="335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36.6" customHeight="1" x14ac:dyDescent="0.2">
      <c r="A3" s="42" t="s">
        <v>96</v>
      </c>
      <c r="B3" s="42" t="s">
        <v>97</v>
      </c>
      <c r="C3" s="42" t="s">
        <v>98</v>
      </c>
      <c r="D3" s="42" t="s">
        <v>99</v>
      </c>
      <c r="E3" s="42" t="s">
        <v>100</v>
      </c>
      <c r="F3" s="1" t="s">
        <v>101</v>
      </c>
      <c r="G3" s="1" t="s">
        <v>102</v>
      </c>
      <c r="H3"/>
      <c r="I3"/>
      <c r="J3"/>
    </row>
    <row r="4" spans="1:10" ht="15" x14ac:dyDescent="0.2">
      <c r="A4" s="43" t="s">
        <v>52</v>
      </c>
      <c r="B4" s="44" t="s">
        <v>103</v>
      </c>
      <c r="C4" s="45"/>
      <c r="D4" s="45"/>
      <c r="E4" s="45"/>
      <c r="F4" s="45"/>
      <c r="G4" s="46"/>
      <c r="H4"/>
      <c r="I4"/>
      <c r="J4"/>
    </row>
    <row r="5" spans="1:10" x14ac:dyDescent="0.2">
      <c r="A5" s="47" t="s">
        <v>28</v>
      </c>
      <c r="B5" s="48" t="s">
        <v>30</v>
      </c>
      <c r="C5" s="49"/>
      <c r="D5" s="49"/>
      <c r="E5" s="49"/>
      <c r="F5" s="49"/>
      <c r="G5" s="49"/>
      <c r="H5"/>
      <c r="I5" s="336"/>
      <c r="J5" s="336"/>
    </row>
    <row r="6" spans="1:10" x14ac:dyDescent="0.2">
      <c r="A6" s="338" t="s">
        <v>31</v>
      </c>
      <c r="B6" s="339"/>
      <c r="C6" s="339"/>
      <c r="D6" s="339"/>
      <c r="E6" s="339"/>
      <c r="F6" s="339"/>
      <c r="G6" s="340"/>
      <c r="H6"/>
      <c r="I6" s="203"/>
      <c r="J6" s="203"/>
    </row>
    <row r="7" spans="1:10" ht="22.5" x14ac:dyDescent="0.2">
      <c r="A7" s="292" t="s">
        <v>104</v>
      </c>
      <c r="B7" s="293" t="s">
        <v>105</v>
      </c>
      <c r="C7" s="277" t="s">
        <v>38</v>
      </c>
      <c r="D7" s="277" t="str">
        <f>'III-A - Mão de Obra (CCT)'!D$13</f>
        <v>Belém/PA</v>
      </c>
      <c r="E7" s="294">
        <v>5</v>
      </c>
      <c r="F7" s="295">
        <f>'III-A - Mão de Obra (CCT)'!D$123</f>
        <v>0</v>
      </c>
      <c r="G7" s="295">
        <f>E7*F7</f>
        <v>0</v>
      </c>
      <c r="H7" s="264">
        <f>'III-A - Mão de Obra (CCT)'!D$121</f>
        <v>0</v>
      </c>
      <c r="I7" s="265">
        <f>E7*H7</f>
        <v>0</v>
      </c>
    </row>
    <row r="8" spans="1:10" ht="22.5" x14ac:dyDescent="0.2">
      <c r="A8" s="292" t="s">
        <v>106</v>
      </c>
      <c r="B8" s="293" t="s">
        <v>107</v>
      </c>
      <c r="C8" s="277" t="s">
        <v>38</v>
      </c>
      <c r="D8" s="277" t="str">
        <f>'III-A - Mão de Obra (CCT)'!D$13</f>
        <v>Belém/PA</v>
      </c>
      <c r="E8" s="294">
        <v>5</v>
      </c>
      <c r="F8" s="295">
        <f>'III-A - Mão de Obra (CCT)'!G$123</f>
        <v>0</v>
      </c>
      <c r="G8" s="295">
        <f>E8*F8</f>
        <v>0</v>
      </c>
      <c r="H8" s="264">
        <f>'III-A - Mão de Obra (CCT)'!G$121</f>
        <v>0</v>
      </c>
      <c r="I8" s="265">
        <f t="shared" ref="I8:I9" si="0">E8*H8</f>
        <v>0</v>
      </c>
    </row>
    <row r="9" spans="1:10" ht="22.5" x14ac:dyDescent="0.2">
      <c r="A9" s="292" t="s">
        <v>108</v>
      </c>
      <c r="B9" s="293" t="s">
        <v>109</v>
      </c>
      <c r="C9" s="277" t="s">
        <v>38</v>
      </c>
      <c r="D9" s="277" t="str">
        <f>'III-A - Mão de Obra (CCT)'!D$13</f>
        <v>Belém/PA</v>
      </c>
      <c r="E9" s="294">
        <v>5</v>
      </c>
      <c r="F9" s="295">
        <f>'III-A - Mão de Obra (CCT)'!J$123</f>
        <v>0</v>
      </c>
      <c r="G9" s="295">
        <f>E9*F9</f>
        <v>0</v>
      </c>
      <c r="H9" s="264">
        <f>'III-A - Mão de Obra (CCT)'!J$121</f>
        <v>0</v>
      </c>
      <c r="I9" s="265">
        <f t="shared" si="0"/>
        <v>0</v>
      </c>
    </row>
    <row r="10" spans="1:10" x14ac:dyDescent="0.2">
      <c r="A10" s="338" t="s">
        <v>32</v>
      </c>
      <c r="B10" s="339"/>
      <c r="C10" s="339"/>
      <c r="D10" s="339"/>
      <c r="E10" s="339"/>
      <c r="F10" s="339"/>
      <c r="G10" s="340"/>
      <c r="H10" s="264"/>
      <c r="I10" s="265"/>
    </row>
    <row r="11" spans="1:10" ht="22.5" x14ac:dyDescent="0.2">
      <c r="A11" s="292" t="s">
        <v>110</v>
      </c>
      <c r="B11" s="293" t="s">
        <v>105</v>
      </c>
      <c r="C11" s="277" t="s">
        <v>38</v>
      </c>
      <c r="D11" s="277" t="str">
        <f>'III-A - Mão de Obra (CCT)'!E$13</f>
        <v>Marabá/PA</v>
      </c>
      <c r="E11" s="294">
        <v>1</v>
      </c>
      <c r="F11" s="283">
        <f>'III-A - Mão de Obra (CCT)'!E$123</f>
        <v>0</v>
      </c>
      <c r="G11" s="283">
        <f>E11*F11</f>
        <v>0</v>
      </c>
      <c r="H11" s="264">
        <f>'III-A - Mão de Obra (CCT)'!E$121</f>
        <v>0</v>
      </c>
      <c r="I11" s="265">
        <f t="shared" ref="I11:I13" si="1">E11*H11</f>
        <v>0</v>
      </c>
    </row>
    <row r="12" spans="1:10" ht="22.5" x14ac:dyDescent="0.2">
      <c r="A12" s="292" t="s">
        <v>111</v>
      </c>
      <c r="B12" s="293" t="s">
        <v>107</v>
      </c>
      <c r="C12" s="277" t="s">
        <v>38</v>
      </c>
      <c r="D12" s="277" t="str">
        <f>'III-A - Mão de Obra (CCT)'!E$13</f>
        <v>Marabá/PA</v>
      </c>
      <c r="E12" s="294">
        <v>1</v>
      </c>
      <c r="F12" s="283">
        <f>'III-A - Mão de Obra (CCT)'!H$123</f>
        <v>0</v>
      </c>
      <c r="G12" s="283">
        <f t="shared" ref="G12:G16" si="2">E12*F12</f>
        <v>0</v>
      </c>
      <c r="H12" s="264">
        <f>'III-A - Mão de Obra (CCT)'!H$121</f>
        <v>0</v>
      </c>
      <c r="I12" s="265">
        <f t="shared" si="1"/>
        <v>0</v>
      </c>
    </row>
    <row r="13" spans="1:10" ht="22.5" x14ac:dyDescent="0.2">
      <c r="A13" s="292" t="s">
        <v>112</v>
      </c>
      <c r="B13" s="293" t="s">
        <v>109</v>
      </c>
      <c r="C13" s="277" t="s">
        <v>38</v>
      </c>
      <c r="D13" s="277" t="str">
        <f>'III-A - Mão de Obra (CCT)'!E$13</f>
        <v>Marabá/PA</v>
      </c>
      <c r="E13" s="294">
        <v>1</v>
      </c>
      <c r="F13" s="283">
        <f>'III-A - Mão de Obra (CCT)'!K$123</f>
        <v>0</v>
      </c>
      <c r="G13" s="283">
        <f>E13*F13</f>
        <v>0</v>
      </c>
      <c r="H13" s="264">
        <f>'III-A - Mão de Obra (CCT)'!K$121</f>
        <v>0</v>
      </c>
      <c r="I13" s="265">
        <f t="shared" si="1"/>
        <v>0</v>
      </c>
    </row>
    <row r="14" spans="1:10" x14ac:dyDescent="0.2">
      <c r="A14" s="338" t="s">
        <v>33</v>
      </c>
      <c r="B14" s="339"/>
      <c r="C14" s="339"/>
      <c r="D14" s="339"/>
      <c r="E14" s="339"/>
      <c r="F14" s="339"/>
      <c r="G14" s="340"/>
      <c r="H14" s="264"/>
      <c r="I14" s="265"/>
    </row>
    <row r="15" spans="1:10" ht="22.5" x14ac:dyDescent="0.2">
      <c r="A15" s="292" t="s">
        <v>113</v>
      </c>
      <c r="B15" s="293" t="s">
        <v>105</v>
      </c>
      <c r="C15" s="277" t="s">
        <v>38</v>
      </c>
      <c r="D15" s="277" t="str">
        <f>'III-A - Mão de Obra (CCT)'!F$13</f>
        <v>Santarém/PA</v>
      </c>
      <c r="E15" s="294">
        <v>1</v>
      </c>
      <c r="F15" s="283">
        <f>'III-A - Mão de Obra (CCT)'!F$123</f>
        <v>0</v>
      </c>
      <c r="G15" s="283">
        <f>E15*F15</f>
        <v>0</v>
      </c>
      <c r="H15" s="264">
        <f>'III-A - Mão de Obra (CCT)'!F$121</f>
        <v>0</v>
      </c>
      <c r="I15" s="265">
        <f t="shared" ref="I15:I17" si="3">E15*H15</f>
        <v>0</v>
      </c>
    </row>
    <row r="16" spans="1:10" ht="22.5" x14ac:dyDescent="0.2">
      <c r="A16" s="292" t="s">
        <v>114</v>
      </c>
      <c r="B16" s="293" t="s">
        <v>109</v>
      </c>
      <c r="C16" s="277" t="s">
        <v>38</v>
      </c>
      <c r="D16" s="277" t="str">
        <f>'III-A - Mão de Obra (CCT)'!F$13</f>
        <v>Santarém/PA</v>
      </c>
      <c r="E16" s="294">
        <v>1</v>
      </c>
      <c r="F16" s="283">
        <f>'III-A - Mão de Obra (CCT)'!L$123</f>
        <v>0</v>
      </c>
      <c r="G16" s="283">
        <f t="shared" si="2"/>
        <v>0</v>
      </c>
      <c r="H16" s="264">
        <f>'III-A - Mão de Obra (CCT)'!L$121</f>
        <v>0</v>
      </c>
      <c r="I16" s="265">
        <f t="shared" si="3"/>
        <v>0</v>
      </c>
    </row>
    <row r="17" spans="1:9" ht="22.5" x14ac:dyDescent="0.2">
      <c r="A17" s="292" t="s">
        <v>115</v>
      </c>
      <c r="B17" s="293" t="s">
        <v>107</v>
      </c>
      <c r="C17" s="277" t="s">
        <v>38</v>
      </c>
      <c r="D17" s="277" t="str">
        <f>'III-A - Mão de Obra (CCT)'!F$13</f>
        <v>Santarém/PA</v>
      </c>
      <c r="E17" s="294">
        <v>1</v>
      </c>
      <c r="F17" s="283">
        <f>'III-A - Mão de Obra (CCT)'!I$123</f>
        <v>0</v>
      </c>
      <c r="G17" s="283">
        <f>E17*F17</f>
        <v>0</v>
      </c>
      <c r="H17" s="264">
        <f>'III-A - Mão de Obra (CCT)'!I$121</f>
        <v>0</v>
      </c>
      <c r="I17" s="265">
        <f t="shared" si="3"/>
        <v>0</v>
      </c>
    </row>
    <row r="18" spans="1:9" x14ac:dyDescent="0.2">
      <c r="A18" s="47" t="s">
        <v>34</v>
      </c>
      <c r="B18" s="48" t="s">
        <v>35</v>
      </c>
      <c r="C18" s="47"/>
      <c r="D18" s="47"/>
      <c r="E18" s="50"/>
      <c r="F18" s="47"/>
      <c r="G18" s="47"/>
      <c r="H18" s="264"/>
      <c r="I18" s="266"/>
    </row>
    <row r="19" spans="1:9" x14ac:dyDescent="0.2">
      <c r="A19" s="338" t="s">
        <v>31</v>
      </c>
      <c r="B19" s="339"/>
      <c r="C19" s="339"/>
      <c r="D19" s="339"/>
      <c r="E19" s="339"/>
      <c r="F19" s="339"/>
      <c r="G19" s="340"/>
      <c r="H19" s="264"/>
      <c r="I19" s="265"/>
    </row>
    <row r="20" spans="1:9" x14ac:dyDescent="0.2">
      <c r="A20" s="292" t="s">
        <v>36</v>
      </c>
      <c r="B20" s="293" t="s">
        <v>37</v>
      </c>
      <c r="C20" s="277" t="s">
        <v>38</v>
      </c>
      <c r="D20" s="277"/>
      <c r="E20" s="294">
        <v>0.68120535714285713</v>
      </c>
      <c r="F20" s="283">
        <f>'III-A - Mão de Obra (CCT)'!N123</f>
        <v>0</v>
      </c>
      <c r="G20" s="283">
        <f t="shared" ref="G20:G26" si="4">E20*F20</f>
        <v>0</v>
      </c>
      <c r="H20" s="264">
        <f>'III-A - Mão de Obra (CCT)'!N121</f>
        <v>0</v>
      </c>
      <c r="I20" s="265">
        <f t="shared" ref="I20:I22" si="5">E20*H20</f>
        <v>0</v>
      </c>
    </row>
    <row r="21" spans="1:9" x14ac:dyDescent="0.2">
      <c r="A21" s="292" t="s">
        <v>39</v>
      </c>
      <c r="B21" s="293" t="s">
        <v>40</v>
      </c>
      <c r="C21" s="277" t="s">
        <v>38</v>
      </c>
      <c r="D21" s="277"/>
      <c r="E21" s="294">
        <v>0.16605384199134199</v>
      </c>
      <c r="F21" s="283">
        <f>'III-A - Mão de Obra (CCT)'!O123</f>
        <v>0</v>
      </c>
      <c r="G21" s="283">
        <f t="shared" si="4"/>
        <v>0</v>
      </c>
      <c r="H21" s="264">
        <f>'III-A - Mão de Obra (CCT)'!O121</f>
        <v>0</v>
      </c>
      <c r="I21" s="265">
        <f t="shared" si="5"/>
        <v>0</v>
      </c>
    </row>
    <row r="22" spans="1:9" x14ac:dyDescent="0.2">
      <c r="A22" s="292" t="s">
        <v>41</v>
      </c>
      <c r="B22" s="293" t="s">
        <v>42</v>
      </c>
      <c r="C22" s="277" t="s">
        <v>38</v>
      </c>
      <c r="D22" s="277"/>
      <c r="E22" s="294">
        <v>1</v>
      </c>
      <c r="F22" s="283">
        <f>'III-A - Mão de Obra (CCT)'!M123</f>
        <v>0</v>
      </c>
      <c r="G22" s="283">
        <f t="shared" si="4"/>
        <v>0</v>
      </c>
      <c r="H22" s="264">
        <f>'III-A - Mão de Obra (CCT)'!M121</f>
        <v>0</v>
      </c>
      <c r="I22" s="265">
        <f t="shared" si="5"/>
        <v>0</v>
      </c>
    </row>
    <row r="23" spans="1:9" ht="15" x14ac:dyDescent="0.2">
      <c r="A23" s="51" t="s">
        <v>70</v>
      </c>
      <c r="B23" s="52" t="s">
        <v>116</v>
      </c>
      <c r="C23" s="6" t="s">
        <v>117</v>
      </c>
      <c r="D23" s="6"/>
      <c r="E23" s="53">
        <v>1</v>
      </c>
      <c r="F23" s="54">
        <f>'III-C - Desloc e Pern'!J5</f>
        <v>0</v>
      </c>
      <c r="G23" s="54">
        <f t="shared" si="4"/>
        <v>0</v>
      </c>
      <c r="H23" s="264"/>
      <c r="I23" s="265">
        <f>SUM(I7:I22)*12</f>
        <v>0</v>
      </c>
    </row>
    <row r="24" spans="1:9" ht="15" x14ac:dyDescent="0.2">
      <c r="A24" s="51" t="s">
        <v>118</v>
      </c>
      <c r="B24" s="52" t="s">
        <v>119</v>
      </c>
      <c r="C24" s="6" t="s">
        <v>117</v>
      </c>
      <c r="D24" s="6"/>
      <c r="E24" s="53">
        <v>1</v>
      </c>
      <c r="F24" s="54">
        <f>'III-C - Desloc e Pern'!J6</f>
        <v>0</v>
      </c>
      <c r="G24" s="54">
        <f t="shared" si="4"/>
        <v>0</v>
      </c>
      <c r="H24" s="114"/>
      <c r="I24" s="266"/>
    </row>
    <row r="25" spans="1:9" x14ac:dyDescent="0.2">
      <c r="A25" s="51" t="s">
        <v>120</v>
      </c>
      <c r="B25" s="52" t="s">
        <v>47</v>
      </c>
      <c r="C25" s="6" t="s">
        <v>117</v>
      </c>
      <c r="D25" s="6"/>
      <c r="E25" s="53">
        <v>1</v>
      </c>
      <c r="F25" s="54">
        <f>'III-C - Desloc e Pern'!J7+'III-C - Desloc e Pern'!J8</f>
        <v>0</v>
      </c>
      <c r="G25" s="54">
        <f t="shared" si="4"/>
        <v>0</v>
      </c>
      <c r="H25" s="55"/>
    </row>
    <row r="26" spans="1:9" ht="15" x14ac:dyDescent="0.2">
      <c r="A26" s="51" t="s">
        <v>121</v>
      </c>
      <c r="B26" s="52" t="s">
        <v>122</v>
      </c>
      <c r="C26" s="6" t="s">
        <v>117</v>
      </c>
      <c r="D26" s="6"/>
      <c r="E26" s="53">
        <v>1</v>
      </c>
      <c r="F26" s="54">
        <f>'III-E - Materiais de Consumo'!I329</f>
        <v>0</v>
      </c>
      <c r="G26" s="54">
        <f t="shared" si="4"/>
        <v>0</v>
      </c>
    </row>
    <row r="27" spans="1:9" x14ac:dyDescent="0.2">
      <c r="A27"/>
      <c r="B27"/>
      <c r="C27"/>
      <c r="D27"/>
      <c r="E27"/>
      <c r="F27"/>
      <c r="G27"/>
    </row>
    <row r="28" spans="1:9" x14ac:dyDescent="0.2">
      <c r="A28" s="337" t="s">
        <v>123</v>
      </c>
      <c r="B28" s="337"/>
      <c r="C28" s="337"/>
      <c r="D28" s="337"/>
      <c r="E28" s="337"/>
      <c r="F28" s="337"/>
      <c r="G28" s="56">
        <f>SUM(G7:G26)</f>
        <v>0</v>
      </c>
    </row>
  </sheetData>
  <mergeCells count="7">
    <mergeCell ref="A1:G1"/>
    <mergeCell ref="I5:J5"/>
    <mergeCell ref="A28:F28"/>
    <mergeCell ref="A6:G6"/>
    <mergeCell ref="A10:G10"/>
    <mergeCell ref="A14:G14"/>
    <mergeCell ref="A19:G19"/>
  </mergeCells>
  <printOptions horizontalCentered="1"/>
  <pageMargins left="0.39370078740157483" right="0.39370078740157483" top="0.59055118110236227" bottom="0.39370078740157483" header="0" footer="0"/>
  <pageSetup paperSize="9" scale="71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  <pageSetUpPr fitToPage="1"/>
  </sheetPr>
  <dimension ref="A1:AMQ123"/>
  <sheetViews>
    <sheetView view="pageBreakPreview" topLeftCell="A113" zoomScale="85" zoomScaleNormal="85" zoomScaleSheetLayoutView="85" zoomScalePageLayoutView="85" workbookViewId="0">
      <selection activeCell="L37" sqref="L36:L37"/>
    </sheetView>
  </sheetViews>
  <sheetFormatPr defaultRowHeight="14.25" x14ac:dyDescent="0.2"/>
  <cols>
    <col min="1" max="1" width="28.25" style="57" customWidth="1"/>
    <col min="2" max="2" width="14" style="58"/>
    <col min="3" max="3" width="1.875" style="58"/>
    <col min="4" max="6" width="14.625" style="58" customWidth="1"/>
    <col min="7" max="9" width="12" style="58" customWidth="1"/>
    <col min="10" max="12" width="11" style="58" customWidth="1"/>
    <col min="13" max="13" width="13.25" style="58" customWidth="1"/>
    <col min="14" max="14" width="13.375" style="58" customWidth="1"/>
    <col min="15" max="15" width="13.875" style="58" customWidth="1"/>
    <col min="16" max="16" width="13.625" style="58" customWidth="1"/>
    <col min="17" max="17" width="15.75" style="58" customWidth="1"/>
    <col min="18" max="18" width="13.875" style="58" customWidth="1"/>
    <col min="19" max="19" width="14" style="58" customWidth="1"/>
    <col min="20" max="1031" width="44.125" style="58"/>
  </cols>
  <sheetData>
    <row r="1" spans="1:18" ht="62.45" customHeight="1" x14ac:dyDescent="0.2">
      <c r="A1" s="356" t="s">
        <v>124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8"/>
      <c r="P1"/>
    </row>
    <row r="2" spans="1:18" ht="28.5" customHeight="1" x14ac:dyDescent="0.2">
      <c r="A2" s="361" t="s">
        <v>125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3"/>
      <c r="P2"/>
    </row>
    <row r="3" spans="1:18" ht="28.5" customHeight="1" x14ac:dyDescent="0.2">
      <c r="A3" s="364" t="s">
        <v>126</v>
      </c>
      <c r="B3" s="365"/>
      <c r="C3" s="365"/>
      <c r="D3" s="366" t="s">
        <v>127</v>
      </c>
      <c r="E3" s="367"/>
      <c r="F3" s="367"/>
      <c r="G3" s="367"/>
      <c r="H3" s="366" t="s">
        <v>128</v>
      </c>
      <c r="I3" s="367"/>
      <c r="J3" s="367"/>
      <c r="K3" s="367"/>
      <c r="L3" s="366"/>
      <c r="M3" s="367"/>
      <c r="N3" s="367"/>
      <c r="O3" s="368"/>
      <c r="P3"/>
    </row>
    <row r="4" spans="1:18" ht="28.5" customHeight="1" x14ac:dyDescent="0.2">
      <c r="A4" s="349" t="s">
        <v>129</v>
      </c>
      <c r="B4" s="350"/>
      <c r="C4" s="350"/>
      <c r="D4" s="341" t="s">
        <v>130</v>
      </c>
      <c r="E4" s="342"/>
      <c r="F4" s="342"/>
      <c r="G4" s="342"/>
      <c r="H4" s="341" t="s">
        <v>130</v>
      </c>
      <c r="I4" s="342"/>
      <c r="J4" s="342"/>
      <c r="K4" s="342"/>
      <c r="L4" s="341"/>
      <c r="M4" s="342"/>
      <c r="N4" s="342"/>
      <c r="O4" s="343"/>
      <c r="P4"/>
    </row>
    <row r="5" spans="1:18" ht="28.5" customHeight="1" x14ac:dyDescent="0.2">
      <c r="A5" s="349" t="s">
        <v>131</v>
      </c>
      <c r="B5" s="350"/>
      <c r="C5" s="350"/>
      <c r="D5" s="341" t="s">
        <v>132</v>
      </c>
      <c r="E5" s="342"/>
      <c r="F5" s="342"/>
      <c r="G5" s="342"/>
      <c r="H5" s="341" t="s">
        <v>133</v>
      </c>
      <c r="I5" s="342"/>
      <c r="J5" s="342"/>
      <c r="K5" s="342"/>
      <c r="L5" s="341"/>
      <c r="M5" s="342"/>
      <c r="N5" s="342"/>
      <c r="O5" s="343"/>
      <c r="P5"/>
    </row>
    <row r="6" spans="1:18" ht="28.5" customHeight="1" x14ac:dyDescent="0.2">
      <c r="A6" s="349" t="s">
        <v>134</v>
      </c>
      <c r="B6" s="350"/>
      <c r="C6" s="350"/>
      <c r="D6" s="344" t="s">
        <v>135</v>
      </c>
      <c r="E6" s="345"/>
      <c r="F6" s="345"/>
      <c r="G6" s="345"/>
      <c r="H6" s="344" t="s">
        <v>135</v>
      </c>
      <c r="I6" s="345"/>
      <c r="J6" s="345"/>
      <c r="K6" s="345"/>
      <c r="L6" s="344"/>
      <c r="M6" s="345"/>
      <c r="N6" s="345"/>
      <c r="O6" s="346"/>
      <c r="P6"/>
    </row>
    <row r="7" spans="1:18" ht="28.5" customHeight="1" x14ac:dyDescent="0.2">
      <c r="A7" s="349" t="s">
        <v>136</v>
      </c>
      <c r="B7" s="350"/>
      <c r="C7" s="350"/>
      <c r="D7" s="341" t="s">
        <v>137</v>
      </c>
      <c r="E7" s="342"/>
      <c r="F7" s="342"/>
      <c r="G7" s="342"/>
      <c r="H7" s="341" t="s">
        <v>138</v>
      </c>
      <c r="I7" s="342"/>
      <c r="J7" s="342"/>
      <c r="K7" s="369"/>
      <c r="L7" s="341"/>
      <c r="M7" s="342"/>
      <c r="N7" s="342"/>
      <c r="O7" s="343"/>
      <c r="P7"/>
    </row>
    <row r="8" spans="1:18" ht="28.5" customHeight="1" x14ac:dyDescent="0.2">
      <c r="A8" s="349" t="s">
        <v>139</v>
      </c>
      <c r="B8" s="350"/>
      <c r="C8" s="350"/>
      <c r="D8" s="341" t="s">
        <v>140</v>
      </c>
      <c r="E8" s="342"/>
      <c r="F8" s="342"/>
      <c r="G8" s="342"/>
      <c r="H8" s="341" t="s">
        <v>140</v>
      </c>
      <c r="I8" s="342"/>
      <c r="J8" s="342"/>
      <c r="K8" s="342"/>
      <c r="L8" s="341"/>
      <c r="M8" s="342"/>
      <c r="N8" s="342"/>
      <c r="O8" s="343"/>
      <c r="P8"/>
    </row>
    <row r="9" spans="1:18" ht="28.5" customHeight="1" x14ac:dyDescent="0.2">
      <c r="A9" s="349" t="s">
        <v>141</v>
      </c>
      <c r="B9" s="350"/>
      <c r="C9" s="350"/>
      <c r="D9" s="341" t="s">
        <v>142</v>
      </c>
      <c r="E9" s="342"/>
      <c r="F9" s="342"/>
      <c r="G9" s="342"/>
      <c r="H9" s="341" t="s">
        <v>142</v>
      </c>
      <c r="I9" s="342"/>
      <c r="J9" s="342"/>
      <c r="K9" s="342"/>
      <c r="L9" s="341"/>
      <c r="M9" s="342"/>
      <c r="N9" s="342"/>
      <c r="O9" s="343"/>
      <c r="P9"/>
    </row>
    <row r="10" spans="1:18" ht="28.5" customHeight="1" x14ac:dyDescent="0.2">
      <c r="A10" s="351" t="s">
        <v>143</v>
      </c>
      <c r="B10" s="352"/>
      <c r="C10" s="352"/>
      <c r="D10" s="353" t="s">
        <v>144</v>
      </c>
      <c r="E10" s="354"/>
      <c r="F10" s="354"/>
      <c r="G10" s="354"/>
      <c r="H10" s="353" t="s">
        <v>145</v>
      </c>
      <c r="I10" s="354"/>
      <c r="J10" s="354"/>
      <c r="K10" s="354"/>
      <c r="L10" s="353"/>
      <c r="M10" s="354"/>
      <c r="N10" s="354"/>
      <c r="O10" s="355"/>
      <c r="P10"/>
    </row>
    <row r="11" spans="1:18" ht="15.75" customHeight="1" x14ac:dyDescent="0.2">
      <c r="A11" s="5"/>
      <c r="B11" s="188"/>
      <c r="C11" s="188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5"/>
      <c r="P11"/>
    </row>
    <row r="12" spans="1:18" ht="112.5" x14ac:dyDescent="0.2">
      <c r="A12" s="348" t="s">
        <v>146</v>
      </c>
      <c r="B12" s="348"/>
      <c r="C12"/>
      <c r="D12" s="193" t="s">
        <v>147</v>
      </c>
      <c r="E12" s="193" t="s">
        <v>147</v>
      </c>
      <c r="F12" s="193" t="s">
        <v>147</v>
      </c>
      <c r="G12" s="193" t="s">
        <v>148</v>
      </c>
      <c r="H12" s="193" t="s">
        <v>148</v>
      </c>
      <c r="I12" s="193" t="s">
        <v>148</v>
      </c>
      <c r="J12" s="193" t="s">
        <v>149</v>
      </c>
      <c r="K12" s="193" t="s">
        <v>149</v>
      </c>
      <c r="L12" s="193" t="s">
        <v>149</v>
      </c>
      <c r="M12" s="191" t="s">
        <v>150</v>
      </c>
      <c r="N12" s="195" t="s">
        <v>151</v>
      </c>
      <c r="O12" s="191" t="s">
        <v>152</v>
      </c>
      <c r="P12"/>
    </row>
    <row r="13" spans="1:18" x14ac:dyDescent="0.2">
      <c r="A13" s="347" t="s">
        <v>153</v>
      </c>
      <c r="B13" s="347"/>
      <c r="C13"/>
      <c r="D13" s="296" t="s">
        <v>144</v>
      </c>
      <c r="E13" s="296" t="s">
        <v>154</v>
      </c>
      <c r="F13" s="296" t="s">
        <v>155</v>
      </c>
      <c r="G13" s="296" t="s">
        <v>144</v>
      </c>
      <c r="H13" s="296" t="s">
        <v>154</v>
      </c>
      <c r="I13" s="296" t="s">
        <v>155</v>
      </c>
      <c r="J13" s="296" t="s">
        <v>144</v>
      </c>
      <c r="K13" s="296" t="s">
        <v>154</v>
      </c>
      <c r="L13" s="296" t="s">
        <v>155</v>
      </c>
      <c r="M13" s="296" t="s">
        <v>144</v>
      </c>
      <c r="N13" s="297" t="s">
        <v>144</v>
      </c>
      <c r="O13" s="296" t="s">
        <v>144</v>
      </c>
      <c r="P13"/>
    </row>
    <row r="14" spans="1:18" x14ac:dyDescent="0.2">
      <c r="A14" s="347" t="s">
        <v>156</v>
      </c>
      <c r="B14" s="347"/>
      <c r="C14"/>
      <c r="D14" s="298">
        <f>'CCT E VT'!$D4</f>
        <v>0</v>
      </c>
      <c r="E14" s="298">
        <f>'CCT E VT'!$D5</f>
        <v>0</v>
      </c>
      <c r="F14" s="298">
        <f>'CCT E VT'!$D6</f>
        <v>0</v>
      </c>
      <c r="G14" s="298">
        <f>'CCT E VT'!$D7</f>
        <v>0</v>
      </c>
      <c r="H14" s="298">
        <f>'CCT E VT'!$D8</f>
        <v>0</v>
      </c>
      <c r="I14" s="298">
        <f>'CCT E VT'!$D9</f>
        <v>0</v>
      </c>
      <c r="J14" s="298">
        <f>'CCT E VT'!$D10</f>
        <v>0</v>
      </c>
      <c r="K14" s="298">
        <f>'CCT E VT'!$D11</f>
        <v>0</v>
      </c>
      <c r="L14" s="298">
        <f>'CCT E VT'!$D12</f>
        <v>0</v>
      </c>
      <c r="M14" s="298">
        <f>'CCT E VT'!$D15</f>
        <v>0</v>
      </c>
      <c r="N14" s="299">
        <f>'CCT E VT'!$D13</f>
        <v>0</v>
      </c>
      <c r="O14" s="298">
        <f>'CCT E VT'!$D14</f>
        <v>0</v>
      </c>
      <c r="P14"/>
    </row>
    <row r="15" spans="1:18" x14ac:dyDescent="0.2">
      <c r="A15" s="347" t="s">
        <v>157</v>
      </c>
      <c r="B15" s="347"/>
      <c r="C15"/>
      <c r="D15" s="300" t="s">
        <v>158</v>
      </c>
      <c r="E15" s="300" t="s">
        <v>158</v>
      </c>
      <c r="F15" s="300" t="s">
        <v>158</v>
      </c>
      <c r="G15" s="300" t="s">
        <v>159</v>
      </c>
      <c r="H15" s="300" t="s">
        <v>159</v>
      </c>
      <c r="I15" s="300" t="s">
        <v>159</v>
      </c>
      <c r="J15" s="300" t="s">
        <v>160</v>
      </c>
      <c r="K15" s="300" t="s">
        <v>160</v>
      </c>
      <c r="L15" s="300" t="s">
        <v>160</v>
      </c>
      <c r="M15" s="300" t="s">
        <v>161</v>
      </c>
      <c r="N15" s="301" t="s">
        <v>162</v>
      </c>
      <c r="O15" s="300" t="s">
        <v>163</v>
      </c>
      <c r="P15" s="360"/>
      <c r="Q15" s="360"/>
      <c r="R15" s="360"/>
    </row>
    <row r="16" spans="1:18" ht="34.5" customHeight="1" x14ac:dyDescent="0.2">
      <c r="A16" s="359" t="s">
        <v>164</v>
      </c>
      <c r="B16" s="190" t="s">
        <v>165</v>
      </c>
      <c r="C16"/>
      <c r="D16" s="300" t="s">
        <v>127</v>
      </c>
      <c r="E16" s="300" t="s">
        <v>128</v>
      </c>
      <c r="F16" s="300" t="s">
        <v>128</v>
      </c>
      <c r="G16" s="300" t="s">
        <v>127</v>
      </c>
      <c r="H16" s="300" t="s">
        <v>128</v>
      </c>
      <c r="I16" s="300" t="s">
        <v>128</v>
      </c>
      <c r="J16" s="300" t="s">
        <v>127</v>
      </c>
      <c r="K16" s="300" t="s">
        <v>128</v>
      </c>
      <c r="L16" s="300" t="s">
        <v>128</v>
      </c>
      <c r="M16" s="300" t="s">
        <v>127</v>
      </c>
      <c r="N16" s="301" t="s">
        <v>166</v>
      </c>
      <c r="O16" s="300" t="s">
        <v>166</v>
      </c>
      <c r="P16" s="23"/>
      <c r="Q16" s="23"/>
      <c r="R16" s="23"/>
    </row>
    <row r="17" spans="1:15" ht="26.25" customHeight="1" x14ac:dyDescent="0.2">
      <c r="A17" s="359"/>
      <c r="B17" s="189" t="s">
        <v>167</v>
      </c>
      <c r="C17"/>
      <c r="D17" s="302">
        <f>MAX(0,'CCT E VT'!$D$18*'III-A.1 - Memorial de Cálculo'!$B$6*2-'III-A.1 - Memorial de Cálculo'!$B$10*D14)</f>
        <v>0</v>
      </c>
      <c r="E17" s="302">
        <f>MAX(0,'CCT E VT'!$D$19*'III-A.1 - Memorial de Cálculo'!$B$6*2-'III-A.1 - Memorial de Cálculo'!$B$10*E14)</f>
        <v>0</v>
      </c>
      <c r="F17" s="302">
        <f>MAX(0,'CCT E VT'!$D$20*'III-A.1 - Memorial de Cálculo'!$B$6*2-'III-A.1 - Memorial de Cálculo'!$B$10*F14)</f>
        <v>0</v>
      </c>
      <c r="G17" s="302">
        <f>MAX(0,'CCT E VT'!$D$18*'III-A.1 - Memorial de Cálculo'!$B$6*2-'III-A.1 - Memorial de Cálculo'!$B$10*G14)</f>
        <v>0</v>
      </c>
      <c r="H17" s="302">
        <f>MAX(0,'CCT E VT'!$D$19*'III-A.1 - Memorial de Cálculo'!$B$6*2-'III-A.1 - Memorial de Cálculo'!$B$10*H14)</f>
        <v>0</v>
      </c>
      <c r="I17" s="302">
        <f>MAX(0,'CCT E VT'!$D$20*'III-A.1 - Memorial de Cálculo'!$B$6*2-'III-A.1 - Memorial de Cálculo'!$B$10*I14)</f>
        <v>0</v>
      </c>
      <c r="J17" s="302">
        <f>MAX(0,'CCT E VT'!$D$18*'III-A.1 - Memorial de Cálculo'!$B$6*2-'III-A.1 - Memorial de Cálculo'!$B$10*J14)</f>
        <v>0</v>
      </c>
      <c r="K17" s="302">
        <f>MAX(0,'CCT E VT'!$D$19*'III-A.1 - Memorial de Cálculo'!$B$6*2-'III-A.1 - Memorial de Cálculo'!$B$10*K14)</f>
        <v>0</v>
      </c>
      <c r="L17" s="302">
        <f>MAX(0,'CCT E VT'!$D$20*'III-A.1 - Memorial de Cálculo'!$B$6*2-'III-A.1 - Memorial de Cálculo'!$B$10*L14)</f>
        <v>0</v>
      </c>
      <c r="M17" s="302">
        <f>MAX(0,'CCT E VT'!$D$18*'III-A.1 - Memorial de Cálculo'!$B$6*2-'III-A.1 - Memorial de Cálculo'!$B$10*M14)</f>
        <v>0</v>
      </c>
      <c r="N17" s="302">
        <f>IF('CCT E VT'!$D$18*'III-A.1 - Memorial de Cálculo'!$B$6*2-0.06*N14&lt;0,0,'CCT E VT'!$D$18*'III-A.1 - Memorial de Cálculo'!$B$6*2-0.06*N14)</f>
        <v>0</v>
      </c>
      <c r="O17" s="302">
        <f>IF('CCT E VT'!$D$18*'III-A.1 - Memorial de Cálculo'!$B$6*2-0.06*O14&lt;0,0,'CCT E VT'!$D$18*'III-A.1 - Memorial de Cálculo'!$B$6*2-0.06*O14)</f>
        <v>0</v>
      </c>
    </row>
    <row r="18" spans="1:15" ht="22.5" x14ac:dyDescent="0.2">
      <c r="A18" s="359"/>
      <c r="B18" s="189" t="s">
        <v>168</v>
      </c>
      <c r="C18"/>
      <c r="D18" s="302">
        <f>SUM('CCT E VT'!$D$23:$D$23)*'III-A.1 - Memorial de Cálculo'!$B$6*0.99+'CCT E VT'!$D24</f>
        <v>0</v>
      </c>
      <c r="E18" s="302">
        <f>SUM('CCT E VT'!$D$23:$D$23)*'III-A.1 - Memorial de Cálculo'!$B$6*0.99+'CCT E VT'!$D24</f>
        <v>0</v>
      </c>
      <c r="F18" s="302">
        <f>SUM('CCT E VT'!$D$23:$D$23)*'III-A.1 - Memorial de Cálculo'!$B$6*0.99+'CCT E VT'!$D24</f>
        <v>0</v>
      </c>
      <c r="G18" s="302">
        <f>SUM('CCT E VT'!$D$23:$D$23)*'III-A.1 - Memorial de Cálculo'!$B$6*0.99+'CCT E VT'!$D24</f>
        <v>0</v>
      </c>
      <c r="H18" s="302">
        <f>SUM('CCT E VT'!$D$23:$D$23)*'III-A.1 - Memorial de Cálculo'!$B$6*0.99+'CCT E VT'!$D24</f>
        <v>0</v>
      </c>
      <c r="I18" s="302">
        <f>SUM('CCT E VT'!$D$23:$D$23)*'III-A.1 - Memorial de Cálculo'!$B$6*0.99+'CCT E VT'!$D24</f>
        <v>0</v>
      </c>
      <c r="J18" s="302">
        <f>SUM('CCT E VT'!$D$23:$D$23)*'III-A.1 - Memorial de Cálculo'!$B$6*0.99+'CCT E VT'!$D24</f>
        <v>0</v>
      </c>
      <c r="K18" s="302">
        <f>SUM('CCT E VT'!$D$23:$D$23)*'III-A.1 - Memorial de Cálculo'!$B$6*0.99+'CCT E VT'!$D24</f>
        <v>0</v>
      </c>
      <c r="L18" s="302">
        <f>SUM('CCT E VT'!$D$23:$D$23)*'III-A.1 - Memorial de Cálculo'!$B$6*0.99+'CCT E VT'!$D24</f>
        <v>0</v>
      </c>
      <c r="M18" s="302">
        <f>SUM('CCT E VT'!$D$23:$D$23)*'III-A.1 - Memorial de Cálculo'!$B$6*0.99+'CCT E VT'!$D24</f>
        <v>0</v>
      </c>
      <c r="N18" s="303"/>
      <c r="O18" s="302"/>
    </row>
    <row r="19" spans="1:15" ht="22.5" x14ac:dyDescent="0.2">
      <c r="A19" s="359"/>
      <c r="B19" s="189" t="s">
        <v>169</v>
      </c>
      <c r="C19"/>
      <c r="D19" s="202"/>
      <c r="E19" s="192"/>
      <c r="F19" s="192"/>
      <c r="G19" s="192"/>
      <c r="H19" s="192"/>
      <c r="I19" s="192"/>
      <c r="J19" s="192"/>
      <c r="K19" s="192"/>
      <c r="L19" s="192"/>
      <c r="M19" s="192"/>
      <c r="N19" s="276"/>
      <c r="O19" s="192"/>
    </row>
    <row r="20" spans="1:15" ht="22.5" x14ac:dyDescent="0.2">
      <c r="A20" s="359"/>
      <c r="B20" s="189" t="s">
        <v>170</v>
      </c>
      <c r="C20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276"/>
      <c r="O20" s="192"/>
    </row>
    <row r="21" spans="1:15" ht="45" x14ac:dyDescent="0.2">
      <c r="A21" s="359"/>
      <c r="B21" s="189" t="s">
        <v>171</v>
      </c>
      <c r="C21"/>
      <c r="D21" s="302">
        <f>SUM('CCT E VT'!$D27:$D28)</f>
        <v>0</v>
      </c>
      <c r="E21" s="302">
        <f>SUM('CCT E VT'!$D27:$D28)</f>
        <v>0</v>
      </c>
      <c r="F21" s="302">
        <f>SUM('CCT E VT'!$D27:$D28)</f>
        <v>0</v>
      </c>
      <c r="G21" s="302">
        <f>SUM('CCT E VT'!$D27:$D28)</f>
        <v>0</v>
      </c>
      <c r="H21" s="302">
        <f>SUM('CCT E VT'!$D27:$D28)</f>
        <v>0</v>
      </c>
      <c r="I21" s="302">
        <f>SUM('CCT E VT'!$D27:$D28)</f>
        <v>0</v>
      </c>
      <c r="J21" s="302">
        <f>SUM('CCT E VT'!$D27:$D28)</f>
        <v>0</v>
      </c>
      <c r="K21" s="302">
        <f>SUM('CCT E VT'!$D27:$D28)</f>
        <v>0</v>
      </c>
      <c r="L21" s="302">
        <f>SUM('CCT E VT'!$D27:$D28)</f>
        <v>0</v>
      </c>
      <c r="M21" s="302">
        <f>SUM('CCT E VT'!$D27:$D28)</f>
        <v>0</v>
      </c>
      <c r="N21" s="303"/>
      <c r="O21" s="302"/>
    </row>
    <row r="22" spans="1:15" x14ac:dyDescent="0.2">
      <c r="A22" s="347" t="s">
        <v>172</v>
      </c>
      <c r="B22" s="347"/>
      <c r="C2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276"/>
      <c r="O22" s="192"/>
    </row>
    <row r="23" spans="1:15" x14ac:dyDescent="0.2">
      <c r="A23"/>
      <c r="B23"/>
      <c r="C23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pans="1:15" ht="22.5" x14ac:dyDescent="0.2">
      <c r="A24" s="62" t="s">
        <v>173</v>
      </c>
      <c r="B24" s="63"/>
      <c r="C24"/>
      <c r="D24" s="64"/>
      <c r="E24" s="65"/>
      <c r="F24" s="65"/>
      <c r="G24" s="65"/>
      <c r="H24" s="65"/>
      <c r="I24" s="65"/>
      <c r="J24" s="65"/>
      <c r="K24" s="65"/>
      <c r="L24" s="65"/>
      <c r="M24" s="66"/>
      <c r="N24" s="65"/>
      <c r="O24" s="65"/>
    </row>
    <row r="25" spans="1:15" x14ac:dyDescent="0.2">
      <c r="A25" s="67" t="s">
        <v>174</v>
      </c>
      <c r="B25" s="1" t="s">
        <v>175</v>
      </c>
      <c r="C25"/>
      <c r="D25" s="68" t="s">
        <v>176</v>
      </c>
      <c r="E25" s="68" t="s">
        <v>176</v>
      </c>
      <c r="F25" s="68" t="s">
        <v>176</v>
      </c>
      <c r="G25" s="68" t="s">
        <v>176</v>
      </c>
      <c r="H25" s="68" t="s">
        <v>176</v>
      </c>
      <c r="I25" s="68" t="s">
        <v>176</v>
      </c>
      <c r="J25" s="68" t="s">
        <v>176</v>
      </c>
      <c r="K25" s="68" t="s">
        <v>176</v>
      </c>
      <c r="L25" s="68" t="s">
        <v>176</v>
      </c>
      <c r="M25" s="68" t="s">
        <v>176</v>
      </c>
      <c r="N25" s="68" t="s">
        <v>176</v>
      </c>
      <c r="O25" s="68" t="s">
        <v>176</v>
      </c>
    </row>
    <row r="26" spans="1:15" x14ac:dyDescent="0.2">
      <c r="A26" s="69" t="s">
        <v>177</v>
      </c>
      <c r="B26" s="70"/>
      <c r="C26"/>
      <c r="D26" s="71">
        <f>D14</f>
        <v>0</v>
      </c>
      <c r="E26" s="71">
        <f t="shared" ref="E26:O26" si="0">E14</f>
        <v>0</v>
      </c>
      <c r="F26" s="71">
        <f t="shared" si="0"/>
        <v>0</v>
      </c>
      <c r="G26" s="71">
        <f t="shared" si="0"/>
        <v>0</v>
      </c>
      <c r="H26" s="71">
        <f t="shared" si="0"/>
        <v>0</v>
      </c>
      <c r="I26" s="71">
        <f t="shared" si="0"/>
        <v>0</v>
      </c>
      <c r="J26" s="71">
        <f t="shared" si="0"/>
        <v>0</v>
      </c>
      <c r="K26" s="71">
        <f t="shared" si="0"/>
        <v>0</v>
      </c>
      <c r="L26" s="71">
        <f t="shared" si="0"/>
        <v>0</v>
      </c>
      <c r="M26" s="71">
        <f>M14</f>
        <v>0</v>
      </c>
      <c r="N26" s="71">
        <f t="shared" si="0"/>
        <v>0</v>
      </c>
      <c r="O26" s="71">
        <f t="shared" si="0"/>
        <v>0</v>
      </c>
    </row>
    <row r="27" spans="1:15" x14ac:dyDescent="0.2">
      <c r="A27" s="69" t="s">
        <v>178</v>
      </c>
      <c r="B27" s="72">
        <v>0.3</v>
      </c>
      <c r="C27"/>
      <c r="D27" s="304">
        <f>$B27*D26</f>
        <v>0</v>
      </c>
      <c r="E27" s="304">
        <f t="shared" ref="E27:F27" si="1">$B27*E26</f>
        <v>0</v>
      </c>
      <c r="F27" s="304">
        <f t="shared" si="1"/>
        <v>0</v>
      </c>
      <c r="G27" s="73"/>
      <c r="H27" s="73"/>
      <c r="I27" s="73"/>
      <c r="J27" s="73"/>
      <c r="K27" s="73"/>
      <c r="L27" s="73"/>
      <c r="M27" s="73"/>
      <c r="N27" s="73"/>
      <c r="O27" s="73"/>
    </row>
    <row r="28" spans="1:15" x14ac:dyDescent="0.2">
      <c r="A28" s="69" t="s">
        <v>179</v>
      </c>
      <c r="B28" s="70"/>
      <c r="C28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</row>
    <row r="29" spans="1:15" x14ac:dyDescent="0.2">
      <c r="A29" s="69" t="s">
        <v>180</v>
      </c>
      <c r="B29" s="70"/>
      <c r="C29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</row>
    <row r="30" spans="1:15" x14ac:dyDescent="0.2">
      <c r="A30" s="69" t="s">
        <v>181</v>
      </c>
      <c r="B30" s="70"/>
      <c r="C30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</row>
    <row r="31" spans="1:15" x14ac:dyDescent="0.2">
      <c r="A31" s="69" t="s">
        <v>182</v>
      </c>
      <c r="B31" s="70"/>
      <c r="C31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</row>
    <row r="32" spans="1:15" x14ac:dyDescent="0.2">
      <c r="A32" s="74" t="s">
        <v>183</v>
      </c>
      <c r="B32" s="75"/>
      <c r="C32" s="196"/>
      <c r="D32" s="76">
        <f>SUM(D26:D31)</f>
        <v>0</v>
      </c>
      <c r="E32" s="76">
        <f t="shared" ref="E32:O32" si="2">SUM(E26:E31)</f>
        <v>0</v>
      </c>
      <c r="F32" s="76">
        <f t="shared" si="2"/>
        <v>0</v>
      </c>
      <c r="G32" s="76">
        <f t="shared" si="2"/>
        <v>0</v>
      </c>
      <c r="H32" s="76">
        <f t="shared" si="2"/>
        <v>0</v>
      </c>
      <c r="I32" s="76">
        <f t="shared" si="2"/>
        <v>0</v>
      </c>
      <c r="J32" s="76">
        <f t="shared" si="2"/>
        <v>0</v>
      </c>
      <c r="K32" s="76">
        <f t="shared" si="2"/>
        <v>0</v>
      </c>
      <c r="L32" s="76">
        <f t="shared" si="2"/>
        <v>0</v>
      </c>
      <c r="M32" s="76">
        <f>SUM(M26:M31)</f>
        <v>0</v>
      </c>
      <c r="N32" s="76">
        <f t="shared" si="2"/>
        <v>0</v>
      </c>
      <c r="O32" s="76">
        <f t="shared" si="2"/>
        <v>0</v>
      </c>
    </row>
    <row r="33" spans="1:15" x14ac:dyDescent="0.2">
      <c r="A33"/>
      <c r="B33"/>
      <c r="C33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ht="22.5" x14ac:dyDescent="0.2">
      <c r="A34" s="62" t="s">
        <v>184</v>
      </c>
      <c r="B34" s="63"/>
      <c r="C34" s="197"/>
      <c r="D34" s="64"/>
      <c r="E34" s="65"/>
      <c r="F34" s="65"/>
      <c r="G34" s="65"/>
      <c r="H34" s="65"/>
      <c r="I34" s="65"/>
      <c r="J34" s="65"/>
      <c r="K34" s="65"/>
      <c r="L34" s="65"/>
      <c r="M34" s="66"/>
      <c r="N34" s="65"/>
      <c r="O34" s="65"/>
    </row>
    <row r="35" spans="1:15" ht="28.5" customHeight="1" x14ac:dyDescent="0.2">
      <c r="A35" s="77" t="s">
        <v>185</v>
      </c>
      <c r="B35" s="15" t="s">
        <v>175</v>
      </c>
      <c r="C35" s="197"/>
      <c r="D35" s="68" t="s">
        <v>176</v>
      </c>
      <c r="E35" s="68" t="s">
        <v>176</v>
      </c>
      <c r="F35" s="68" t="s">
        <v>176</v>
      </c>
      <c r="G35" s="68" t="s">
        <v>176</v>
      </c>
      <c r="H35" s="68" t="s">
        <v>176</v>
      </c>
      <c r="I35" s="68" t="s">
        <v>176</v>
      </c>
      <c r="J35" s="68" t="s">
        <v>176</v>
      </c>
      <c r="K35" s="68" t="s">
        <v>176</v>
      </c>
      <c r="L35" s="68" t="s">
        <v>176</v>
      </c>
      <c r="M35" s="68" t="s">
        <v>176</v>
      </c>
      <c r="N35" s="68" t="s">
        <v>176</v>
      </c>
      <c r="O35" s="68" t="s">
        <v>176</v>
      </c>
    </row>
    <row r="36" spans="1:15" x14ac:dyDescent="0.2">
      <c r="A36" s="13" t="s">
        <v>186</v>
      </c>
      <c r="B36" s="72">
        <f>1/12</f>
        <v>8.3333333333333329E-2</v>
      </c>
      <c r="C36" s="197"/>
      <c r="D36" s="71">
        <f>$B36*D32</f>
        <v>0</v>
      </c>
      <c r="E36" s="71">
        <f t="shared" ref="E36:O36" si="3">$B36*E32</f>
        <v>0</v>
      </c>
      <c r="F36" s="71">
        <f t="shared" si="3"/>
        <v>0</v>
      </c>
      <c r="G36" s="71">
        <f t="shared" si="3"/>
        <v>0</v>
      </c>
      <c r="H36" s="71">
        <f t="shared" si="3"/>
        <v>0</v>
      </c>
      <c r="I36" s="71">
        <f t="shared" si="3"/>
        <v>0</v>
      </c>
      <c r="J36" s="71">
        <f t="shared" si="3"/>
        <v>0</v>
      </c>
      <c r="K36" s="71">
        <f t="shared" si="3"/>
        <v>0</v>
      </c>
      <c r="L36" s="71">
        <f t="shared" si="3"/>
        <v>0</v>
      </c>
      <c r="M36" s="71">
        <f>$B36*M32</f>
        <v>0</v>
      </c>
      <c r="N36" s="71">
        <f t="shared" si="3"/>
        <v>0</v>
      </c>
      <c r="O36" s="71">
        <f t="shared" si="3"/>
        <v>0</v>
      </c>
    </row>
    <row r="37" spans="1:15" x14ac:dyDescent="0.2">
      <c r="A37" s="13" t="s">
        <v>187</v>
      </c>
      <c r="B37" s="72">
        <f>(1/12/3)</f>
        <v>2.7777777777777776E-2</v>
      </c>
      <c r="C37" s="197"/>
      <c r="D37" s="71">
        <f>$B37*D32</f>
        <v>0</v>
      </c>
      <c r="E37" s="71">
        <f t="shared" ref="E37:O37" si="4">$B37*E32</f>
        <v>0</v>
      </c>
      <c r="F37" s="71">
        <f t="shared" si="4"/>
        <v>0</v>
      </c>
      <c r="G37" s="71">
        <f t="shared" si="4"/>
        <v>0</v>
      </c>
      <c r="H37" s="71">
        <f t="shared" si="4"/>
        <v>0</v>
      </c>
      <c r="I37" s="71">
        <f t="shared" si="4"/>
        <v>0</v>
      </c>
      <c r="J37" s="71">
        <f t="shared" si="4"/>
        <v>0</v>
      </c>
      <c r="K37" s="71">
        <f t="shared" si="4"/>
        <v>0</v>
      </c>
      <c r="L37" s="71">
        <f t="shared" si="4"/>
        <v>0</v>
      </c>
      <c r="M37" s="71">
        <f>$B37*M32</f>
        <v>0</v>
      </c>
      <c r="N37" s="71">
        <f t="shared" si="4"/>
        <v>0</v>
      </c>
      <c r="O37" s="71">
        <f t="shared" si="4"/>
        <v>0</v>
      </c>
    </row>
    <row r="38" spans="1:15" x14ac:dyDescent="0.2">
      <c r="A38" s="78" t="s">
        <v>188</v>
      </c>
      <c r="B38" s="79">
        <f>SUM(B36:B37)</f>
        <v>0.1111111111111111</v>
      </c>
      <c r="C38" s="196"/>
      <c r="D38" s="80">
        <f>SUM(D36:D37)</f>
        <v>0</v>
      </c>
      <c r="E38" s="80">
        <f t="shared" ref="E38:O38" si="5">SUM(E36:E37)</f>
        <v>0</v>
      </c>
      <c r="F38" s="80">
        <f t="shared" si="5"/>
        <v>0</v>
      </c>
      <c r="G38" s="80">
        <f t="shared" si="5"/>
        <v>0</v>
      </c>
      <c r="H38" s="80">
        <f t="shared" si="5"/>
        <v>0</v>
      </c>
      <c r="I38" s="80">
        <f t="shared" si="5"/>
        <v>0</v>
      </c>
      <c r="J38" s="80">
        <f t="shared" si="5"/>
        <v>0</v>
      </c>
      <c r="K38" s="80">
        <f t="shared" si="5"/>
        <v>0</v>
      </c>
      <c r="L38" s="80">
        <f t="shared" si="5"/>
        <v>0</v>
      </c>
      <c r="M38" s="80">
        <f>SUM(M36:M37)</f>
        <v>0</v>
      </c>
      <c r="N38" s="80">
        <f t="shared" si="5"/>
        <v>0</v>
      </c>
      <c r="O38" s="80">
        <f t="shared" si="5"/>
        <v>0</v>
      </c>
    </row>
    <row r="39" spans="1:15" ht="22.5" x14ac:dyDescent="0.2">
      <c r="A39" s="77" t="s">
        <v>189</v>
      </c>
      <c r="B39" s="15" t="s">
        <v>175</v>
      </c>
      <c r="C39" s="197"/>
      <c r="D39" s="81" t="s">
        <v>176</v>
      </c>
      <c r="E39" s="81" t="s">
        <v>176</v>
      </c>
      <c r="F39" s="81" t="s">
        <v>176</v>
      </c>
      <c r="G39" s="81" t="s">
        <v>176</v>
      </c>
      <c r="H39" s="81" t="s">
        <v>176</v>
      </c>
      <c r="I39" s="81" t="s">
        <v>176</v>
      </c>
      <c r="J39" s="81" t="s">
        <v>176</v>
      </c>
      <c r="K39" s="81" t="s">
        <v>176</v>
      </c>
      <c r="L39" s="81" t="s">
        <v>176</v>
      </c>
      <c r="M39" s="81" t="s">
        <v>176</v>
      </c>
      <c r="N39" s="81" t="s">
        <v>176</v>
      </c>
      <c r="O39" s="81" t="s">
        <v>176</v>
      </c>
    </row>
    <row r="40" spans="1:15" ht="39.75" x14ac:dyDescent="0.2">
      <c r="A40" s="13" t="s">
        <v>190</v>
      </c>
      <c r="B40" s="72">
        <f>IF('II - Planilha Consolidada'!G52="DESONERADO",0,0.2)</f>
        <v>0</v>
      </c>
      <c r="C40" s="197"/>
      <c r="D40" s="71">
        <f>$B40*(D32+D38)</f>
        <v>0</v>
      </c>
      <c r="E40" s="71">
        <f t="shared" ref="E40:O40" si="6">$B40*(E32+E38)</f>
        <v>0</v>
      </c>
      <c r="F40" s="71">
        <f t="shared" si="6"/>
        <v>0</v>
      </c>
      <c r="G40" s="71">
        <f t="shared" si="6"/>
        <v>0</v>
      </c>
      <c r="H40" s="71">
        <f t="shared" si="6"/>
        <v>0</v>
      </c>
      <c r="I40" s="71">
        <f t="shared" si="6"/>
        <v>0</v>
      </c>
      <c r="J40" s="71">
        <f t="shared" si="6"/>
        <v>0</v>
      </c>
      <c r="K40" s="71">
        <f t="shared" si="6"/>
        <v>0</v>
      </c>
      <c r="L40" s="71">
        <f t="shared" si="6"/>
        <v>0</v>
      </c>
      <c r="M40" s="71">
        <f>$B40*(M32+M38)</f>
        <v>0</v>
      </c>
      <c r="N40" s="71">
        <f t="shared" si="6"/>
        <v>0</v>
      </c>
      <c r="O40" s="71">
        <f t="shared" si="6"/>
        <v>0</v>
      </c>
    </row>
    <row r="41" spans="1:15" x14ac:dyDescent="0.2">
      <c r="A41" s="13" t="s">
        <v>191</v>
      </c>
      <c r="B41" s="72">
        <v>2.5000000000000001E-2</v>
      </c>
      <c r="C41" s="197"/>
      <c r="D41" s="71">
        <f>$B41*(D$32+D$38)</f>
        <v>0</v>
      </c>
      <c r="E41" s="71">
        <f t="shared" ref="E41:O41" si="7">$B41*(E$32+E$38)</f>
        <v>0</v>
      </c>
      <c r="F41" s="71">
        <f t="shared" si="7"/>
        <v>0</v>
      </c>
      <c r="G41" s="71">
        <f t="shared" si="7"/>
        <v>0</v>
      </c>
      <c r="H41" s="71">
        <f t="shared" si="7"/>
        <v>0</v>
      </c>
      <c r="I41" s="71">
        <f t="shared" si="7"/>
        <v>0</v>
      </c>
      <c r="J41" s="71">
        <f t="shared" si="7"/>
        <v>0</v>
      </c>
      <c r="K41" s="71">
        <f t="shared" si="7"/>
        <v>0</v>
      </c>
      <c r="L41" s="71">
        <f t="shared" si="7"/>
        <v>0</v>
      </c>
      <c r="M41" s="71">
        <f t="shared" ref="M41:M47" si="8">$B41*(M$32+M$38)</f>
        <v>0</v>
      </c>
      <c r="N41" s="71">
        <f t="shared" si="7"/>
        <v>0</v>
      </c>
      <c r="O41" s="71">
        <f t="shared" si="7"/>
        <v>0</v>
      </c>
    </row>
    <row r="42" spans="1:15" ht="39.75" x14ac:dyDescent="0.2">
      <c r="A42" s="13" t="s">
        <v>192</v>
      </c>
      <c r="B42" s="72">
        <v>0.03</v>
      </c>
      <c r="C42" s="197"/>
      <c r="D42" s="71">
        <f t="shared" ref="D42:O47" si="9">$B42*(D$32+D$38)</f>
        <v>0</v>
      </c>
      <c r="E42" s="71">
        <f t="shared" si="9"/>
        <v>0</v>
      </c>
      <c r="F42" s="71">
        <f t="shared" si="9"/>
        <v>0</v>
      </c>
      <c r="G42" s="71">
        <f t="shared" si="9"/>
        <v>0</v>
      </c>
      <c r="H42" s="71">
        <f t="shared" si="9"/>
        <v>0</v>
      </c>
      <c r="I42" s="71">
        <f t="shared" si="9"/>
        <v>0</v>
      </c>
      <c r="J42" s="71">
        <f t="shared" si="9"/>
        <v>0</v>
      </c>
      <c r="K42" s="71">
        <f t="shared" si="9"/>
        <v>0</v>
      </c>
      <c r="L42" s="71">
        <f t="shared" si="9"/>
        <v>0</v>
      </c>
      <c r="M42" s="71">
        <f t="shared" si="8"/>
        <v>0</v>
      </c>
      <c r="N42" s="71">
        <f t="shared" si="9"/>
        <v>0</v>
      </c>
      <c r="O42" s="71">
        <f t="shared" si="9"/>
        <v>0</v>
      </c>
    </row>
    <row r="43" spans="1:15" x14ac:dyDescent="0.2">
      <c r="A43" s="13" t="s">
        <v>193</v>
      </c>
      <c r="B43" s="72">
        <v>1.4999999999999999E-2</v>
      </c>
      <c r="C43" s="197"/>
      <c r="D43" s="71">
        <f t="shared" si="9"/>
        <v>0</v>
      </c>
      <c r="E43" s="71">
        <f t="shared" si="9"/>
        <v>0</v>
      </c>
      <c r="F43" s="71">
        <f t="shared" si="9"/>
        <v>0</v>
      </c>
      <c r="G43" s="71">
        <f t="shared" si="9"/>
        <v>0</v>
      </c>
      <c r="H43" s="71">
        <f t="shared" si="9"/>
        <v>0</v>
      </c>
      <c r="I43" s="71">
        <f t="shared" si="9"/>
        <v>0</v>
      </c>
      <c r="J43" s="71">
        <f t="shared" si="9"/>
        <v>0</v>
      </c>
      <c r="K43" s="71">
        <f t="shared" si="9"/>
        <v>0</v>
      </c>
      <c r="L43" s="71">
        <f t="shared" si="9"/>
        <v>0</v>
      </c>
      <c r="M43" s="71">
        <f t="shared" si="8"/>
        <v>0</v>
      </c>
      <c r="N43" s="71">
        <f t="shared" si="9"/>
        <v>0</v>
      </c>
      <c r="O43" s="71">
        <f t="shared" si="9"/>
        <v>0</v>
      </c>
    </row>
    <row r="44" spans="1:15" x14ac:dyDescent="0.2">
      <c r="A44" s="13" t="s">
        <v>194</v>
      </c>
      <c r="B44" s="72">
        <v>0.01</v>
      </c>
      <c r="C44" s="197"/>
      <c r="D44" s="71">
        <f t="shared" si="9"/>
        <v>0</v>
      </c>
      <c r="E44" s="71">
        <f t="shared" si="9"/>
        <v>0</v>
      </c>
      <c r="F44" s="71">
        <f t="shared" si="9"/>
        <v>0</v>
      </c>
      <c r="G44" s="71">
        <f t="shared" si="9"/>
        <v>0</v>
      </c>
      <c r="H44" s="71">
        <f t="shared" si="9"/>
        <v>0</v>
      </c>
      <c r="I44" s="71">
        <f t="shared" si="9"/>
        <v>0</v>
      </c>
      <c r="J44" s="71">
        <f t="shared" si="9"/>
        <v>0</v>
      </c>
      <c r="K44" s="71">
        <f t="shared" si="9"/>
        <v>0</v>
      </c>
      <c r="L44" s="71">
        <f t="shared" si="9"/>
        <v>0</v>
      </c>
      <c r="M44" s="71">
        <f t="shared" si="8"/>
        <v>0</v>
      </c>
      <c r="N44" s="71">
        <f t="shared" si="9"/>
        <v>0</v>
      </c>
      <c r="O44" s="71">
        <f t="shared" si="9"/>
        <v>0</v>
      </c>
    </row>
    <row r="45" spans="1:15" x14ac:dyDescent="0.2">
      <c r="A45" s="13" t="s">
        <v>195</v>
      </c>
      <c r="B45" s="72">
        <v>6.0000000000000001E-3</v>
      </c>
      <c r="C45" s="197"/>
      <c r="D45" s="71">
        <f t="shared" si="9"/>
        <v>0</v>
      </c>
      <c r="E45" s="71">
        <f t="shared" si="9"/>
        <v>0</v>
      </c>
      <c r="F45" s="71">
        <f t="shared" si="9"/>
        <v>0</v>
      </c>
      <c r="G45" s="71">
        <f t="shared" si="9"/>
        <v>0</v>
      </c>
      <c r="H45" s="71">
        <f t="shared" si="9"/>
        <v>0</v>
      </c>
      <c r="I45" s="71">
        <f t="shared" si="9"/>
        <v>0</v>
      </c>
      <c r="J45" s="71">
        <f t="shared" si="9"/>
        <v>0</v>
      </c>
      <c r="K45" s="71">
        <f t="shared" si="9"/>
        <v>0</v>
      </c>
      <c r="L45" s="71">
        <f t="shared" si="9"/>
        <v>0</v>
      </c>
      <c r="M45" s="71">
        <f t="shared" si="8"/>
        <v>0</v>
      </c>
      <c r="N45" s="71">
        <f t="shared" si="9"/>
        <v>0</v>
      </c>
      <c r="O45" s="71">
        <f t="shared" si="9"/>
        <v>0</v>
      </c>
    </row>
    <row r="46" spans="1:15" x14ac:dyDescent="0.2">
      <c r="A46" s="13" t="s">
        <v>196</v>
      </c>
      <c r="B46" s="72">
        <v>2E-3</v>
      </c>
      <c r="C46" s="197"/>
      <c r="D46" s="71">
        <f t="shared" si="9"/>
        <v>0</v>
      </c>
      <c r="E46" s="71">
        <f t="shared" si="9"/>
        <v>0</v>
      </c>
      <c r="F46" s="71">
        <f t="shared" si="9"/>
        <v>0</v>
      </c>
      <c r="G46" s="71">
        <f t="shared" si="9"/>
        <v>0</v>
      </c>
      <c r="H46" s="71">
        <f t="shared" si="9"/>
        <v>0</v>
      </c>
      <c r="I46" s="71">
        <f t="shared" si="9"/>
        <v>0</v>
      </c>
      <c r="J46" s="71">
        <f t="shared" si="9"/>
        <v>0</v>
      </c>
      <c r="K46" s="71">
        <f t="shared" si="9"/>
        <v>0</v>
      </c>
      <c r="L46" s="71">
        <f t="shared" si="9"/>
        <v>0</v>
      </c>
      <c r="M46" s="71">
        <f t="shared" si="8"/>
        <v>0</v>
      </c>
      <c r="N46" s="71">
        <f t="shared" si="9"/>
        <v>0</v>
      </c>
      <c r="O46" s="71">
        <f t="shared" si="9"/>
        <v>0</v>
      </c>
    </row>
    <row r="47" spans="1:15" x14ac:dyDescent="0.2">
      <c r="A47" s="13" t="s">
        <v>197</v>
      </c>
      <c r="B47" s="72">
        <v>0.08</v>
      </c>
      <c r="C47" s="197"/>
      <c r="D47" s="71">
        <f t="shared" si="9"/>
        <v>0</v>
      </c>
      <c r="E47" s="71">
        <f t="shared" si="9"/>
        <v>0</v>
      </c>
      <c r="F47" s="71">
        <f t="shared" si="9"/>
        <v>0</v>
      </c>
      <c r="G47" s="71">
        <f t="shared" si="9"/>
        <v>0</v>
      </c>
      <c r="H47" s="71">
        <f t="shared" si="9"/>
        <v>0</v>
      </c>
      <c r="I47" s="71">
        <f t="shared" si="9"/>
        <v>0</v>
      </c>
      <c r="J47" s="71">
        <f t="shared" si="9"/>
        <v>0</v>
      </c>
      <c r="K47" s="71">
        <f t="shared" si="9"/>
        <v>0</v>
      </c>
      <c r="L47" s="71">
        <f t="shared" si="9"/>
        <v>0</v>
      </c>
      <c r="M47" s="71">
        <f t="shared" si="8"/>
        <v>0</v>
      </c>
      <c r="N47" s="71">
        <f t="shared" si="9"/>
        <v>0</v>
      </c>
      <c r="O47" s="71">
        <f t="shared" si="9"/>
        <v>0</v>
      </c>
    </row>
    <row r="48" spans="1:15" x14ac:dyDescent="0.2">
      <c r="A48" s="78" t="s">
        <v>188</v>
      </c>
      <c r="B48" s="79">
        <f>SUM(B40:B47)</f>
        <v>0.16800000000000001</v>
      </c>
      <c r="C48" s="196"/>
      <c r="D48" s="80">
        <f>SUM(D40:D47)</f>
        <v>0</v>
      </c>
      <c r="E48" s="80">
        <f t="shared" ref="E48:O48" si="10">SUM(E40:E47)</f>
        <v>0</v>
      </c>
      <c r="F48" s="80">
        <f t="shared" si="10"/>
        <v>0</v>
      </c>
      <c r="G48" s="80">
        <f t="shared" si="10"/>
        <v>0</v>
      </c>
      <c r="H48" s="80">
        <f t="shared" si="10"/>
        <v>0</v>
      </c>
      <c r="I48" s="80">
        <f t="shared" si="10"/>
        <v>0</v>
      </c>
      <c r="J48" s="80">
        <f t="shared" si="10"/>
        <v>0</v>
      </c>
      <c r="K48" s="80">
        <f t="shared" si="10"/>
        <v>0</v>
      </c>
      <c r="L48" s="80">
        <f t="shared" si="10"/>
        <v>0</v>
      </c>
      <c r="M48" s="80">
        <f>SUM(M40:M47)</f>
        <v>0</v>
      </c>
      <c r="N48" s="80">
        <f t="shared" si="10"/>
        <v>0</v>
      </c>
      <c r="O48" s="80">
        <f t="shared" si="10"/>
        <v>0</v>
      </c>
    </row>
    <row r="49" spans="1:15" x14ac:dyDescent="0.2">
      <c r="A49" s="77" t="s">
        <v>198</v>
      </c>
      <c r="B49" s="15" t="s">
        <v>199</v>
      </c>
      <c r="C49" s="197"/>
      <c r="D49" s="68" t="s">
        <v>176</v>
      </c>
      <c r="E49" s="68" t="s">
        <v>176</v>
      </c>
      <c r="F49" s="68" t="s">
        <v>176</v>
      </c>
      <c r="G49" s="68" t="s">
        <v>176</v>
      </c>
      <c r="H49" s="68" t="s">
        <v>176</v>
      </c>
      <c r="I49" s="68" t="s">
        <v>176</v>
      </c>
      <c r="J49" s="68" t="s">
        <v>176</v>
      </c>
      <c r="K49" s="68" t="s">
        <v>176</v>
      </c>
      <c r="L49" s="68" t="s">
        <v>176</v>
      </c>
      <c r="M49" s="68" t="s">
        <v>176</v>
      </c>
      <c r="N49" s="68" t="s">
        <v>176</v>
      </c>
      <c r="O49" s="68" t="s">
        <v>176</v>
      </c>
    </row>
    <row r="50" spans="1:15" x14ac:dyDescent="0.2">
      <c r="A50" s="13" t="s">
        <v>200</v>
      </c>
      <c r="B50" s="70"/>
      <c r="C50" s="197"/>
      <c r="D50" s="82">
        <f>D17</f>
        <v>0</v>
      </c>
      <c r="E50" s="82">
        <f t="shared" ref="E50:O50" si="11">E17</f>
        <v>0</v>
      </c>
      <c r="F50" s="82">
        <f t="shared" si="11"/>
        <v>0</v>
      </c>
      <c r="G50" s="82">
        <f t="shared" si="11"/>
        <v>0</v>
      </c>
      <c r="H50" s="82">
        <f t="shared" si="11"/>
        <v>0</v>
      </c>
      <c r="I50" s="82">
        <f t="shared" si="11"/>
        <v>0</v>
      </c>
      <c r="J50" s="82">
        <f t="shared" si="11"/>
        <v>0</v>
      </c>
      <c r="K50" s="82">
        <f t="shared" si="11"/>
        <v>0</v>
      </c>
      <c r="L50" s="82">
        <f t="shared" si="11"/>
        <v>0</v>
      </c>
      <c r="M50" s="82">
        <f>M17</f>
        <v>0</v>
      </c>
      <c r="N50" s="82">
        <f t="shared" si="11"/>
        <v>0</v>
      </c>
      <c r="O50" s="82">
        <f t="shared" si="11"/>
        <v>0</v>
      </c>
    </row>
    <row r="51" spans="1:15" x14ac:dyDescent="0.2">
      <c r="A51" s="13" t="s">
        <v>201</v>
      </c>
      <c r="B51" s="70"/>
      <c r="C51" s="197"/>
      <c r="D51" s="82">
        <f>D18</f>
        <v>0</v>
      </c>
      <c r="E51" s="82">
        <f t="shared" ref="E51:O51" si="12">E18</f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>M18</f>
        <v>0</v>
      </c>
      <c r="N51" s="82">
        <f t="shared" si="12"/>
        <v>0</v>
      </c>
      <c r="O51" s="82">
        <f t="shared" si="12"/>
        <v>0</v>
      </c>
    </row>
    <row r="52" spans="1:15" x14ac:dyDescent="0.2">
      <c r="A52" s="13" t="s">
        <v>202</v>
      </c>
      <c r="B52" s="70"/>
      <c r="C52" s="197"/>
      <c r="D52" s="82">
        <f>D19</f>
        <v>0</v>
      </c>
      <c r="E52" s="82">
        <f t="shared" ref="E52:O52" si="13">E19</f>
        <v>0</v>
      </c>
      <c r="F52" s="82">
        <f t="shared" si="13"/>
        <v>0</v>
      </c>
      <c r="G52" s="82">
        <f t="shared" si="13"/>
        <v>0</v>
      </c>
      <c r="H52" s="82">
        <f t="shared" si="13"/>
        <v>0</v>
      </c>
      <c r="I52" s="82">
        <f t="shared" si="13"/>
        <v>0</v>
      </c>
      <c r="J52" s="82">
        <f t="shared" si="13"/>
        <v>0</v>
      </c>
      <c r="K52" s="82">
        <f t="shared" si="13"/>
        <v>0</v>
      </c>
      <c r="L52" s="82">
        <f t="shared" si="13"/>
        <v>0</v>
      </c>
      <c r="M52" s="82">
        <f>M19</f>
        <v>0</v>
      </c>
      <c r="N52" s="82">
        <f t="shared" si="13"/>
        <v>0</v>
      </c>
      <c r="O52" s="82">
        <f t="shared" si="13"/>
        <v>0</v>
      </c>
    </row>
    <row r="53" spans="1:15" x14ac:dyDescent="0.2">
      <c r="A53" s="13" t="s">
        <v>203</v>
      </c>
      <c r="B53" s="70"/>
      <c r="C53" s="197"/>
      <c r="D53" s="82">
        <f>D20</f>
        <v>0</v>
      </c>
      <c r="E53" s="82">
        <f t="shared" ref="E53:O53" si="14">E20</f>
        <v>0</v>
      </c>
      <c r="F53" s="82">
        <f t="shared" si="14"/>
        <v>0</v>
      </c>
      <c r="G53" s="82">
        <f t="shared" si="14"/>
        <v>0</v>
      </c>
      <c r="H53" s="82">
        <f t="shared" si="14"/>
        <v>0</v>
      </c>
      <c r="I53" s="82">
        <f t="shared" si="14"/>
        <v>0</v>
      </c>
      <c r="J53" s="82">
        <f t="shared" si="14"/>
        <v>0</v>
      </c>
      <c r="K53" s="82">
        <f t="shared" si="14"/>
        <v>0</v>
      </c>
      <c r="L53" s="82">
        <f t="shared" si="14"/>
        <v>0</v>
      </c>
      <c r="M53" s="82">
        <f>M20</f>
        <v>0</v>
      </c>
      <c r="N53" s="82">
        <f t="shared" si="14"/>
        <v>0</v>
      </c>
      <c r="O53" s="82">
        <f t="shared" si="14"/>
        <v>0</v>
      </c>
    </row>
    <row r="54" spans="1:15" x14ac:dyDescent="0.2">
      <c r="A54" s="13" t="s">
        <v>204</v>
      </c>
      <c r="B54" s="70"/>
      <c r="C54" s="197"/>
      <c r="D54" s="82">
        <f>D21</f>
        <v>0</v>
      </c>
      <c r="E54" s="82">
        <f t="shared" ref="E54:O54" si="15">E21</f>
        <v>0</v>
      </c>
      <c r="F54" s="82">
        <f t="shared" si="15"/>
        <v>0</v>
      </c>
      <c r="G54" s="82">
        <f t="shared" si="15"/>
        <v>0</v>
      </c>
      <c r="H54" s="82">
        <f t="shared" si="15"/>
        <v>0</v>
      </c>
      <c r="I54" s="82">
        <f t="shared" si="15"/>
        <v>0</v>
      </c>
      <c r="J54" s="82">
        <f t="shared" si="15"/>
        <v>0</v>
      </c>
      <c r="K54" s="82">
        <f t="shared" si="15"/>
        <v>0</v>
      </c>
      <c r="L54" s="82">
        <f t="shared" si="15"/>
        <v>0</v>
      </c>
      <c r="M54" s="82">
        <f>M21</f>
        <v>0</v>
      </c>
      <c r="N54" s="82">
        <f t="shared" si="15"/>
        <v>0</v>
      </c>
      <c r="O54" s="82">
        <f t="shared" si="15"/>
        <v>0</v>
      </c>
    </row>
    <row r="55" spans="1:15" x14ac:dyDescent="0.2">
      <c r="A55" s="78" t="s">
        <v>188</v>
      </c>
      <c r="B55" s="83"/>
      <c r="C55" s="196"/>
      <c r="D55" s="80">
        <f>SUM(D50:D54)</f>
        <v>0</v>
      </c>
      <c r="E55" s="80">
        <f t="shared" ref="E55:O55" si="16">SUM(E50:E54)</f>
        <v>0</v>
      </c>
      <c r="F55" s="80">
        <f t="shared" si="16"/>
        <v>0</v>
      </c>
      <c r="G55" s="80">
        <f t="shared" si="16"/>
        <v>0</v>
      </c>
      <c r="H55" s="80">
        <f t="shared" si="16"/>
        <v>0</v>
      </c>
      <c r="I55" s="80">
        <f t="shared" si="16"/>
        <v>0</v>
      </c>
      <c r="J55" s="80">
        <f t="shared" si="16"/>
        <v>0</v>
      </c>
      <c r="K55" s="80">
        <f t="shared" si="16"/>
        <v>0</v>
      </c>
      <c r="L55" s="80">
        <f t="shared" si="16"/>
        <v>0</v>
      </c>
      <c r="M55" s="80">
        <f>SUM(M50:M54)</f>
        <v>0</v>
      </c>
      <c r="N55" s="80">
        <f t="shared" si="16"/>
        <v>0</v>
      </c>
      <c r="O55" s="80">
        <f t="shared" si="16"/>
        <v>0</v>
      </c>
    </row>
    <row r="56" spans="1:15" ht="22.5" x14ac:dyDescent="0.2">
      <c r="A56" s="62" t="s">
        <v>205</v>
      </c>
      <c r="B56" s="63"/>
      <c r="C56" s="197"/>
      <c r="D56" s="60" t="s">
        <v>176</v>
      </c>
      <c r="E56" s="60" t="s">
        <v>176</v>
      </c>
      <c r="F56" s="60" t="s">
        <v>176</v>
      </c>
      <c r="G56" s="60" t="s">
        <v>176</v>
      </c>
      <c r="H56" s="60" t="s">
        <v>176</v>
      </c>
      <c r="I56" s="60" t="s">
        <v>176</v>
      </c>
      <c r="J56" s="60" t="s">
        <v>176</v>
      </c>
      <c r="K56" s="60" t="s">
        <v>176</v>
      </c>
      <c r="L56" s="60" t="s">
        <v>176</v>
      </c>
      <c r="M56" s="60" t="s">
        <v>176</v>
      </c>
      <c r="N56" s="60" t="s">
        <v>176</v>
      </c>
      <c r="O56" s="60" t="s">
        <v>176</v>
      </c>
    </row>
    <row r="57" spans="1:15" ht="22.5" x14ac:dyDescent="0.2">
      <c r="A57" s="13" t="s">
        <v>185</v>
      </c>
      <c r="B57" s="70"/>
      <c r="C57" s="197"/>
      <c r="D57" s="71">
        <f>D38</f>
        <v>0</v>
      </c>
      <c r="E57" s="71">
        <f t="shared" ref="E57:O57" si="17">E38</f>
        <v>0</v>
      </c>
      <c r="F57" s="71">
        <f t="shared" si="17"/>
        <v>0</v>
      </c>
      <c r="G57" s="71">
        <f t="shared" si="17"/>
        <v>0</v>
      </c>
      <c r="H57" s="71">
        <f t="shared" si="17"/>
        <v>0</v>
      </c>
      <c r="I57" s="71">
        <f t="shared" si="17"/>
        <v>0</v>
      </c>
      <c r="J57" s="71">
        <f t="shared" si="17"/>
        <v>0</v>
      </c>
      <c r="K57" s="71">
        <f t="shared" si="17"/>
        <v>0</v>
      </c>
      <c r="L57" s="71">
        <f t="shared" si="17"/>
        <v>0</v>
      </c>
      <c r="M57" s="71">
        <f>M38</f>
        <v>0</v>
      </c>
      <c r="N57" s="71">
        <f t="shared" si="17"/>
        <v>0</v>
      </c>
      <c r="O57" s="71">
        <f t="shared" si="17"/>
        <v>0</v>
      </c>
    </row>
    <row r="58" spans="1:15" x14ac:dyDescent="0.2">
      <c r="A58" s="13" t="s">
        <v>206</v>
      </c>
      <c r="B58" s="70"/>
      <c r="C58" s="197"/>
      <c r="D58" s="71">
        <f>D48</f>
        <v>0</v>
      </c>
      <c r="E58" s="71">
        <f t="shared" ref="E58:O58" si="18">E48</f>
        <v>0</v>
      </c>
      <c r="F58" s="71">
        <f t="shared" si="18"/>
        <v>0</v>
      </c>
      <c r="G58" s="71">
        <f t="shared" si="18"/>
        <v>0</v>
      </c>
      <c r="H58" s="71">
        <f t="shared" si="18"/>
        <v>0</v>
      </c>
      <c r="I58" s="71">
        <f t="shared" si="18"/>
        <v>0</v>
      </c>
      <c r="J58" s="71">
        <f t="shared" si="18"/>
        <v>0</v>
      </c>
      <c r="K58" s="71">
        <f t="shared" si="18"/>
        <v>0</v>
      </c>
      <c r="L58" s="71">
        <f t="shared" si="18"/>
        <v>0</v>
      </c>
      <c r="M58" s="71">
        <f>M48</f>
        <v>0</v>
      </c>
      <c r="N58" s="71">
        <f t="shared" si="18"/>
        <v>0</v>
      </c>
      <c r="O58" s="71">
        <f t="shared" si="18"/>
        <v>0</v>
      </c>
    </row>
    <row r="59" spans="1:15" x14ac:dyDescent="0.2">
      <c r="A59" s="13" t="s">
        <v>198</v>
      </c>
      <c r="B59" s="70"/>
      <c r="C59" s="197"/>
      <c r="D59" s="71">
        <f>D55</f>
        <v>0</v>
      </c>
      <c r="E59" s="71">
        <f t="shared" ref="E59:O59" si="19">E55</f>
        <v>0</v>
      </c>
      <c r="F59" s="71">
        <f t="shared" si="19"/>
        <v>0</v>
      </c>
      <c r="G59" s="71">
        <f t="shared" si="19"/>
        <v>0</v>
      </c>
      <c r="H59" s="71">
        <f t="shared" si="19"/>
        <v>0</v>
      </c>
      <c r="I59" s="71">
        <f t="shared" si="19"/>
        <v>0</v>
      </c>
      <c r="J59" s="71">
        <f t="shared" si="19"/>
        <v>0</v>
      </c>
      <c r="K59" s="71">
        <f t="shared" si="19"/>
        <v>0</v>
      </c>
      <c r="L59" s="71">
        <f t="shared" si="19"/>
        <v>0</v>
      </c>
      <c r="M59" s="71">
        <f>M55</f>
        <v>0</v>
      </c>
      <c r="N59" s="71">
        <f t="shared" si="19"/>
        <v>0</v>
      </c>
      <c r="O59" s="71">
        <f t="shared" si="19"/>
        <v>0</v>
      </c>
    </row>
    <row r="60" spans="1:15" ht="15" x14ac:dyDescent="0.25">
      <c r="A60" s="84" t="s">
        <v>183</v>
      </c>
      <c r="B60" s="85"/>
      <c r="C60" s="196"/>
      <c r="D60" s="76">
        <f>SUM(D57:D59)</f>
        <v>0</v>
      </c>
      <c r="E60" s="76">
        <f t="shared" ref="E60:O60" si="20">SUM(E57:E59)</f>
        <v>0</v>
      </c>
      <c r="F60" s="76">
        <f t="shared" si="20"/>
        <v>0</v>
      </c>
      <c r="G60" s="76">
        <f t="shared" si="20"/>
        <v>0</v>
      </c>
      <c r="H60" s="76">
        <f t="shared" si="20"/>
        <v>0</v>
      </c>
      <c r="I60" s="76">
        <f t="shared" si="20"/>
        <v>0</v>
      </c>
      <c r="J60" s="76">
        <f t="shared" si="20"/>
        <v>0</v>
      </c>
      <c r="K60" s="76">
        <f t="shared" si="20"/>
        <v>0</v>
      </c>
      <c r="L60" s="76">
        <f t="shared" si="20"/>
        <v>0</v>
      </c>
      <c r="M60" s="76">
        <f>SUM(M57:M59)</f>
        <v>0</v>
      </c>
      <c r="N60" s="76">
        <f t="shared" si="20"/>
        <v>0</v>
      </c>
      <c r="O60" s="76">
        <f t="shared" si="20"/>
        <v>0</v>
      </c>
    </row>
    <row r="61" spans="1:15" x14ac:dyDescent="0.2">
      <c r="A61"/>
      <c r="B61"/>
      <c r="C61" s="197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pans="1:15" x14ac:dyDescent="0.2">
      <c r="A62" s="62" t="s">
        <v>207</v>
      </c>
      <c r="B62" s="63"/>
      <c r="C62" s="197"/>
      <c r="D62" s="64"/>
      <c r="E62" s="65"/>
      <c r="F62" s="65"/>
      <c r="G62" s="65"/>
      <c r="H62" s="65"/>
      <c r="I62" s="65"/>
      <c r="J62" s="65"/>
      <c r="K62" s="65"/>
      <c r="L62" s="65"/>
      <c r="M62" s="66"/>
      <c r="N62" s="65"/>
      <c r="O62" s="65"/>
    </row>
    <row r="63" spans="1:15" x14ac:dyDescent="0.2">
      <c r="A63" s="77" t="s">
        <v>208</v>
      </c>
      <c r="B63" s="15" t="s">
        <v>175</v>
      </c>
      <c r="C63" s="197"/>
      <c r="D63" s="68" t="s">
        <v>176</v>
      </c>
      <c r="E63" s="68" t="s">
        <v>176</v>
      </c>
      <c r="F63" s="68" t="s">
        <v>176</v>
      </c>
      <c r="G63" s="68" t="s">
        <v>176</v>
      </c>
      <c r="H63" s="68" t="s">
        <v>176</v>
      </c>
      <c r="I63" s="68" t="s">
        <v>176</v>
      </c>
      <c r="J63" s="68" t="s">
        <v>176</v>
      </c>
      <c r="K63" s="68" t="s">
        <v>176</v>
      </c>
      <c r="L63" s="68" t="s">
        <v>176</v>
      </c>
      <c r="M63" s="68" t="s">
        <v>176</v>
      </c>
      <c r="N63" s="68" t="s">
        <v>176</v>
      </c>
      <c r="O63" s="68" t="s">
        <v>176</v>
      </c>
    </row>
    <row r="64" spans="1:15" x14ac:dyDescent="0.2">
      <c r="A64" s="13" t="s">
        <v>209</v>
      </c>
      <c r="B64" s="86">
        <f>1/12*0.05</f>
        <v>4.1666666666666666E-3</v>
      </c>
      <c r="C64" s="197"/>
      <c r="D64" s="71">
        <f t="shared" ref="D64:D69" si="21">$B64*(D$32+D$38)</f>
        <v>0</v>
      </c>
      <c r="E64" s="71">
        <f t="shared" ref="E64:O69" si="22">$B64*(E$32+E$38)</f>
        <v>0</v>
      </c>
      <c r="F64" s="71">
        <f t="shared" si="22"/>
        <v>0</v>
      </c>
      <c r="G64" s="71">
        <f t="shared" si="22"/>
        <v>0</v>
      </c>
      <c r="H64" s="71">
        <f t="shared" si="22"/>
        <v>0</v>
      </c>
      <c r="I64" s="71">
        <f t="shared" si="22"/>
        <v>0</v>
      </c>
      <c r="J64" s="71">
        <f t="shared" si="22"/>
        <v>0</v>
      </c>
      <c r="K64" s="71">
        <f t="shared" si="22"/>
        <v>0</v>
      </c>
      <c r="L64" s="71">
        <f t="shared" si="22"/>
        <v>0</v>
      </c>
      <c r="M64" s="71">
        <f t="shared" ref="M64:M69" si="23">$B64*(M$32+M$38)</f>
        <v>0</v>
      </c>
      <c r="N64" s="71">
        <f t="shared" si="22"/>
        <v>0</v>
      </c>
      <c r="O64" s="71">
        <f t="shared" si="22"/>
        <v>0</v>
      </c>
    </row>
    <row r="65" spans="1:15" ht="22.5" x14ac:dyDescent="0.2">
      <c r="A65" s="13" t="s">
        <v>210</v>
      </c>
      <c r="B65" s="72">
        <f>B47*B64</f>
        <v>3.3333333333333332E-4</v>
      </c>
      <c r="C65" s="197"/>
      <c r="D65" s="71">
        <f t="shared" si="21"/>
        <v>0</v>
      </c>
      <c r="E65" s="71">
        <f t="shared" si="22"/>
        <v>0</v>
      </c>
      <c r="F65" s="71">
        <f t="shared" si="22"/>
        <v>0</v>
      </c>
      <c r="G65" s="71">
        <f t="shared" si="22"/>
        <v>0</v>
      </c>
      <c r="H65" s="71">
        <f t="shared" si="22"/>
        <v>0</v>
      </c>
      <c r="I65" s="71">
        <f t="shared" si="22"/>
        <v>0</v>
      </c>
      <c r="J65" s="71">
        <f t="shared" si="22"/>
        <v>0</v>
      </c>
      <c r="K65" s="71">
        <f t="shared" si="22"/>
        <v>0</v>
      </c>
      <c r="L65" s="71">
        <f t="shared" si="22"/>
        <v>0</v>
      </c>
      <c r="M65" s="71">
        <f t="shared" si="23"/>
        <v>0</v>
      </c>
      <c r="N65" s="71">
        <f t="shared" si="22"/>
        <v>0</v>
      </c>
      <c r="O65" s="71">
        <f t="shared" si="22"/>
        <v>0</v>
      </c>
    </row>
    <row r="66" spans="1:15" ht="165" customHeight="1" x14ac:dyDescent="0.2">
      <c r="A66" s="13" t="s">
        <v>211</v>
      </c>
      <c r="B66" s="70"/>
      <c r="C66" s="197"/>
      <c r="D66" s="71">
        <f t="shared" si="21"/>
        <v>0</v>
      </c>
      <c r="E66" s="71">
        <f t="shared" si="22"/>
        <v>0</v>
      </c>
      <c r="F66" s="71">
        <f t="shared" si="22"/>
        <v>0</v>
      </c>
      <c r="G66" s="71">
        <f t="shared" si="22"/>
        <v>0</v>
      </c>
      <c r="H66" s="71">
        <f t="shared" si="22"/>
        <v>0</v>
      </c>
      <c r="I66" s="71">
        <f t="shared" si="22"/>
        <v>0</v>
      </c>
      <c r="J66" s="71">
        <f t="shared" si="22"/>
        <v>0</v>
      </c>
      <c r="K66" s="71">
        <f t="shared" si="22"/>
        <v>0</v>
      </c>
      <c r="L66" s="71">
        <f t="shared" si="22"/>
        <v>0</v>
      </c>
      <c r="M66" s="71">
        <f t="shared" si="23"/>
        <v>0</v>
      </c>
      <c r="N66" s="71">
        <f t="shared" si="22"/>
        <v>0</v>
      </c>
      <c r="O66" s="71">
        <f t="shared" si="22"/>
        <v>0</v>
      </c>
    </row>
    <row r="67" spans="1:15" ht="102.75" customHeight="1" x14ac:dyDescent="0.2">
      <c r="A67" s="13" t="s">
        <v>212</v>
      </c>
      <c r="B67" s="86">
        <f>1/30*7/12</f>
        <v>1.9444444444444445E-2</v>
      </c>
      <c r="C67" s="197"/>
      <c r="D67" s="71">
        <f t="shared" si="21"/>
        <v>0</v>
      </c>
      <c r="E67" s="71">
        <f t="shared" si="22"/>
        <v>0</v>
      </c>
      <c r="F67" s="71">
        <f t="shared" si="22"/>
        <v>0</v>
      </c>
      <c r="G67" s="71">
        <f t="shared" si="22"/>
        <v>0</v>
      </c>
      <c r="H67" s="71">
        <f t="shared" si="22"/>
        <v>0</v>
      </c>
      <c r="I67" s="71">
        <f t="shared" si="22"/>
        <v>0</v>
      </c>
      <c r="J67" s="71">
        <f t="shared" si="22"/>
        <v>0</v>
      </c>
      <c r="K67" s="71">
        <f t="shared" si="22"/>
        <v>0</v>
      </c>
      <c r="L67" s="71">
        <f t="shared" si="22"/>
        <v>0</v>
      </c>
      <c r="M67" s="71">
        <f t="shared" si="23"/>
        <v>0</v>
      </c>
      <c r="N67" s="71">
        <f t="shared" si="22"/>
        <v>0</v>
      </c>
      <c r="O67" s="71">
        <f t="shared" si="22"/>
        <v>0</v>
      </c>
    </row>
    <row r="68" spans="1:15" ht="33.75" x14ac:dyDescent="0.2">
      <c r="A68" s="13" t="s">
        <v>213</v>
      </c>
      <c r="B68" s="72">
        <f>B48*B67</f>
        <v>3.2666666666666669E-3</v>
      </c>
      <c r="C68" s="197"/>
      <c r="D68" s="71">
        <f t="shared" si="21"/>
        <v>0</v>
      </c>
      <c r="E68" s="71">
        <f t="shared" si="22"/>
        <v>0</v>
      </c>
      <c r="F68" s="71">
        <f t="shared" si="22"/>
        <v>0</v>
      </c>
      <c r="G68" s="71">
        <f t="shared" si="22"/>
        <v>0</v>
      </c>
      <c r="H68" s="71">
        <f t="shared" si="22"/>
        <v>0</v>
      </c>
      <c r="I68" s="71">
        <f t="shared" si="22"/>
        <v>0</v>
      </c>
      <c r="J68" s="71">
        <f t="shared" si="22"/>
        <v>0</v>
      </c>
      <c r="K68" s="71">
        <f t="shared" si="22"/>
        <v>0</v>
      </c>
      <c r="L68" s="71">
        <f t="shared" si="22"/>
        <v>0</v>
      </c>
      <c r="M68" s="71">
        <f t="shared" si="23"/>
        <v>0</v>
      </c>
      <c r="N68" s="71">
        <f t="shared" si="22"/>
        <v>0</v>
      </c>
      <c r="O68" s="71">
        <f t="shared" si="22"/>
        <v>0</v>
      </c>
    </row>
    <row r="69" spans="1:15" ht="22.5" x14ac:dyDescent="0.2">
      <c r="A69" s="13" t="s">
        <v>214</v>
      </c>
      <c r="B69" s="87">
        <f>0.08*0.4*0.9*(1+1/12+1/12+1/3*1/12)</f>
        <v>3.4399999999999993E-2</v>
      </c>
      <c r="C69" s="197"/>
      <c r="D69" s="71">
        <f t="shared" si="21"/>
        <v>0</v>
      </c>
      <c r="E69" s="71">
        <f t="shared" si="22"/>
        <v>0</v>
      </c>
      <c r="F69" s="71">
        <f t="shared" si="22"/>
        <v>0</v>
      </c>
      <c r="G69" s="71">
        <f t="shared" si="22"/>
        <v>0</v>
      </c>
      <c r="H69" s="71">
        <f t="shared" si="22"/>
        <v>0</v>
      </c>
      <c r="I69" s="71">
        <f t="shared" si="22"/>
        <v>0</v>
      </c>
      <c r="J69" s="71">
        <f t="shared" si="22"/>
        <v>0</v>
      </c>
      <c r="K69" s="71">
        <f t="shared" si="22"/>
        <v>0</v>
      </c>
      <c r="L69" s="71">
        <f t="shared" si="22"/>
        <v>0</v>
      </c>
      <c r="M69" s="71">
        <f t="shared" si="23"/>
        <v>0</v>
      </c>
      <c r="N69" s="71">
        <f t="shared" si="22"/>
        <v>0</v>
      </c>
      <c r="O69" s="71">
        <f t="shared" si="22"/>
        <v>0</v>
      </c>
    </row>
    <row r="70" spans="1:15" x14ac:dyDescent="0.2">
      <c r="A70" s="74" t="s">
        <v>183</v>
      </c>
      <c r="B70" s="88">
        <f>SUM(B64:B69)</f>
        <v>6.1611111111111103E-2</v>
      </c>
      <c r="C70" s="196"/>
      <c r="D70" s="76">
        <f>SUM(D64:D69)</f>
        <v>0</v>
      </c>
      <c r="E70" s="76">
        <f t="shared" ref="E70:O70" si="24">SUM(E64:E69)</f>
        <v>0</v>
      </c>
      <c r="F70" s="76">
        <f t="shared" si="24"/>
        <v>0</v>
      </c>
      <c r="G70" s="76">
        <f t="shared" si="24"/>
        <v>0</v>
      </c>
      <c r="H70" s="76">
        <f t="shared" si="24"/>
        <v>0</v>
      </c>
      <c r="I70" s="76">
        <f t="shared" si="24"/>
        <v>0</v>
      </c>
      <c r="J70" s="76">
        <f t="shared" si="24"/>
        <v>0</v>
      </c>
      <c r="K70" s="76">
        <f t="shared" si="24"/>
        <v>0</v>
      </c>
      <c r="L70" s="76">
        <f t="shared" si="24"/>
        <v>0</v>
      </c>
      <c r="M70" s="76">
        <f>SUM(M64:M69)</f>
        <v>0</v>
      </c>
      <c r="N70" s="76">
        <f t="shared" si="24"/>
        <v>0</v>
      </c>
      <c r="O70" s="76">
        <f t="shared" si="24"/>
        <v>0</v>
      </c>
    </row>
    <row r="71" spans="1:15" x14ac:dyDescent="0.2">
      <c r="A71"/>
      <c r="B71"/>
      <c r="C71" s="197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</row>
    <row r="72" spans="1:15" ht="30" customHeight="1" x14ac:dyDescent="0.2">
      <c r="A72" s="62" t="s">
        <v>215</v>
      </c>
      <c r="B72" s="63"/>
      <c r="C72" s="197"/>
      <c r="D72" s="64"/>
      <c r="E72" s="65"/>
      <c r="F72" s="65"/>
      <c r="G72" s="65"/>
      <c r="H72" s="65"/>
      <c r="I72" s="65"/>
      <c r="J72" s="65"/>
      <c r="K72" s="65"/>
      <c r="L72" s="65"/>
      <c r="M72" s="66"/>
      <c r="N72" s="65"/>
      <c r="O72" s="65"/>
    </row>
    <row r="73" spans="1:15" x14ac:dyDescent="0.2">
      <c r="A73" s="77" t="s">
        <v>216</v>
      </c>
      <c r="B73" s="15" t="s">
        <v>175</v>
      </c>
      <c r="C73" s="197"/>
      <c r="D73" s="68" t="s">
        <v>176</v>
      </c>
      <c r="E73" s="68" t="s">
        <v>176</v>
      </c>
      <c r="F73" s="68" t="s">
        <v>176</v>
      </c>
      <c r="G73" s="68" t="s">
        <v>176</v>
      </c>
      <c r="H73" s="68" t="s">
        <v>176</v>
      </c>
      <c r="I73" s="68" t="s">
        <v>176</v>
      </c>
      <c r="J73" s="68" t="s">
        <v>176</v>
      </c>
      <c r="K73" s="68" t="s">
        <v>176</v>
      </c>
      <c r="L73" s="68" t="s">
        <v>176</v>
      </c>
      <c r="M73" s="68" t="s">
        <v>176</v>
      </c>
      <c r="N73" s="68" t="s">
        <v>176</v>
      </c>
      <c r="O73" s="68" t="s">
        <v>176</v>
      </c>
    </row>
    <row r="74" spans="1:15" ht="22.5" x14ac:dyDescent="0.2">
      <c r="A74" s="13" t="s">
        <v>217</v>
      </c>
      <c r="B74" s="89">
        <f>1/12</f>
        <v>8.3333333333333329E-2</v>
      </c>
      <c r="C74" s="197"/>
      <c r="D74" s="71">
        <f t="shared" ref="D74:E77" si="25">$B74*(D$32+D$60+D$70)</f>
        <v>0</v>
      </c>
      <c r="E74" s="71">
        <f t="shared" si="25"/>
        <v>0</v>
      </c>
      <c r="F74" s="71">
        <f t="shared" ref="F74:O77" si="26">$B74*(F$32+F$60+F$70)</f>
        <v>0</v>
      </c>
      <c r="G74" s="71">
        <f t="shared" si="26"/>
        <v>0</v>
      </c>
      <c r="H74" s="71">
        <f t="shared" si="26"/>
        <v>0</v>
      </c>
      <c r="I74" s="71">
        <f t="shared" si="26"/>
        <v>0</v>
      </c>
      <c r="J74" s="71">
        <f t="shared" si="26"/>
        <v>0</v>
      </c>
      <c r="K74" s="71">
        <f t="shared" si="26"/>
        <v>0</v>
      </c>
      <c r="L74" s="71">
        <f t="shared" si="26"/>
        <v>0</v>
      </c>
      <c r="M74" s="71">
        <f>$B74*(M$32+M$60+M$70)</f>
        <v>0</v>
      </c>
      <c r="N74" s="71">
        <f t="shared" si="26"/>
        <v>0</v>
      </c>
      <c r="O74" s="71">
        <f t="shared" si="26"/>
        <v>0</v>
      </c>
    </row>
    <row r="75" spans="1:15" ht="22.5" x14ac:dyDescent="0.2">
      <c r="A75" s="13" t="s">
        <v>218</v>
      </c>
      <c r="B75" s="86">
        <f>4.886/30.4375/12</f>
        <v>1.3377138945927446E-2</v>
      </c>
      <c r="C75" s="197"/>
      <c r="D75" s="71">
        <f t="shared" si="25"/>
        <v>0</v>
      </c>
      <c r="E75" s="71">
        <f t="shared" si="25"/>
        <v>0</v>
      </c>
      <c r="F75" s="71">
        <f t="shared" si="26"/>
        <v>0</v>
      </c>
      <c r="G75" s="71">
        <f t="shared" si="26"/>
        <v>0</v>
      </c>
      <c r="H75" s="71">
        <f t="shared" si="26"/>
        <v>0</v>
      </c>
      <c r="I75" s="71">
        <f t="shared" si="26"/>
        <v>0</v>
      </c>
      <c r="J75" s="71">
        <f t="shared" si="26"/>
        <v>0</v>
      </c>
      <c r="K75" s="71">
        <f t="shared" si="26"/>
        <v>0</v>
      </c>
      <c r="L75" s="71">
        <f t="shared" si="26"/>
        <v>0</v>
      </c>
      <c r="M75" s="71">
        <f>$B75*(M$32+M$60+M$70)</f>
        <v>0</v>
      </c>
      <c r="N75" s="71">
        <f t="shared" si="26"/>
        <v>0</v>
      </c>
      <c r="O75" s="71">
        <f t="shared" si="26"/>
        <v>0</v>
      </c>
    </row>
    <row r="76" spans="1:15" ht="22.5" x14ac:dyDescent="0.2">
      <c r="A76" s="13" t="s">
        <v>219</v>
      </c>
      <c r="B76" s="86">
        <f>5/30.4375/12*0.015*0.95</f>
        <v>1.9507186858316218E-4</v>
      </c>
      <c r="C76" s="197"/>
      <c r="D76" s="71">
        <f t="shared" si="25"/>
        <v>0</v>
      </c>
      <c r="E76" s="71">
        <f t="shared" si="25"/>
        <v>0</v>
      </c>
      <c r="F76" s="71">
        <f t="shared" si="26"/>
        <v>0</v>
      </c>
      <c r="G76" s="71">
        <f t="shared" si="26"/>
        <v>0</v>
      </c>
      <c r="H76" s="71">
        <f t="shared" si="26"/>
        <v>0</v>
      </c>
      <c r="I76" s="71">
        <f t="shared" si="26"/>
        <v>0</v>
      </c>
      <c r="J76" s="71">
        <f t="shared" si="26"/>
        <v>0</v>
      </c>
      <c r="K76" s="71">
        <f t="shared" si="26"/>
        <v>0</v>
      </c>
      <c r="L76" s="71">
        <f t="shared" si="26"/>
        <v>0</v>
      </c>
      <c r="M76" s="71">
        <f>$B76*(M$32+M$60+M$70)</f>
        <v>0</v>
      </c>
      <c r="N76" s="71">
        <f t="shared" si="26"/>
        <v>0</v>
      </c>
      <c r="O76" s="71">
        <f t="shared" si="26"/>
        <v>0</v>
      </c>
    </row>
    <row r="77" spans="1:15" ht="22.5" x14ac:dyDescent="0.2">
      <c r="A77" s="13" t="s">
        <v>220</v>
      </c>
      <c r="B77" s="86">
        <f>0.9545/30.4375/12</f>
        <v>2.613278576317591E-3</v>
      </c>
      <c r="C77" s="197"/>
      <c r="D77" s="71">
        <f t="shared" si="25"/>
        <v>0</v>
      </c>
      <c r="E77" s="71">
        <f t="shared" si="25"/>
        <v>0</v>
      </c>
      <c r="F77" s="71">
        <f t="shared" si="26"/>
        <v>0</v>
      </c>
      <c r="G77" s="71">
        <f t="shared" si="26"/>
        <v>0</v>
      </c>
      <c r="H77" s="71">
        <f t="shared" si="26"/>
        <v>0</v>
      </c>
      <c r="I77" s="71">
        <f t="shared" si="26"/>
        <v>0</v>
      </c>
      <c r="J77" s="71">
        <f t="shared" si="26"/>
        <v>0</v>
      </c>
      <c r="K77" s="71">
        <f t="shared" si="26"/>
        <v>0</v>
      </c>
      <c r="L77" s="71">
        <f t="shared" si="26"/>
        <v>0</v>
      </c>
      <c r="M77" s="71">
        <f>$B77*(M$32+M$60+M$70)</f>
        <v>0</v>
      </c>
      <c r="N77" s="71">
        <f t="shared" si="26"/>
        <v>0</v>
      </c>
      <c r="O77" s="71">
        <f t="shared" si="26"/>
        <v>0</v>
      </c>
    </row>
    <row r="78" spans="1:15" ht="22.5" x14ac:dyDescent="0.2">
      <c r="A78" s="13" t="s">
        <v>221</v>
      </c>
      <c r="B78" s="86">
        <f>120/30.4375*0.05*0.0032</f>
        <v>6.3080082135523615E-4</v>
      </c>
      <c r="C78" s="197"/>
      <c r="D78" s="71">
        <f>$B78*(D$32+D$32+D$32/3+D$48+D$55-D$50-D$51)</f>
        <v>0</v>
      </c>
      <c r="E78" s="71">
        <f>$B78*(E$32+E$32+E$32/3+E$48+E$55-E$50-E$51)</f>
        <v>0</v>
      </c>
      <c r="F78" s="71">
        <f t="shared" ref="F78:O78" si="27">$B78*(F$32+F$32+F$32/3+F$48+F$55-F$50-F$51)</f>
        <v>0</v>
      </c>
      <c r="G78" s="71">
        <f t="shared" si="27"/>
        <v>0</v>
      </c>
      <c r="H78" s="71">
        <f t="shared" si="27"/>
        <v>0</v>
      </c>
      <c r="I78" s="71">
        <f t="shared" si="27"/>
        <v>0</v>
      </c>
      <c r="J78" s="71">
        <f t="shared" si="27"/>
        <v>0</v>
      </c>
      <c r="K78" s="71">
        <f t="shared" si="27"/>
        <v>0</v>
      </c>
      <c r="L78" s="71">
        <f t="shared" si="27"/>
        <v>0</v>
      </c>
      <c r="M78" s="71">
        <f>$B78*(M$32+M$32+M$32/3+M$48+M$55-M$50-M$51)</f>
        <v>0</v>
      </c>
      <c r="N78" s="71">
        <f t="shared" si="27"/>
        <v>0</v>
      </c>
      <c r="O78" s="71">
        <f t="shared" si="27"/>
        <v>0</v>
      </c>
    </row>
    <row r="79" spans="1:15" x14ac:dyDescent="0.2">
      <c r="A79" s="78" t="s">
        <v>188</v>
      </c>
      <c r="B79" s="79"/>
      <c r="C79" s="196"/>
      <c r="D79" s="80">
        <f>SUM(D74:D78)</f>
        <v>0</v>
      </c>
      <c r="E79" s="80">
        <f>SUM(E74:E78)</f>
        <v>0</v>
      </c>
      <c r="F79" s="80">
        <f t="shared" ref="F79:O79" si="28">SUM(F74:F78)</f>
        <v>0</v>
      </c>
      <c r="G79" s="80">
        <f t="shared" si="28"/>
        <v>0</v>
      </c>
      <c r="H79" s="80">
        <f t="shared" si="28"/>
        <v>0</v>
      </c>
      <c r="I79" s="80">
        <f t="shared" si="28"/>
        <v>0</v>
      </c>
      <c r="J79" s="80">
        <f t="shared" si="28"/>
        <v>0</v>
      </c>
      <c r="K79" s="80">
        <f t="shared" si="28"/>
        <v>0</v>
      </c>
      <c r="L79" s="80">
        <f t="shared" si="28"/>
        <v>0</v>
      </c>
      <c r="M79" s="80">
        <f>SUM(M74:M78)</f>
        <v>0</v>
      </c>
      <c r="N79" s="80">
        <f t="shared" si="28"/>
        <v>0</v>
      </c>
      <c r="O79" s="80">
        <f t="shared" si="28"/>
        <v>0</v>
      </c>
    </row>
    <row r="80" spans="1:15" x14ac:dyDescent="0.2">
      <c r="A80" s="77" t="s">
        <v>222</v>
      </c>
      <c r="B80" s="15" t="s">
        <v>175</v>
      </c>
      <c r="C80" s="197"/>
      <c r="D80" s="68" t="s">
        <v>176</v>
      </c>
      <c r="E80" s="68" t="s">
        <v>176</v>
      </c>
      <c r="F80" s="68" t="s">
        <v>176</v>
      </c>
      <c r="G80" s="68" t="s">
        <v>176</v>
      </c>
      <c r="H80" s="68" t="s">
        <v>176</v>
      </c>
      <c r="I80" s="68" t="s">
        <v>176</v>
      </c>
      <c r="J80" s="68" t="s">
        <v>176</v>
      </c>
      <c r="K80" s="68" t="s">
        <v>176</v>
      </c>
      <c r="L80" s="68" t="s">
        <v>176</v>
      </c>
      <c r="M80" s="68" t="s">
        <v>176</v>
      </c>
      <c r="N80" s="68" t="s">
        <v>176</v>
      </c>
      <c r="O80" s="68" t="s">
        <v>176</v>
      </c>
    </row>
    <row r="81" spans="1:15" ht="36.75" x14ac:dyDescent="0.2">
      <c r="A81" s="13" t="s">
        <v>223</v>
      </c>
      <c r="B81" s="70"/>
      <c r="C81" s="197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</row>
    <row r="82" spans="1:15" x14ac:dyDescent="0.2">
      <c r="A82" s="78" t="s">
        <v>188</v>
      </c>
      <c r="B82" s="83"/>
      <c r="C82" s="196"/>
      <c r="D82" s="80">
        <f>SUM(D81)</f>
        <v>0</v>
      </c>
      <c r="E82" s="80">
        <f t="shared" ref="E82:O82" si="29">SUM(E81)</f>
        <v>0</v>
      </c>
      <c r="F82" s="80">
        <f t="shared" si="29"/>
        <v>0</v>
      </c>
      <c r="G82" s="80">
        <f t="shared" si="29"/>
        <v>0</v>
      </c>
      <c r="H82" s="80">
        <f t="shared" si="29"/>
        <v>0</v>
      </c>
      <c r="I82" s="80">
        <f t="shared" si="29"/>
        <v>0</v>
      </c>
      <c r="J82" s="80">
        <f t="shared" si="29"/>
        <v>0</v>
      </c>
      <c r="K82" s="80">
        <f t="shared" si="29"/>
        <v>0</v>
      </c>
      <c r="L82" s="80">
        <f t="shared" si="29"/>
        <v>0</v>
      </c>
      <c r="M82" s="80">
        <f>SUM(M81)</f>
        <v>0</v>
      </c>
      <c r="N82" s="80">
        <f t="shared" si="29"/>
        <v>0</v>
      </c>
      <c r="O82" s="80">
        <f t="shared" si="29"/>
        <v>0</v>
      </c>
    </row>
    <row r="83" spans="1:15" ht="22.5" x14ac:dyDescent="0.2">
      <c r="A83" s="62" t="s">
        <v>224</v>
      </c>
      <c r="B83" s="63"/>
      <c r="C83" s="197"/>
      <c r="D83" s="60" t="s">
        <v>176</v>
      </c>
      <c r="E83" s="60" t="s">
        <v>176</v>
      </c>
      <c r="F83" s="60" t="s">
        <v>176</v>
      </c>
      <c r="G83" s="60" t="s">
        <v>176</v>
      </c>
      <c r="H83" s="60" t="s">
        <v>176</v>
      </c>
      <c r="I83" s="60" t="s">
        <v>176</v>
      </c>
      <c r="J83" s="60" t="s">
        <v>176</v>
      </c>
      <c r="K83" s="60" t="s">
        <v>176</v>
      </c>
      <c r="L83" s="60" t="s">
        <v>176</v>
      </c>
      <c r="M83" s="60" t="s">
        <v>176</v>
      </c>
      <c r="N83" s="60" t="s">
        <v>176</v>
      </c>
      <c r="O83" s="60" t="s">
        <v>176</v>
      </c>
    </row>
    <row r="84" spans="1:15" x14ac:dyDescent="0.2">
      <c r="A84" s="13" t="s">
        <v>225</v>
      </c>
      <c r="B84" s="70"/>
      <c r="C84" s="197"/>
      <c r="D84" s="71">
        <f>D79</f>
        <v>0</v>
      </c>
      <c r="E84" s="71">
        <f t="shared" ref="E84:O84" si="30">E79</f>
        <v>0</v>
      </c>
      <c r="F84" s="71">
        <f t="shared" si="30"/>
        <v>0</v>
      </c>
      <c r="G84" s="71">
        <f t="shared" si="30"/>
        <v>0</v>
      </c>
      <c r="H84" s="71">
        <f t="shared" si="30"/>
        <v>0</v>
      </c>
      <c r="I84" s="71">
        <f t="shared" si="30"/>
        <v>0</v>
      </c>
      <c r="J84" s="71">
        <f t="shared" si="30"/>
        <v>0</v>
      </c>
      <c r="K84" s="71">
        <f t="shared" si="30"/>
        <v>0</v>
      </c>
      <c r="L84" s="71">
        <f t="shared" si="30"/>
        <v>0</v>
      </c>
      <c r="M84" s="71">
        <f>M79</f>
        <v>0</v>
      </c>
      <c r="N84" s="71">
        <f t="shared" si="30"/>
        <v>0</v>
      </c>
      <c r="O84" s="71">
        <f t="shared" si="30"/>
        <v>0</v>
      </c>
    </row>
    <row r="85" spans="1:15" x14ac:dyDescent="0.2">
      <c r="A85" s="13" t="s">
        <v>226</v>
      </c>
      <c r="B85" s="70"/>
      <c r="C85" s="197"/>
      <c r="D85" s="71">
        <f>D82</f>
        <v>0</v>
      </c>
      <c r="E85" s="71">
        <f t="shared" ref="E85:O85" si="31">E82</f>
        <v>0</v>
      </c>
      <c r="F85" s="71">
        <f t="shared" si="31"/>
        <v>0</v>
      </c>
      <c r="G85" s="71">
        <f t="shared" si="31"/>
        <v>0</v>
      </c>
      <c r="H85" s="71">
        <f t="shared" si="31"/>
        <v>0</v>
      </c>
      <c r="I85" s="71">
        <f t="shared" si="31"/>
        <v>0</v>
      </c>
      <c r="J85" s="71">
        <f t="shared" si="31"/>
        <v>0</v>
      </c>
      <c r="K85" s="71">
        <f t="shared" si="31"/>
        <v>0</v>
      </c>
      <c r="L85" s="71">
        <f t="shared" si="31"/>
        <v>0</v>
      </c>
      <c r="M85" s="71">
        <f>M82</f>
        <v>0</v>
      </c>
      <c r="N85" s="71">
        <f t="shared" si="31"/>
        <v>0</v>
      </c>
      <c r="O85" s="71">
        <f t="shared" si="31"/>
        <v>0</v>
      </c>
    </row>
    <row r="86" spans="1:15" x14ac:dyDescent="0.2">
      <c r="A86" s="74" t="s">
        <v>183</v>
      </c>
      <c r="B86" s="74"/>
      <c r="C86" s="198"/>
      <c r="D86" s="76">
        <f>SUM(D84:D85)</f>
        <v>0</v>
      </c>
      <c r="E86" s="76">
        <f t="shared" ref="E86:O86" si="32">SUM(E84:E85)</f>
        <v>0</v>
      </c>
      <c r="F86" s="76">
        <f t="shared" si="32"/>
        <v>0</v>
      </c>
      <c r="G86" s="76">
        <f t="shared" si="32"/>
        <v>0</v>
      </c>
      <c r="H86" s="76">
        <f t="shared" si="32"/>
        <v>0</v>
      </c>
      <c r="I86" s="76">
        <f t="shared" si="32"/>
        <v>0</v>
      </c>
      <c r="J86" s="76">
        <f t="shared" si="32"/>
        <v>0</v>
      </c>
      <c r="K86" s="76">
        <f t="shared" si="32"/>
        <v>0</v>
      </c>
      <c r="L86" s="76">
        <f t="shared" si="32"/>
        <v>0</v>
      </c>
      <c r="M86" s="76">
        <f>SUM(M84:M85)</f>
        <v>0</v>
      </c>
      <c r="N86" s="76">
        <f t="shared" si="32"/>
        <v>0</v>
      </c>
      <c r="O86" s="76">
        <f t="shared" si="32"/>
        <v>0</v>
      </c>
    </row>
    <row r="87" spans="1:15" x14ac:dyDescent="0.2">
      <c r="A87"/>
      <c r="B87"/>
      <c r="C87" s="197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</row>
    <row r="88" spans="1:15" ht="18.75" customHeight="1" x14ac:dyDescent="0.2">
      <c r="A88" s="62" t="s">
        <v>227</v>
      </c>
      <c r="B88" s="63"/>
      <c r="C88" s="197"/>
      <c r="D88" s="64"/>
      <c r="E88" s="65"/>
      <c r="F88" s="65"/>
      <c r="G88" s="65"/>
      <c r="H88" s="65"/>
      <c r="I88" s="65"/>
      <c r="J88" s="65"/>
      <c r="K88" s="65"/>
      <c r="L88" s="65"/>
      <c r="M88" s="66"/>
      <c r="N88" s="65"/>
      <c r="O88" s="65"/>
    </row>
    <row r="89" spans="1:15" x14ac:dyDescent="0.2">
      <c r="A89" s="77" t="s">
        <v>228</v>
      </c>
      <c r="B89" s="15" t="s">
        <v>199</v>
      </c>
      <c r="C89" s="197"/>
      <c r="D89" s="68" t="s">
        <v>176</v>
      </c>
      <c r="E89" s="68" t="s">
        <v>176</v>
      </c>
      <c r="F89" s="68" t="s">
        <v>176</v>
      </c>
      <c r="G89" s="68" t="s">
        <v>176</v>
      </c>
      <c r="H89" s="68" t="s">
        <v>176</v>
      </c>
      <c r="I89" s="68" t="s">
        <v>176</v>
      </c>
      <c r="J89" s="68" t="s">
        <v>176</v>
      </c>
      <c r="K89" s="68" t="s">
        <v>176</v>
      </c>
      <c r="L89" s="68" t="s">
        <v>176</v>
      </c>
      <c r="M89" s="68" t="s">
        <v>176</v>
      </c>
      <c r="N89" s="68" t="s">
        <v>176</v>
      </c>
      <c r="O89" s="68" t="s">
        <v>176</v>
      </c>
    </row>
    <row r="90" spans="1:15" x14ac:dyDescent="0.2">
      <c r="A90" s="13" t="s">
        <v>229</v>
      </c>
      <c r="B90" s="70"/>
      <c r="C90" s="197"/>
      <c r="D90" s="91">
        <f>VALUE('III-A.2 - Uniforme, EPI e Equip'!$E7)</f>
        <v>0</v>
      </c>
      <c r="E90" s="91">
        <f>VALUE('III-A.2 - Uniforme, EPI e Equip'!$E7)</f>
        <v>0</v>
      </c>
      <c r="F90" s="91">
        <f>VALUE('III-A.2 - Uniforme, EPI e Equip'!$E7)</f>
        <v>0</v>
      </c>
      <c r="G90" s="91">
        <f>VALUE('III-A.2 - Uniforme, EPI e Equip'!$E11)</f>
        <v>0</v>
      </c>
      <c r="H90" s="91">
        <f>VALUE('III-A.2 - Uniforme, EPI e Equip'!$E11)</f>
        <v>0</v>
      </c>
      <c r="I90" s="91">
        <f>VALUE('III-A.2 - Uniforme, EPI e Equip'!$E11)</f>
        <v>0</v>
      </c>
      <c r="J90" s="92">
        <f>VALUE('III-A.2 - Uniforme, EPI e Equip'!$E15)</f>
        <v>0</v>
      </c>
      <c r="K90" s="92">
        <f>VALUE('III-A.2 - Uniforme, EPI e Equip'!$E15)</f>
        <v>0</v>
      </c>
      <c r="L90" s="92">
        <f>VALUE('III-A.2 - Uniforme, EPI e Equip'!$E15)</f>
        <v>0</v>
      </c>
      <c r="M90" s="91">
        <f>VALUE('III-A.2 - Uniforme, EPI e Equip'!$E27)</f>
        <v>0</v>
      </c>
      <c r="N90" s="91">
        <f>VALUE('III-A.2 - Uniforme, EPI e Equip'!$E19)</f>
        <v>0</v>
      </c>
      <c r="O90" s="91">
        <f>VALUE('III-A.2 - Uniforme, EPI e Equip'!$E19)</f>
        <v>0</v>
      </c>
    </row>
    <row r="91" spans="1:15" ht="57.75" customHeight="1" x14ac:dyDescent="0.2">
      <c r="A91" s="13" t="s">
        <v>230</v>
      </c>
      <c r="B91" s="70"/>
      <c r="C91" s="197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</row>
    <row r="92" spans="1:15" ht="23.25" customHeight="1" x14ac:dyDescent="0.2">
      <c r="A92" s="13" t="s">
        <v>231</v>
      </c>
      <c r="B92" s="70"/>
      <c r="C92" s="197"/>
      <c r="D92" s="91">
        <f>VALUE('III-A.2 - Uniforme, EPI e Equip'!$E34)</f>
        <v>0</v>
      </c>
      <c r="E92" s="91">
        <f>VALUE('III-A.2 - Uniforme, EPI e Equip'!$E34)</f>
        <v>0</v>
      </c>
      <c r="F92" s="91">
        <f>VALUE('III-A.2 - Uniforme, EPI e Equip'!$E34)</f>
        <v>0</v>
      </c>
      <c r="G92" s="91">
        <f>VALUE('III-A.2 - Uniforme, EPI e Equip'!$E38)</f>
        <v>0</v>
      </c>
      <c r="H92" s="91">
        <f>VALUE('III-A.2 - Uniforme, EPI e Equip'!$E38)</f>
        <v>0</v>
      </c>
      <c r="I92" s="91">
        <f>VALUE('III-A.2 - Uniforme, EPI e Equip'!$E38)</f>
        <v>0</v>
      </c>
      <c r="J92" s="91">
        <f>VALUE('III-A.2 - Uniforme, EPI e Equip'!$E42)</f>
        <v>0</v>
      </c>
      <c r="K92" s="91">
        <f>VALUE('III-A.2 - Uniforme, EPI e Equip'!$E42)</f>
        <v>0</v>
      </c>
      <c r="L92" s="91">
        <f>VALUE('III-A.2 - Uniforme, EPI e Equip'!$E42)</f>
        <v>0</v>
      </c>
      <c r="M92" s="91">
        <f>VALUE('III-A.2 - Uniforme, EPI e Equip'!$E54)</f>
        <v>0</v>
      </c>
      <c r="N92" s="91">
        <f>VALUE('III-A.2 - Uniforme, EPI e Equip'!$E46)</f>
        <v>0</v>
      </c>
      <c r="O92" s="91">
        <f>VALUE('III-A.2 - Uniforme, EPI e Equip'!$E46)</f>
        <v>0</v>
      </c>
    </row>
    <row r="93" spans="1:15" x14ac:dyDescent="0.2">
      <c r="A93" s="74" t="s">
        <v>183</v>
      </c>
      <c r="B93" s="75"/>
      <c r="C93" s="196"/>
      <c r="D93" s="76">
        <f>SUM(D90:D92)</f>
        <v>0</v>
      </c>
      <c r="E93" s="76">
        <f t="shared" ref="E93:O93" si="33">SUM(E90:E92)</f>
        <v>0</v>
      </c>
      <c r="F93" s="76">
        <f t="shared" si="33"/>
        <v>0</v>
      </c>
      <c r="G93" s="76">
        <f t="shared" si="33"/>
        <v>0</v>
      </c>
      <c r="H93" s="76">
        <f t="shared" si="33"/>
        <v>0</v>
      </c>
      <c r="I93" s="76">
        <f t="shared" si="33"/>
        <v>0</v>
      </c>
      <c r="J93" s="76">
        <f t="shared" si="33"/>
        <v>0</v>
      </c>
      <c r="K93" s="76">
        <f t="shared" si="33"/>
        <v>0</v>
      </c>
      <c r="L93" s="76">
        <f t="shared" si="33"/>
        <v>0</v>
      </c>
      <c r="M93" s="76">
        <f>SUM(M90:M92)</f>
        <v>0</v>
      </c>
      <c r="N93" s="76">
        <f t="shared" si="33"/>
        <v>0</v>
      </c>
      <c r="O93" s="76">
        <f t="shared" si="33"/>
        <v>0</v>
      </c>
    </row>
    <row r="94" spans="1:15" x14ac:dyDescent="0.2">
      <c r="A94"/>
      <c r="B94"/>
      <c r="C94" s="197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15" ht="18.75" customHeight="1" x14ac:dyDescent="0.2">
      <c r="A95" s="62" t="s">
        <v>232</v>
      </c>
      <c r="B95" s="63"/>
      <c r="C95" s="197"/>
      <c r="D95" s="64"/>
      <c r="E95" s="65"/>
      <c r="F95" s="65"/>
      <c r="G95" s="65"/>
      <c r="H95" s="65"/>
      <c r="I95" s="65"/>
      <c r="J95" s="65"/>
      <c r="K95" s="65"/>
      <c r="L95" s="65"/>
      <c r="M95" s="66"/>
      <c r="N95" s="65"/>
      <c r="O95" s="65"/>
    </row>
    <row r="96" spans="1:15" x14ac:dyDescent="0.2">
      <c r="A96" s="77" t="s">
        <v>233</v>
      </c>
      <c r="B96" s="15" t="s">
        <v>175</v>
      </c>
      <c r="C96" s="197"/>
      <c r="D96" s="68" t="s">
        <v>176</v>
      </c>
      <c r="E96" s="68" t="s">
        <v>176</v>
      </c>
      <c r="F96" s="68" t="s">
        <v>176</v>
      </c>
      <c r="G96" s="68" t="s">
        <v>176</v>
      </c>
      <c r="H96" s="68" t="s">
        <v>176</v>
      </c>
      <c r="I96" s="68" t="s">
        <v>176</v>
      </c>
      <c r="J96" s="68" t="s">
        <v>176</v>
      </c>
      <c r="K96" s="68" t="s">
        <v>176</v>
      </c>
      <c r="L96" s="68" t="s">
        <v>176</v>
      </c>
      <c r="M96" s="68" t="s">
        <v>176</v>
      </c>
      <c r="N96" s="68" t="s">
        <v>176</v>
      </c>
      <c r="O96" s="68" t="s">
        <v>176</v>
      </c>
    </row>
    <row r="97" spans="1:15" x14ac:dyDescent="0.2">
      <c r="A97" s="13" t="s">
        <v>234</v>
      </c>
      <c r="B97" s="70"/>
      <c r="C97" s="197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</row>
    <row r="98" spans="1:15" x14ac:dyDescent="0.2">
      <c r="A98" s="13" t="s">
        <v>235</v>
      </c>
      <c r="B98" s="72">
        <f>'V - BDI'!C5</f>
        <v>0</v>
      </c>
      <c r="C98" s="197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</row>
    <row r="99" spans="1:15" x14ac:dyDescent="0.2">
      <c r="A99" s="13" t="s">
        <v>236</v>
      </c>
      <c r="B99" s="72">
        <f>'V - BDI'!C6</f>
        <v>0</v>
      </c>
      <c r="C99" s="197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</row>
    <row r="100" spans="1:15" x14ac:dyDescent="0.2">
      <c r="A100" s="13" t="s">
        <v>237</v>
      </c>
      <c r="B100" s="72">
        <f>'V - BDI'!C7</f>
        <v>0</v>
      </c>
      <c r="C100" s="197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</row>
    <row r="101" spans="1:15" x14ac:dyDescent="0.2">
      <c r="A101" s="13" t="s">
        <v>238</v>
      </c>
      <c r="B101" s="72">
        <f>'V - BDI'!C8</f>
        <v>0</v>
      </c>
      <c r="C101" s="197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</row>
    <row r="102" spans="1:15" x14ac:dyDescent="0.2">
      <c r="A102" s="13" t="s">
        <v>239</v>
      </c>
      <c r="B102" s="70"/>
      <c r="C102" s="197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</row>
    <row r="103" spans="1:15" x14ac:dyDescent="0.2">
      <c r="A103" s="13" t="s">
        <v>240</v>
      </c>
      <c r="B103" s="70"/>
      <c r="C103" s="197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</row>
    <row r="104" spans="1:15" x14ac:dyDescent="0.2">
      <c r="A104" s="13" t="s">
        <v>241</v>
      </c>
      <c r="B104" s="72">
        <f>'V - BDI'!C11</f>
        <v>0</v>
      </c>
      <c r="C104" s="197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</row>
    <row r="105" spans="1:15" x14ac:dyDescent="0.2">
      <c r="A105" s="13" t="s">
        <v>242</v>
      </c>
      <c r="B105" s="72">
        <f>'V - BDI'!C12</f>
        <v>0</v>
      </c>
      <c r="C105" s="197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</row>
    <row r="106" spans="1:15" ht="39.75" x14ac:dyDescent="0.2">
      <c r="A106" s="13" t="s">
        <v>243</v>
      </c>
      <c r="B106" s="72">
        <f>'V - BDI'!C13</f>
        <v>4.4999999999999998E-2</v>
      </c>
      <c r="C106" s="197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</row>
    <row r="107" spans="1:15" x14ac:dyDescent="0.2">
      <c r="A107" s="13" t="s">
        <v>244</v>
      </c>
      <c r="B107" s="72">
        <f>'V - BDI'!C14</f>
        <v>0</v>
      </c>
      <c r="C107" s="197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</row>
    <row r="108" spans="1:15" x14ac:dyDescent="0.2">
      <c r="A108" s="13" t="s">
        <v>245</v>
      </c>
      <c r="B108" s="70"/>
      <c r="C108" s="197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</row>
    <row r="109" spans="1:15" x14ac:dyDescent="0.2">
      <c r="A109" s="13" t="s">
        <v>246</v>
      </c>
      <c r="B109" s="72">
        <f>'V - BDI'!C16</f>
        <v>0</v>
      </c>
      <c r="C109" s="197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</row>
    <row r="110" spans="1:15" ht="80.25" customHeight="1" x14ac:dyDescent="0.2">
      <c r="A110" s="94" t="s">
        <v>247</v>
      </c>
      <c r="B110" s="95">
        <f>'V - BDI'!C18</f>
        <v>4.7120418848167533E-2</v>
      </c>
      <c r="C110" s="196"/>
      <c r="D110" s="96">
        <f>$B$110*D121</f>
        <v>0</v>
      </c>
      <c r="E110" s="96">
        <f t="shared" ref="E110:F110" si="34">$B$110*E121</f>
        <v>0</v>
      </c>
      <c r="F110" s="96">
        <f t="shared" si="34"/>
        <v>0</v>
      </c>
      <c r="G110" s="96">
        <f>$B$110*G121</f>
        <v>0</v>
      </c>
      <c r="H110" s="96">
        <f t="shared" ref="H110:I110" si="35">$B$110*H121</f>
        <v>0</v>
      </c>
      <c r="I110" s="96">
        <f t="shared" si="35"/>
        <v>0</v>
      </c>
      <c r="J110" s="96">
        <f>$B$110*J121</f>
        <v>0</v>
      </c>
      <c r="K110" s="96">
        <f t="shared" ref="K110:L110" si="36">$B$110*K121</f>
        <v>0</v>
      </c>
      <c r="L110" s="96">
        <f t="shared" si="36"/>
        <v>0</v>
      </c>
      <c r="M110" s="96">
        <f>$B$110*M121</f>
        <v>0</v>
      </c>
      <c r="N110" s="96">
        <f>$B$110*N121</f>
        <v>0</v>
      </c>
      <c r="O110" s="96">
        <f>$B$110*O121</f>
        <v>0</v>
      </c>
    </row>
    <row r="111" spans="1:15" x14ac:dyDescent="0.2">
      <c r="A111"/>
      <c r="B111"/>
      <c r="C111" s="196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</row>
    <row r="112" spans="1:15" x14ac:dyDescent="0.2">
      <c r="A112"/>
      <c r="B112"/>
      <c r="C112" s="196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</row>
    <row r="113" spans="1:15" ht="112.5" x14ac:dyDescent="0.2">
      <c r="A113" s="97" t="s">
        <v>248</v>
      </c>
      <c r="B113" s="98"/>
      <c r="C113" s="196"/>
      <c r="D113" s="60" t="str">
        <f>D12</f>
        <v>Oficial de Manutenção A (Eletricista/Instalador-Reparador de Reders Telefônicas e de comunicação de dados) – Jornada 44h semanais</v>
      </c>
      <c r="E113" s="60" t="str">
        <f t="shared" ref="E113:O113" si="37">E12</f>
        <v>Oficial de Manutenção A (Eletricista/Instalador-Reparador de Reders Telefônicas e de comunicação de dados) – Jornada 44h semanais</v>
      </c>
      <c r="F113" s="60" t="str">
        <f t="shared" si="37"/>
        <v>Oficial de Manutenção A (Eletricista/Instalador-Reparador de Reders Telefônicas e de comunicação de dados) – Jornada 44h semanais</v>
      </c>
      <c r="G113" s="60" t="str">
        <f t="shared" si="37"/>
        <v>Oficial de Manutenção B (Pedreiro/Bombeiro Hidráulico) – Jornada 44h semanais</v>
      </c>
      <c r="H113" s="60" t="str">
        <f t="shared" si="37"/>
        <v>Oficial de Manutenção B (Pedreiro/Bombeiro Hidráulico) – Jornada 44h semanais</v>
      </c>
      <c r="I113" s="60" t="str">
        <f t="shared" si="37"/>
        <v>Oficial de Manutenção B (Pedreiro/Bombeiro Hidráulico) – Jornada 44h semanais</v>
      </c>
      <c r="J113" s="60" t="str">
        <f t="shared" si="37"/>
        <v>Profissíonal Categoria A - Ajudante de Eletricista/Instalador-Reparador de Redes Telefônicas e de Comunicação – Jornada de 44h semanais</v>
      </c>
      <c r="K113" s="60" t="str">
        <f t="shared" si="37"/>
        <v>Profissíonal Categoria A - Ajudante de Eletricista/Instalador-Reparador de Redes Telefônicas e de Comunicação – Jornada de 44h semanais</v>
      </c>
      <c r="L113" s="60" t="str">
        <f t="shared" si="37"/>
        <v>Profissíonal Categoria A - Ajudante de Eletricista/Instalador-Reparador de Redes Telefônicas e de Comunicação – Jornada de 44h semanais</v>
      </c>
      <c r="M113" s="60" t="str">
        <f>M12</f>
        <v>Encarregado de Manutenção – Jornada 44h semanais</v>
      </c>
      <c r="N113" s="60" t="str">
        <f t="shared" si="37"/>
        <v>Engenheiro Civil - Jornada 44h semanais</v>
      </c>
      <c r="O113" s="60" t="str">
        <f t="shared" si="37"/>
        <v>Engenheiro Eletricista - Jornada 44h semanais</v>
      </c>
    </row>
    <row r="114" spans="1:15" x14ac:dyDescent="0.2">
      <c r="A114" s="199"/>
      <c r="B114" s="200"/>
      <c r="C114" s="196"/>
      <c r="D114" s="60" t="str">
        <f>D13</f>
        <v>Belém/PA</v>
      </c>
      <c r="E114" s="60" t="str">
        <f t="shared" ref="E114:O114" si="38">E13</f>
        <v>Marabá/PA</v>
      </c>
      <c r="F114" s="60" t="str">
        <f t="shared" si="38"/>
        <v>Santarém/PA</v>
      </c>
      <c r="G114" s="60" t="str">
        <f t="shared" si="38"/>
        <v>Belém/PA</v>
      </c>
      <c r="H114" s="60" t="str">
        <f t="shared" si="38"/>
        <v>Marabá/PA</v>
      </c>
      <c r="I114" s="60" t="str">
        <f t="shared" si="38"/>
        <v>Santarém/PA</v>
      </c>
      <c r="J114" s="60" t="str">
        <f t="shared" si="38"/>
        <v>Belém/PA</v>
      </c>
      <c r="K114" s="60" t="str">
        <f t="shared" si="38"/>
        <v>Marabá/PA</v>
      </c>
      <c r="L114" s="60" t="str">
        <f t="shared" si="38"/>
        <v>Santarém/PA</v>
      </c>
      <c r="M114" s="60" t="str">
        <f>M13</f>
        <v>Belém/PA</v>
      </c>
      <c r="N114" s="60" t="str">
        <f t="shared" si="38"/>
        <v>Belém/PA</v>
      </c>
      <c r="O114" s="60" t="str">
        <f t="shared" si="38"/>
        <v>Belém/PA</v>
      </c>
    </row>
    <row r="115" spans="1:15" ht="23.25" customHeight="1" x14ac:dyDescent="0.2">
      <c r="A115" s="99"/>
      <c r="B115" s="100"/>
      <c r="C115" s="196"/>
      <c r="D115" s="81" t="s">
        <v>176</v>
      </c>
      <c r="E115" s="81" t="s">
        <v>176</v>
      </c>
      <c r="F115" s="81" t="s">
        <v>176</v>
      </c>
      <c r="G115" s="81" t="s">
        <v>176</v>
      </c>
      <c r="H115" s="81" t="s">
        <v>176</v>
      </c>
      <c r="I115" s="81" t="s">
        <v>176</v>
      </c>
      <c r="J115" s="81" t="s">
        <v>176</v>
      </c>
      <c r="K115" s="81" t="s">
        <v>176</v>
      </c>
      <c r="L115" s="81" t="s">
        <v>176</v>
      </c>
      <c r="M115" s="81" t="s">
        <v>176</v>
      </c>
      <c r="N115" s="81" t="s">
        <v>176</v>
      </c>
      <c r="O115" s="81" t="s">
        <v>176</v>
      </c>
    </row>
    <row r="116" spans="1:15" ht="29.85" customHeight="1" x14ac:dyDescent="0.2">
      <c r="A116" s="101" t="s">
        <v>173</v>
      </c>
      <c r="B116" s="102"/>
      <c r="C116" s="196"/>
      <c r="D116" s="103">
        <f>D32</f>
        <v>0</v>
      </c>
      <c r="E116" s="103">
        <f t="shared" ref="E116:O116" si="39">E32</f>
        <v>0</v>
      </c>
      <c r="F116" s="103">
        <f t="shared" si="39"/>
        <v>0</v>
      </c>
      <c r="G116" s="103">
        <f t="shared" si="39"/>
        <v>0</v>
      </c>
      <c r="H116" s="103">
        <f t="shared" si="39"/>
        <v>0</v>
      </c>
      <c r="I116" s="103">
        <f t="shared" si="39"/>
        <v>0</v>
      </c>
      <c r="J116" s="103">
        <f t="shared" si="39"/>
        <v>0</v>
      </c>
      <c r="K116" s="103">
        <f t="shared" si="39"/>
        <v>0</v>
      </c>
      <c r="L116" s="103">
        <f t="shared" si="39"/>
        <v>0</v>
      </c>
      <c r="M116" s="103">
        <f>M32</f>
        <v>0</v>
      </c>
      <c r="N116" s="103">
        <f t="shared" si="39"/>
        <v>0</v>
      </c>
      <c r="O116" s="103">
        <f t="shared" si="39"/>
        <v>0</v>
      </c>
    </row>
    <row r="117" spans="1:15" ht="29.85" customHeight="1" x14ac:dyDescent="0.2">
      <c r="A117" s="101" t="s">
        <v>184</v>
      </c>
      <c r="B117" s="102"/>
      <c r="C117" s="196"/>
      <c r="D117" s="103">
        <f>D60</f>
        <v>0</v>
      </c>
      <c r="E117" s="103">
        <f t="shared" ref="E117:O117" si="40">E60</f>
        <v>0</v>
      </c>
      <c r="F117" s="103">
        <f t="shared" si="40"/>
        <v>0</v>
      </c>
      <c r="G117" s="103">
        <f t="shared" si="40"/>
        <v>0</v>
      </c>
      <c r="H117" s="103">
        <f t="shared" si="40"/>
        <v>0</v>
      </c>
      <c r="I117" s="103">
        <f t="shared" si="40"/>
        <v>0</v>
      </c>
      <c r="J117" s="103">
        <f t="shared" si="40"/>
        <v>0</v>
      </c>
      <c r="K117" s="103">
        <f t="shared" si="40"/>
        <v>0</v>
      </c>
      <c r="L117" s="103">
        <f t="shared" si="40"/>
        <v>0</v>
      </c>
      <c r="M117" s="103">
        <f>M60</f>
        <v>0</v>
      </c>
      <c r="N117" s="103">
        <f t="shared" si="40"/>
        <v>0</v>
      </c>
      <c r="O117" s="103">
        <f t="shared" si="40"/>
        <v>0</v>
      </c>
    </row>
    <row r="118" spans="1:15" ht="29.85" customHeight="1" x14ac:dyDescent="0.2">
      <c r="A118" s="101" t="s">
        <v>207</v>
      </c>
      <c r="B118" s="102"/>
      <c r="C118" s="196"/>
      <c r="D118" s="103">
        <f>D70</f>
        <v>0</v>
      </c>
      <c r="E118" s="103">
        <f t="shared" ref="E118:O118" si="41">E70</f>
        <v>0</v>
      </c>
      <c r="F118" s="103">
        <f t="shared" si="41"/>
        <v>0</v>
      </c>
      <c r="G118" s="103">
        <f t="shared" si="41"/>
        <v>0</v>
      </c>
      <c r="H118" s="103">
        <f t="shared" si="41"/>
        <v>0</v>
      </c>
      <c r="I118" s="103">
        <f t="shared" si="41"/>
        <v>0</v>
      </c>
      <c r="J118" s="103">
        <f t="shared" si="41"/>
        <v>0</v>
      </c>
      <c r="K118" s="103">
        <f t="shared" si="41"/>
        <v>0</v>
      </c>
      <c r="L118" s="103">
        <f t="shared" si="41"/>
        <v>0</v>
      </c>
      <c r="M118" s="103">
        <f>M70</f>
        <v>0</v>
      </c>
      <c r="N118" s="103">
        <f t="shared" si="41"/>
        <v>0</v>
      </c>
      <c r="O118" s="103">
        <f t="shared" si="41"/>
        <v>0</v>
      </c>
    </row>
    <row r="119" spans="1:15" ht="29.85" customHeight="1" x14ac:dyDescent="0.2">
      <c r="A119" s="101" t="s">
        <v>215</v>
      </c>
      <c r="B119" s="102"/>
      <c r="C119" s="196"/>
      <c r="D119" s="103">
        <f>D79</f>
        <v>0</v>
      </c>
      <c r="E119" s="103">
        <f t="shared" ref="E119:O119" si="42">E79</f>
        <v>0</v>
      </c>
      <c r="F119" s="103">
        <f t="shared" si="42"/>
        <v>0</v>
      </c>
      <c r="G119" s="103">
        <f t="shared" si="42"/>
        <v>0</v>
      </c>
      <c r="H119" s="103">
        <f t="shared" si="42"/>
        <v>0</v>
      </c>
      <c r="I119" s="103">
        <f t="shared" si="42"/>
        <v>0</v>
      </c>
      <c r="J119" s="103">
        <f t="shared" si="42"/>
        <v>0</v>
      </c>
      <c r="K119" s="103">
        <f t="shared" si="42"/>
        <v>0</v>
      </c>
      <c r="L119" s="103">
        <f t="shared" si="42"/>
        <v>0</v>
      </c>
      <c r="M119" s="103">
        <f>M79</f>
        <v>0</v>
      </c>
      <c r="N119" s="103">
        <f t="shared" si="42"/>
        <v>0</v>
      </c>
      <c r="O119" s="103">
        <f t="shared" si="42"/>
        <v>0</v>
      </c>
    </row>
    <row r="120" spans="1:15" ht="29.85" customHeight="1" x14ac:dyDescent="0.2">
      <c r="A120" s="101" t="s">
        <v>227</v>
      </c>
      <c r="B120" s="102"/>
      <c r="C120" s="196"/>
      <c r="D120" s="103">
        <f>D93</f>
        <v>0</v>
      </c>
      <c r="E120" s="103">
        <f t="shared" ref="E120:O120" si="43">E93</f>
        <v>0</v>
      </c>
      <c r="F120" s="103">
        <f t="shared" si="43"/>
        <v>0</v>
      </c>
      <c r="G120" s="103">
        <f t="shared" si="43"/>
        <v>0</v>
      </c>
      <c r="H120" s="103">
        <f t="shared" si="43"/>
        <v>0</v>
      </c>
      <c r="I120" s="103">
        <f t="shared" si="43"/>
        <v>0</v>
      </c>
      <c r="J120" s="103">
        <f t="shared" si="43"/>
        <v>0</v>
      </c>
      <c r="K120" s="103">
        <f t="shared" si="43"/>
        <v>0</v>
      </c>
      <c r="L120" s="103">
        <f t="shared" si="43"/>
        <v>0</v>
      </c>
      <c r="M120" s="103">
        <f>M93</f>
        <v>0</v>
      </c>
      <c r="N120" s="103">
        <f t="shared" si="43"/>
        <v>0</v>
      </c>
      <c r="O120" s="103">
        <f t="shared" si="43"/>
        <v>0</v>
      </c>
    </row>
    <row r="121" spans="1:15" ht="29.85" customHeight="1" x14ac:dyDescent="0.2">
      <c r="A121" s="101" t="s">
        <v>249</v>
      </c>
      <c r="B121" s="102"/>
      <c r="C121" s="196"/>
      <c r="D121" s="103">
        <f>SUM(D116:D120)</f>
        <v>0</v>
      </c>
      <c r="E121" s="103">
        <f t="shared" ref="E121:O121" si="44">SUM(E116:E120)</f>
        <v>0</v>
      </c>
      <c r="F121" s="103">
        <f t="shared" si="44"/>
        <v>0</v>
      </c>
      <c r="G121" s="103">
        <f t="shared" si="44"/>
        <v>0</v>
      </c>
      <c r="H121" s="103">
        <f t="shared" si="44"/>
        <v>0</v>
      </c>
      <c r="I121" s="103">
        <f t="shared" si="44"/>
        <v>0</v>
      </c>
      <c r="J121" s="103">
        <f t="shared" si="44"/>
        <v>0</v>
      </c>
      <c r="K121" s="103">
        <f t="shared" si="44"/>
        <v>0</v>
      </c>
      <c r="L121" s="103">
        <f t="shared" si="44"/>
        <v>0</v>
      </c>
      <c r="M121" s="103">
        <f>SUM(M116:M120)</f>
        <v>0</v>
      </c>
      <c r="N121" s="103">
        <f t="shared" si="44"/>
        <v>0</v>
      </c>
      <c r="O121" s="103">
        <f t="shared" si="44"/>
        <v>0</v>
      </c>
    </row>
    <row r="122" spans="1:15" ht="29.85" customHeight="1" x14ac:dyDescent="0.2">
      <c r="A122" s="101" t="s">
        <v>250</v>
      </c>
      <c r="B122" s="102"/>
      <c r="C122" s="196"/>
      <c r="D122" s="103">
        <f>D110</f>
        <v>0</v>
      </c>
      <c r="E122" s="103">
        <f t="shared" ref="E122:O122" si="45">E110</f>
        <v>0</v>
      </c>
      <c r="F122" s="103">
        <f t="shared" si="45"/>
        <v>0</v>
      </c>
      <c r="G122" s="103">
        <f t="shared" si="45"/>
        <v>0</v>
      </c>
      <c r="H122" s="103">
        <f t="shared" si="45"/>
        <v>0</v>
      </c>
      <c r="I122" s="103">
        <f t="shared" si="45"/>
        <v>0</v>
      </c>
      <c r="J122" s="103">
        <f t="shared" si="45"/>
        <v>0</v>
      </c>
      <c r="K122" s="103">
        <f t="shared" si="45"/>
        <v>0</v>
      </c>
      <c r="L122" s="103">
        <f t="shared" si="45"/>
        <v>0</v>
      </c>
      <c r="M122" s="103">
        <f>M110</f>
        <v>0</v>
      </c>
      <c r="N122" s="103">
        <f t="shared" si="45"/>
        <v>0</v>
      </c>
      <c r="O122" s="103">
        <f t="shared" si="45"/>
        <v>0</v>
      </c>
    </row>
    <row r="123" spans="1:15" ht="29.85" customHeight="1" x14ac:dyDescent="0.2">
      <c r="A123" s="104" t="s">
        <v>251</v>
      </c>
      <c r="B123" s="105"/>
      <c r="C123" s="196"/>
      <c r="D123" s="106">
        <f>SUM(D121:D122)</f>
        <v>0</v>
      </c>
      <c r="E123" s="106">
        <f t="shared" ref="E123:O123" si="46">SUM(E121:E122)</f>
        <v>0</v>
      </c>
      <c r="F123" s="106">
        <f t="shared" si="46"/>
        <v>0</v>
      </c>
      <c r="G123" s="106">
        <f t="shared" si="46"/>
        <v>0</v>
      </c>
      <c r="H123" s="106">
        <f t="shared" si="46"/>
        <v>0</v>
      </c>
      <c r="I123" s="106">
        <f t="shared" si="46"/>
        <v>0</v>
      </c>
      <c r="J123" s="106">
        <f t="shared" si="46"/>
        <v>0</v>
      </c>
      <c r="K123" s="106">
        <f t="shared" si="46"/>
        <v>0</v>
      </c>
      <c r="L123" s="106">
        <f t="shared" si="46"/>
        <v>0</v>
      </c>
      <c r="M123" s="106">
        <f>SUM(M121:M122)</f>
        <v>0</v>
      </c>
      <c r="N123" s="106">
        <f t="shared" si="46"/>
        <v>0</v>
      </c>
      <c r="O123" s="106">
        <f t="shared" si="46"/>
        <v>0</v>
      </c>
    </row>
  </sheetData>
  <mergeCells count="41">
    <mergeCell ref="D10:G10"/>
    <mergeCell ref="H8:K8"/>
    <mergeCell ref="H9:K9"/>
    <mergeCell ref="H10:K10"/>
    <mergeCell ref="H3:K3"/>
    <mergeCell ref="H4:K4"/>
    <mergeCell ref="H5:K5"/>
    <mergeCell ref="H6:K6"/>
    <mergeCell ref="H7:K7"/>
    <mergeCell ref="A1:O1"/>
    <mergeCell ref="A16:A21"/>
    <mergeCell ref="P15:R15"/>
    <mergeCell ref="A13:B13"/>
    <mergeCell ref="A14:B14"/>
    <mergeCell ref="A15:B15"/>
    <mergeCell ref="A2:O2"/>
    <mergeCell ref="A3:C3"/>
    <mergeCell ref="A4:C4"/>
    <mergeCell ref="D3:G3"/>
    <mergeCell ref="D4:G4"/>
    <mergeCell ref="D5:G5"/>
    <mergeCell ref="D6:G6"/>
    <mergeCell ref="D7:G7"/>
    <mergeCell ref="L3:O3"/>
    <mergeCell ref="L4:O4"/>
    <mergeCell ref="L5:O5"/>
    <mergeCell ref="L6:O6"/>
    <mergeCell ref="L7:O7"/>
    <mergeCell ref="A22:B22"/>
    <mergeCell ref="A12:B12"/>
    <mergeCell ref="A5:C5"/>
    <mergeCell ref="A6:C6"/>
    <mergeCell ref="A7:C7"/>
    <mergeCell ref="A8:C8"/>
    <mergeCell ref="A9:C9"/>
    <mergeCell ref="A10:C10"/>
    <mergeCell ref="L8:O8"/>
    <mergeCell ref="L9:O9"/>
    <mergeCell ref="L10:O10"/>
    <mergeCell ref="D8:G8"/>
    <mergeCell ref="D9:G9"/>
  </mergeCells>
  <hyperlinks>
    <hyperlink ref="N16" r:id="rId1" xr:uid="{12549E89-614F-4F18-9201-47CD6E54A57C}"/>
    <hyperlink ref="O16" r:id="rId2" xr:uid="{3FCE4EA2-5250-4152-9B93-56008297E7B6}"/>
  </hyperlinks>
  <printOptions horizontalCentered="1"/>
  <pageMargins left="0.39370078740157483" right="0.39370078740157483" top="0.59055118110236227" bottom="0.39370078740157483" header="0" footer="0"/>
  <pageSetup paperSize="9" scale="44" firstPageNumber="0" fitToHeight="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E66-67F5-4A64-81D2-72CF9C9E73D8}">
  <sheetPr>
    <tabColor rgb="FFC6E0B4"/>
    <pageSetUpPr fitToPage="1"/>
  </sheetPr>
  <dimension ref="A1:E28"/>
  <sheetViews>
    <sheetView view="pageBreakPreview" zoomScale="60" zoomScaleNormal="100" workbookViewId="0">
      <selection activeCell="E35" sqref="E35"/>
    </sheetView>
  </sheetViews>
  <sheetFormatPr defaultRowHeight="14.25" x14ac:dyDescent="0.2"/>
  <cols>
    <col min="1" max="1" width="40.625" customWidth="1"/>
    <col min="2" max="3" width="24.375" customWidth="1"/>
    <col min="4" max="4" width="24" customWidth="1"/>
    <col min="5" max="5" width="50.25" bestFit="1" customWidth="1"/>
  </cols>
  <sheetData>
    <row r="1" spans="1:4" ht="120" customHeight="1" x14ac:dyDescent="0.2">
      <c r="A1" s="370" t="s">
        <v>252</v>
      </c>
      <c r="B1" s="370"/>
      <c r="C1" s="371"/>
      <c r="D1" s="371"/>
    </row>
    <row r="2" spans="1:4" ht="24" customHeight="1" x14ac:dyDescent="0.2">
      <c r="A2" s="372" t="s">
        <v>156</v>
      </c>
      <c r="B2" s="373"/>
      <c r="C2" s="373"/>
      <c r="D2" s="374"/>
    </row>
    <row r="3" spans="1:4" ht="15" x14ac:dyDescent="0.2">
      <c r="A3" s="187" t="s">
        <v>253</v>
      </c>
      <c r="B3" s="187" t="s">
        <v>254</v>
      </c>
      <c r="C3" s="187" t="s">
        <v>255</v>
      </c>
      <c r="D3" s="187" t="s">
        <v>199</v>
      </c>
    </row>
    <row r="4" spans="1:4" ht="57" x14ac:dyDescent="0.2">
      <c r="A4" s="286" t="s">
        <v>147</v>
      </c>
      <c r="B4" s="185"/>
      <c r="C4" s="288" t="s">
        <v>256</v>
      </c>
      <c r="D4" s="186"/>
    </row>
    <row r="5" spans="1:4" ht="57" x14ac:dyDescent="0.2">
      <c r="A5" s="286" t="s">
        <v>147</v>
      </c>
      <c r="B5" s="185"/>
      <c r="C5" s="288" t="s">
        <v>257</v>
      </c>
      <c r="D5" s="186"/>
    </row>
    <row r="6" spans="1:4" ht="57" x14ac:dyDescent="0.2">
      <c r="A6" s="286" t="s">
        <v>147</v>
      </c>
      <c r="B6" s="185"/>
      <c r="C6" s="288" t="s">
        <v>258</v>
      </c>
      <c r="D6" s="186"/>
    </row>
    <row r="7" spans="1:4" ht="28.5" x14ac:dyDescent="0.2">
      <c r="A7" s="286" t="s">
        <v>148</v>
      </c>
      <c r="B7" s="185"/>
      <c r="C7" s="288" t="s">
        <v>256</v>
      </c>
      <c r="D7" s="186"/>
    </row>
    <row r="8" spans="1:4" ht="28.5" x14ac:dyDescent="0.2">
      <c r="A8" s="286" t="s">
        <v>148</v>
      </c>
      <c r="B8" s="185"/>
      <c r="C8" s="288" t="s">
        <v>257</v>
      </c>
      <c r="D8" s="186"/>
    </row>
    <row r="9" spans="1:4" ht="28.5" x14ac:dyDescent="0.2">
      <c r="A9" s="286" t="s">
        <v>148</v>
      </c>
      <c r="B9" s="185"/>
      <c r="C9" s="288" t="s">
        <v>258</v>
      </c>
      <c r="D9" s="186"/>
    </row>
    <row r="10" spans="1:4" ht="57" x14ac:dyDescent="0.2">
      <c r="A10" s="286" t="s">
        <v>149</v>
      </c>
      <c r="B10" s="185"/>
      <c r="C10" s="288" t="s">
        <v>256</v>
      </c>
      <c r="D10" s="186"/>
    </row>
    <row r="11" spans="1:4" ht="57" x14ac:dyDescent="0.2">
      <c r="A11" s="286" t="s">
        <v>149</v>
      </c>
      <c r="B11" s="185"/>
      <c r="C11" s="288" t="s">
        <v>257</v>
      </c>
      <c r="D11" s="186"/>
    </row>
    <row r="12" spans="1:4" ht="57" x14ac:dyDescent="0.2">
      <c r="A12" s="286" t="s">
        <v>149</v>
      </c>
      <c r="B12" s="185"/>
      <c r="C12" s="288" t="s">
        <v>258</v>
      </c>
      <c r="D12" s="186"/>
    </row>
    <row r="13" spans="1:4" x14ac:dyDescent="0.2">
      <c r="A13" s="286" t="s">
        <v>259</v>
      </c>
      <c r="B13" s="185"/>
      <c r="C13" s="288" t="s">
        <v>256</v>
      </c>
      <c r="D13" s="186"/>
    </row>
    <row r="14" spans="1:4" x14ac:dyDescent="0.2">
      <c r="A14" s="286" t="s">
        <v>260</v>
      </c>
      <c r="B14" s="185"/>
      <c r="C14" s="288" t="s">
        <v>256</v>
      </c>
      <c r="D14" s="186"/>
    </row>
    <row r="15" spans="1:4" ht="28.5" x14ac:dyDescent="0.2">
      <c r="A15" s="286" t="s">
        <v>150</v>
      </c>
      <c r="B15" s="185"/>
      <c r="C15" s="288" t="s">
        <v>256</v>
      </c>
      <c r="D15" s="186"/>
    </row>
    <row r="16" spans="1:4" ht="15" x14ac:dyDescent="0.2">
      <c r="A16" s="372" t="s">
        <v>167</v>
      </c>
      <c r="B16" s="373"/>
      <c r="C16" s="373"/>
      <c r="D16" s="374"/>
    </row>
    <row r="17" spans="1:5" ht="15" x14ac:dyDescent="0.2">
      <c r="A17" s="187" t="s">
        <v>261</v>
      </c>
      <c r="B17" s="187" t="s">
        <v>262</v>
      </c>
      <c r="C17" s="187" t="s">
        <v>255</v>
      </c>
      <c r="D17" s="187" t="s">
        <v>199</v>
      </c>
    </row>
    <row r="18" spans="1:5" x14ac:dyDescent="0.2">
      <c r="A18" s="287" t="s">
        <v>263</v>
      </c>
      <c r="B18" s="185"/>
      <c r="C18" s="289" t="s">
        <v>256</v>
      </c>
      <c r="D18" s="186"/>
    </row>
    <row r="19" spans="1:5" x14ac:dyDescent="0.2">
      <c r="A19" s="287" t="s">
        <v>263</v>
      </c>
      <c r="B19" s="185"/>
      <c r="C19" s="289" t="s">
        <v>257</v>
      </c>
      <c r="D19" s="186"/>
    </row>
    <row r="20" spans="1:5" x14ac:dyDescent="0.2">
      <c r="A20" s="287" t="s">
        <v>263</v>
      </c>
      <c r="B20" s="185"/>
      <c r="C20" s="289" t="s">
        <v>258</v>
      </c>
      <c r="D20" s="186"/>
    </row>
    <row r="21" spans="1:5" ht="15" x14ac:dyDescent="0.2">
      <c r="A21" s="372" t="s">
        <v>264</v>
      </c>
      <c r="B21" s="373"/>
      <c r="C21" s="373"/>
      <c r="D21" s="374"/>
    </row>
    <row r="22" spans="1:5" ht="15" x14ac:dyDescent="0.2">
      <c r="A22" s="187" t="s">
        <v>265</v>
      </c>
      <c r="B22" s="187" t="s">
        <v>266</v>
      </c>
      <c r="C22" s="187" t="s">
        <v>255</v>
      </c>
      <c r="D22" s="187" t="s">
        <v>199</v>
      </c>
    </row>
    <row r="23" spans="1:5" x14ac:dyDescent="0.2">
      <c r="A23" s="288" t="s">
        <v>267</v>
      </c>
      <c r="B23" s="290"/>
      <c r="C23" s="289" t="s">
        <v>268</v>
      </c>
      <c r="D23" s="291"/>
      <c r="E23" s="274" t="s">
        <v>269</v>
      </c>
    </row>
    <row r="24" spans="1:5" x14ac:dyDescent="0.2">
      <c r="A24" s="288" t="s">
        <v>270</v>
      </c>
      <c r="B24" s="185"/>
      <c r="C24" s="289" t="s">
        <v>268</v>
      </c>
      <c r="D24" s="201"/>
    </row>
    <row r="25" spans="1:5" ht="15" x14ac:dyDescent="0.2">
      <c r="A25" s="375" t="s">
        <v>271</v>
      </c>
      <c r="B25" s="376"/>
      <c r="C25" s="376"/>
      <c r="D25" s="377"/>
    </row>
    <row r="26" spans="1:5" ht="15" x14ac:dyDescent="0.2">
      <c r="A26" s="187" t="s">
        <v>265</v>
      </c>
      <c r="B26" s="187" t="s">
        <v>262</v>
      </c>
      <c r="C26" s="187" t="s">
        <v>255</v>
      </c>
      <c r="D26" s="187" t="s">
        <v>199</v>
      </c>
    </row>
    <row r="27" spans="1:5" x14ac:dyDescent="0.2">
      <c r="A27" s="288" t="s">
        <v>272</v>
      </c>
      <c r="B27" s="185"/>
      <c r="C27" s="288" t="s">
        <v>268</v>
      </c>
      <c r="D27" s="201"/>
    </row>
    <row r="28" spans="1:5" x14ac:dyDescent="0.2">
      <c r="A28" s="288" t="s">
        <v>273</v>
      </c>
      <c r="B28" s="185"/>
      <c r="C28" s="288" t="s">
        <v>268</v>
      </c>
      <c r="D28" s="201"/>
    </row>
  </sheetData>
  <mergeCells count="5">
    <mergeCell ref="A1:D1"/>
    <mergeCell ref="A2:D2"/>
    <mergeCell ref="A16:D16"/>
    <mergeCell ref="A21:D21"/>
    <mergeCell ref="A25:D25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MK64"/>
  <sheetViews>
    <sheetView view="pageBreakPreview" topLeftCell="A46" zoomScale="115" zoomScaleNormal="100" zoomScalePageLayoutView="115" workbookViewId="0">
      <selection activeCell="B7" sqref="B7"/>
    </sheetView>
  </sheetViews>
  <sheetFormatPr defaultRowHeight="14.25" x14ac:dyDescent="0.2"/>
  <cols>
    <col min="1" max="1" width="44" style="107"/>
    <col min="2" max="2" width="22.75" style="107"/>
    <col min="3" max="3" width="0" style="107" hidden="1" customWidth="1"/>
    <col min="4" max="1025" width="10.875" style="107"/>
  </cols>
  <sheetData>
    <row r="1" spans="1:2" ht="129.75" customHeight="1" x14ac:dyDescent="0.2">
      <c r="A1" s="384" t="s">
        <v>274</v>
      </c>
      <c r="B1" s="385"/>
    </row>
    <row r="2" spans="1:2" x14ac:dyDescent="0.2">
      <c r="A2"/>
      <c r="B2"/>
    </row>
    <row r="3" spans="1:2" ht="34.5" customHeight="1" x14ac:dyDescent="0.2">
      <c r="A3" s="378" t="s">
        <v>275</v>
      </c>
      <c r="B3" s="379"/>
    </row>
    <row r="4" spans="1:2" x14ac:dyDescent="0.2">
      <c r="A4"/>
      <c r="B4"/>
    </row>
    <row r="5" spans="1:2" ht="14.25" customHeight="1" x14ac:dyDescent="0.2">
      <c r="A5" s="380" t="s">
        <v>276</v>
      </c>
      <c r="B5" s="381"/>
    </row>
    <row r="6" spans="1:2" x14ac:dyDescent="0.2">
      <c r="A6" s="305" t="s">
        <v>277</v>
      </c>
      <c r="B6" s="3">
        <v>22</v>
      </c>
    </row>
    <row r="7" spans="1:2" x14ac:dyDescent="0.2">
      <c r="A7" s="305" t="s">
        <v>278</v>
      </c>
      <c r="B7" s="269">
        <v>1320</v>
      </c>
    </row>
    <row r="8" spans="1:2" x14ac:dyDescent="0.2">
      <c r="A8"/>
      <c r="B8"/>
    </row>
    <row r="9" spans="1:2" ht="14.25" customHeight="1" x14ac:dyDescent="0.2">
      <c r="A9" s="380" t="s">
        <v>279</v>
      </c>
      <c r="B9" s="381"/>
    </row>
    <row r="10" spans="1:2" ht="25.5" x14ac:dyDescent="0.2">
      <c r="A10" s="306" t="s">
        <v>280</v>
      </c>
      <c r="B10" s="108">
        <v>0.01</v>
      </c>
    </row>
    <row r="11" spans="1:2" x14ac:dyDescent="0.2">
      <c r="A11"/>
      <c r="B11"/>
    </row>
    <row r="12" spans="1:2" ht="14.25" customHeight="1" x14ac:dyDescent="0.2">
      <c r="A12" s="380" t="s">
        <v>281</v>
      </c>
      <c r="B12" s="381"/>
    </row>
    <row r="13" spans="1:2" ht="32.25" customHeight="1" x14ac:dyDescent="0.2">
      <c r="A13" s="386" t="s">
        <v>282</v>
      </c>
      <c r="B13" s="386"/>
    </row>
    <row r="14" spans="1:2" x14ac:dyDescent="0.2">
      <c r="A14"/>
      <c r="B14"/>
    </row>
    <row r="15" spans="1:2" ht="14.25" customHeight="1" x14ac:dyDescent="0.2">
      <c r="A15" s="380" t="s">
        <v>283</v>
      </c>
      <c r="B15" s="381"/>
    </row>
    <row r="16" spans="1:2" x14ac:dyDescent="0.2">
      <c r="A16" s="305" t="s">
        <v>284</v>
      </c>
      <c r="B16" s="108">
        <v>0.03</v>
      </c>
    </row>
    <row r="17" spans="1:2" x14ac:dyDescent="0.2">
      <c r="A17" s="305" t="s">
        <v>285</v>
      </c>
      <c r="B17" s="109">
        <v>1</v>
      </c>
    </row>
    <row r="18" spans="1:2" x14ac:dyDescent="0.2">
      <c r="A18"/>
      <c r="B18"/>
    </row>
    <row r="19" spans="1:2" ht="14.25" customHeight="1" x14ac:dyDescent="0.2">
      <c r="A19" s="380" t="s">
        <v>286</v>
      </c>
      <c r="B19" s="381"/>
    </row>
    <row r="20" spans="1:2" ht="38.25" x14ac:dyDescent="0.2">
      <c r="A20" s="307" t="s">
        <v>287</v>
      </c>
      <c r="B20" s="108">
        <v>0.05</v>
      </c>
    </row>
    <row r="21" spans="1:2" x14ac:dyDescent="0.2">
      <c r="A21" s="307" t="s">
        <v>288</v>
      </c>
      <c r="B21" s="3" t="s">
        <v>289</v>
      </c>
    </row>
    <row r="22" spans="1:2" x14ac:dyDescent="0.2">
      <c r="A22"/>
      <c r="B22"/>
    </row>
    <row r="23" spans="1:2" ht="14.25" customHeight="1" x14ac:dyDescent="0.2">
      <c r="A23" s="380" t="s">
        <v>286</v>
      </c>
      <c r="B23" s="381"/>
    </row>
    <row r="24" spans="1:2" ht="18.600000000000001" customHeight="1" x14ac:dyDescent="0.2">
      <c r="A24" s="382" t="s">
        <v>290</v>
      </c>
      <c r="B24" s="383"/>
    </row>
    <row r="25" spans="1:2" ht="31.5" customHeight="1" x14ac:dyDescent="0.2">
      <c r="A25" s="378" t="s">
        <v>291</v>
      </c>
      <c r="B25" s="379"/>
    </row>
    <row r="26" spans="1:2" ht="37.5" customHeight="1" x14ac:dyDescent="0.2">
      <c r="A26" s="378" t="s">
        <v>292</v>
      </c>
      <c r="B26" s="379"/>
    </row>
    <row r="27" spans="1:2" x14ac:dyDescent="0.2">
      <c r="A27"/>
      <c r="B27"/>
    </row>
    <row r="28" spans="1:2" ht="14.25" customHeight="1" x14ac:dyDescent="0.2">
      <c r="A28" s="380" t="s">
        <v>293</v>
      </c>
      <c r="B28" s="381"/>
    </row>
    <row r="29" spans="1:2" ht="14.25" customHeight="1" x14ac:dyDescent="0.2">
      <c r="A29" s="382" t="s">
        <v>294</v>
      </c>
      <c r="B29" s="383"/>
    </row>
    <row r="30" spans="1:2" ht="16.5" customHeight="1" x14ac:dyDescent="0.2">
      <c r="A30" s="378" t="s">
        <v>295</v>
      </c>
      <c r="B30" s="379"/>
    </row>
    <row r="31" spans="1:2" x14ac:dyDescent="0.2">
      <c r="A31"/>
      <c r="B31"/>
    </row>
    <row r="32" spans="1:2" ht="14.25" customHeight="1" x14ac:dyDescent="0.2">
      <c r="A32" s="380" t="s">
        <v>296</v>
      </c>
      <c r="B32" s="381"/>
    </row>
    <row r="33" spans="1:2" ht="18.2" customHeight="1" x14ac:dyDescent="0.2">
      <c r="A33" s="382" t="s">
        <v>297</v>
      </c>
      <c r="B33" s="383"/>
    </row>
    <row r="34" spans="1:2" x14ac:dyDescent="0.2">
      <c r="A34" s="307" t="s">
        <v>298</v>
      </c>
      <c r="B34" s="110">
        <v>30.4375</v>
      </c>
    </row>
    <row r="35" spans="1:2" x14ac:dyDescent="0.2">
      <c r="A35" s="307" t="s">
        <v>299</v>
      </c>
      <c r="B35" s="110">
        <v>1</v>
      </c>
    </row>
    <row r="36" spans="1:2" x14ac:dyDescent="0.2">
      <c r="A36" s="307" t="s">
        <v>300</v>
      </c>
      <c r="B36" s="110">
        <v>3.4521000000000002</v>
      </c>
    </row>
    <row r="37" spans="1:2" x14ac:dyDescent="0.2">
      <c r="A37" s="307" t="s">
        <v>301</v>
      </c>
      <c r="B37" s="110">
        <v>0.3044</v>
      </c>
    </row>
    <row r="38" spans="1:2" x14ac:dyDescent="0.2">
      <c r="A38" s="307" t="s">
        <v>302</v>
      </c>
      <c r="B38" s="110">
        <v>4.2700000000000002E-2</v>
      </c>
    </row>
    <row r="39" spans="1:2" x14ac:dyDescent="0.2">
      <c r="A39" s="307" t="s">
        <v>303</v>
      </c>
      <c r="B39" s="110">
        <v>3.6999999999999998E-2</v>
      </c>
    </row>
    <row r="40" spans="1:2" x14ac:dyDescent="0.2">
      <c r="A40" s="307" t="s">
        <v>304</v>
      </c>
      <c r="B40" s="110">
        <v>0.02</v>
      </c>
    </row>
    <row r="41" spans="1:2" x14ac:dyDescent="0.2">
      <c r="A41" s="307" t="s">
        <v>305</v>
      </c>
      <c r="B41" s="110">
        <v>4.0000000000000001E-3</v>
      </c>
    </row>
    <row r="42" spans="1:2" x14ac:dyDescent="0.2">
      <c r="A42" s="307" t="s">
        <v>306</v>
      </c>
      <c r="B42" s="110">
        <v>1.4E-3</v>
      </c>
    </row>
    <row r="43" spans="1:2" x14ac:dyDescent="0.2">
      <c r="A43" s="307" t="s">
        <v>307</v>
      </c>
      <c r="B43" s="110">
        <v>4.8616000000000001</v>
      </c>
    </row>
    <row r="44" spans="1:2" x14ac:dyDescent="0.2">
      <c r="A44"/>
      <c r="B44"/>
    </row>
    <row r="45" spans="1:2" ht="14.25" customHeight="1" x14ac:dyDescent="0.2">
      <c r="A45" s="380" t="s">
        <v>308</v>
      </c>
      <c r="B45" s="381"/>
    </row>
    <row r="46" spans="1:2" ht="21.95" customHeight="1" x14ac:dyDescent="0.2">
      <c r="A46" s="382" t="s">
        <v>309</v>
      </c>
      <c r="B46" s="383"/>
    </row>
    <row r="47" spans="1:2" ht="25.5" x14ac:dyDescent="0.2">
      <c r="A47" s="4" t="s">
        <v>310</v>
      </c>
      <c r="B47" s="111">
        <v>0.95</v>
      </c>
    </row>
    <row r="48" spans="1:2" ht="25.5" x14ac:dyDescent="0.2">
      <c r="A48" s="4" t="s">
        <v>311</v>
      </c>
      <c r="B48" s="111">
        <v>1.4999999999999999E-2</v>
      </c>
    </row>
    <row r="49" spans="1:3" x14ac:dyDescent="0.2">
      <c r="A49"/>
      <c r="B49"/>
      <c r="C49"/>
    </row>
    <row r="50" spans="1:3" ht="14.25" customHeight="1" x14ac:dyDescent="0.2">
      <c r="A50" s="380" t="s">
        <v>312</v>
      </c>
      <c r="B50" s="381"/>
      <c r="C50"/>
    </row>
    <row r="51" spans="1:3" ht="19.149999999999999" customHeight="1" x14ac:dyDescent="0.2">
      <c r="A51" s="382" t="s">
        <v>313</v>
      </c>
      <c r="B51" s="383"/>
      <c r="C51"/>
    </row>
    <row r="52" spans="1:3" x14ac:dyDescent="0.2">
      <c r="A52" s="4" t="s">
        <v>314</v>
      </c>
      <c r="B52" s="3">
        <v>0.85450000000000004</v>
      </c>
      <c r="C52"/>
    </row>
    <row r="53" spans="1:3" x14ac:dyDescent="0.2">
      <c r="A53" s="4" t="s">
        <v>298</v>
      </c>
      <c r="B53" s="3">
        <v>30.4375</v>
      </c>
      <c r="C53" s="107">
        <v>20.64</v>
      </c>
    </row>
    <row r="54" spans="1:3" x14ac:dyDescent="0.2">
      <c r="A54"/>
      <c r="B54"/>
    </row>
    <row r="55" spans="1:3" ht="14.25" customHeight="1" x14ac:dyDescent="0.2">
      <c r="A55" s="380" t="s">
        <v>315</v>
      </c>
      <c r="B55" s="381"/>
    </row>
    <row r="56" spans="1:3" ht="25.5" x14ac:dyDescent="0.2">
      <c r="A56" s="4" t="s">
        <v>316</v>
      </c>
      <c r="B56" s="111">
        <v>0.05</v>
      </c>
    </row>
    <row r="57" spans="1:3" ht="25.5" x14ac:dyDescent="0.2">
      <c r="A57" s="4" t="s">
        <v>317</v>
      </c>
      <c r="B57" s="3">
        <v>3.2000000000000002E-3</v>
      </c>
    </row>
    <row r="58" spans="1:3" x14ac:dyDescent="0.2">
      <c r="A58"/>
      <c r="B58"/>
    </row>
    <row r="59" spans="1:3" ht="14.25" customHeight="1" x14ac:dyDescent="0.2">
      <c r="A59" s="380" t="s">
        <v>318</v>
      </c>
      <c r="B59" s="381"/>
    </row>
    <row r="60" spans="1:3" ht="38.25" customHeight="1" x14ac:dyDescent="0.2">
      <c r="A60" s="378" t="s">
        <v>319</v>
      </c>
      <c r="B60" s="379"/>
    </row>
    <row r="61" spans="1:3" ht="42" customHeight="1" x14ac:dyDescent="0.2">
      <c r="A61" s="378" t="s">
        <v>320</v>
      </c>
      <c r="B61" s="379"/>
    </row>
    <row r="62" spans="1:3" x14ac:dyDescent="0.2">
      <c r="A62"/>
      <c r="B62"/>
    </row>
    <row r="63" spans="1:3" ht="14.25" customHeight="1" x14ac:dyDescent="0.2">
      <c r="A63" s="380" t="s">
        <v>232</v>
      </c>
      <c r="B63" s="381"/>
    </row>
    <row r="64" spans="1:3" ht="133.5" customHeight="1" x14ac:dyDescent="0.2">
      <c r="A64" s="378" t="s">
        <v>321</v>
      </c>
      <c r="B64" s="379"/>
    </row>
  </sheetData>
  <mergeCells count="27">
    <mergeCell ref="A1:B1"/>
    <mergeCell ref="A3:B3"/>
    <mergeCell ref="A5:B5"/>
    <mergeCell ref="A12:B12"/>
    <mergeCell ref="A13:B13"/>
    <mergeCell ref="A9:B9"/>
    <mergeCell ref="A15:B15"/>
    <mergeCell ref="A19:B19"/>
    <mergeCell ref="A23:B23"/>
    <mergeCell ref="A24:B24"/>
    <mergeCell ref="A25:B25"/>
    <mergeCell ref="A26:B26"/>
    <mergeCell ref="A28:B28"/>
    <mergeCell ref="A29:B29"/>
    <mergeCell ref="A30:B30"/>
    <mergeCell ref="A32:B32"/>
    <mergeCell ref="A33:B33"/>
    <mergeCell ref="A45:B45"/>
    <mergeCell ref="A46:B46"/>
    <mergeCell ref="A50:B50"/>
    <mergeCell ref="A51:B51"/>
    <mergeCell ref="A64:B64"/>
    <mergeCell ref="A55:B55"/>
    <mergeCell ref="A59:B59"/>
    <mergeCell ref="A60:B60"/>
    <mergeCell ref="A61:B61"/>
    <mergeCell ref="A63:B63"/>
  </mergeCells>
  <printOptions horizontalCentered="1"/>
  <pageMargins left="0.39370078740157483" right="0.39370078740157483" top="0.59055118110236227" bottom="0.39370078740157483" header="0" footer="0"/>
  <pageSetup paperSize="9" firstPageNumber="0" fitToHeight="2" orientation="portrait" r:id="rId1"/>
  <rowBreaks count="1" manualBreakCount="1">
    <brk id="31" max="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AD47"/>
    <pageSetUpPr fitToPage="1"/>
  </sheetPr>
  <dimension ref="A1:AMK54"/>
  <sheetViews>
    <sheetView view="pageBreakPreview" zoomScaleNormal="100" workbookViewId="0">
      <selection activeCell="E54" sqref="E54"/>
    </sheetView>
  </sheetViews>
  <sheetFormatPr defaultRowHeight="14.25" x14ac:dyDescent="0.2"/>
  <cols>
    <col min="1" max="2" width="10.875" style="58"/>
    <col min="3" max="3" width="42.25" style="58"/>
    <col min="4" max="4" width="10.875" style="58"/>
    <col min="5" max="5" width="13.5" style="58"/>
    <col min="6" max="1025" width="10.875" style="58"/>
  </cols>
  <sheetData>
    <row r="1" spans="1:5" ht="96.75" customHeight="1" x14ac:dyDescent="0.2">
      <c r="A1" s="335" t="s">
        <v>322</v>
      </c>
      <c r="B1" s="335"/>
      <c r="C1" s="335"/>
      <c r="D1" s="335"/>
      <c r="E1" s="335"/>
    </row>
    <row r="2" spans="1:5" x14ac:dyDescent="0.2">
      <c r="A2"/>
      <c r="B2"/>
      <c r="C2"/>
      <c r="D2"/>
      <c r="E2"/>
    </row>
    <row r="3" spans="1:5" ht="17.45" customHeight="1" x14ac:dyDescent="0.2">
      <c r="A3" s="387" t="s">
        <v>323</v>
      </c>
      <c r="B3" s="387"/>
      <c r="C3" s="387"/>
      <c r="D3" s="387"/>
      <c r="E3" s="387"/>
    </row>
    <row r="4" spans="1:5" x14ac:dyDescent="0.2">
      <c r="A4"/>
      <c r="B4"/>
      <c r="C4"/>
      <c r="D4"/>
      <c r="E4"/>
    </row>
    <row r="5" spans="1:5" s="12" customFormat="1" ht="27.4" customHeight="1" x14ac:dyDescent="0.2">
      <c r="A5" s="387" t="s">
        <v>324</v>
      </c>
      <c r="B5" s="387"/>
      <c r="C5" s="387"/>
      <c r="D5" s="387"/>
      <c r="E5" s="387"/>
    </row>
    <row r="6" spans="1:5" ht="22.5" x14ac:dyDescent="0.2">
      <c r="A6" s="1" t="s">
        <v>325</v>
      </c>
      <c r="B6" s="1" t="s">
        <v>96</v>
      </c>
      <c r="C6" s="1" t="s">
        <v>97</v>
      </c>
      <c r="D6" s="1" t="s">
        <v>98</v>
      </c>
      <c r="E6" s="1" t="s">
        <v>326</v>
      </c>
    </row>
    <row r="7" spans="1:5" ht="22.5" x14ac:dyDescent="0.2">
      <c r="A7" s="308" t="s">
        <v>327</v>
      </c>
      <c r="B7" s="308">
        <v>43496</v>
      </c>
      <c r="C7" s="308" t="s">
        <v>328</v>
      </c>
      <c r="D7" s="308" t="s">
        <v>329</v>
      </c>
      <c r="E7" s="112"/>
    </row>
    <row r="8" spans="1:5" x14ac:dyDescent="0.2">
      <c r="A8"/>
      <c r="B8"/>
      <c r="C8"/>
      <c r="D8"/>
      <c r="E8"/>
    </row>
    <row r="9" spans="1:5" ht="14.25" customHeight="1" x14ac:dyDescent="0.2">
      <c r="A9" s="387" t="s">
        <v>330</v>
      </c>
      <c r="B9" s="387"/>
      <c r="C9" s="387"/>
      <c r="D9" s="387"/>
      <c r="E9" s="387"/>
    </row>
    <row r="10" spans="1:5" ht="19.149999999999999" customHeight="1" x14ac:dyDescent="0.2">
      <c r="A10" s="1" t="s">
        <v>325</v>
      </c>
      <c r="B10" s="1" t="s">
        <v>96</v>
      </c>
      <c r="C10" s="1" t="s">
        <v>97</v>
      </c>
      <c r="D10" s="1" t="s">
        <v>98</v>
      </c>
      <c r="E10" s="1" t="s">
        <v>326</v>
      </c>
    </row>
    <row r="11" spans="1:5" ht="22.5" x14ac:dyDescent="0.2">
      <c r="A11" s="308" t="s">
        <v>327</v>
      </c>
      <c r="B11" s="308">
        <v>43501</v>
      </c>
      <c r="C11" s="308" t="s">
        <v>331</v>
      </c>
      <c r="D11" s="308" t="s">
        <v>329</v>
      </c>
      <c r="E11" s="112"/>
    </row>
    <row r="12" spans="1:5" x14ac:dyDescent="0.2">
      <c r="A12"/>
      <c r="B12"/>
      <c r="C12"/>
      <c r="D12"/>
      <c r="E12"/>
    </row>
    <row r="13" spans="1:5" ht="25.7" customHeight="1" x14ac:dyDescent="0.2">
      <c r="A13" s="387" t="s">
        <v>332</v>
      </c>
      <c r="B13" s="387"/>
      <c r="C13" s="387"/>
      <c r="D13" s="387"/>
      <c r="E13" s="387"/>
    </row>
    <row r="14" spans="1:5" ht="22.5" x14ac:dyDescent="0.2">
      <c r="A14" s="1" t="s">
        <v>325</v>
      </c>
      <c r="B14" s="1" t="s">
        <v>96</v>
      </c>
      <c r="C14" s="1" t="s">
        <v>97</v>
      </c>
      <c r="D14" s="1" t="s">
        <v>98</v>
      </c>
      <c r="E14" s="1" t="s">
        <v>326</v>
      </c>
    </row>
    <row r="15" spans="1:5" ht="22.5" x14ac:dyDescent="0.2">
      <c r="A15" s="308" t="s">
        <v>327</v>
      </c>
      <c r="B15" s="308">
        <v>43496</v>
      </c>
      <c r="C15" s="308" t="s">
        <v>328</v>
      </c>
      <c r="D15" s="308" t="s">
        <v>329</v>
      </c>
      <c r="E15" s="112"/>
    </row>
    <row r="17" spans="1:5" ht="14.25" customHeight="1" x14ac:dyDescent="0.2">
      <c r="A17" s="387" t="s">
        <v>333</v>
      </c>
      <c r="B17" s="387"/>
      <c r="C17" s="387"/>
      <c r="D17" s="387"/>
      <c r="E17" s="387"/>
    </row>
    <row r="18" spans="1:5" ht="22.5" x14ac:dyDescent="0.2">
      <c r="A18" s="1" t="s">
        <v>325</v>
      </c>
      <c r="B18" s="1" t="s">
        <v>96</v>
      </c>
      <c r="C18" s="1" t="s">
        <v>97</v>
      </c>
      <c r="D18" s="1" t="s">
        <v>98</v>
      </c>
      <c r="E18" s="1" t="s">
        <v>326</v>
      </c>
    </row>
    <row r="19" spans="1:5" ht="22.5" x14ac:dyDescent="0.2">
      <c r="A19" s="308" t="s">
        <v>327</v>
      </c>
      <c r="B19" s="308">
        <v>43498</v>
      </c>
      <c r="C19" s="308" t="s">
        <v>334</v>
      </c>
      <c r="D19" s="308" t="s">
        <v>335</v>
      </c>
      <c r="E19" s="112"/>
    </row>
    <row r="20" spans="1:5" x14ac:dyDescent="0.2">
      <c r="A20"/>
      <c r="B20"/>
      <c r="C20"/>
      <c r="D20"/>
      <c r="E20"/>
    </row>
    <row r="21" spans="1:5" ht="14.25" customHeight="1" x14ac:dyDescent="0.2">
      <c r="A21" s="387" t="s">
        <v>336</v>
      </c>
      <c r="B21" s="387"/>
      <c r="C21" s="387"/>
      <c r="D21" s="387"/>
      <c r="E21" s="387"/>
    </row>
    <row r="22" spans="1:5" ht="22.5" x14ac:dyDescent="0.2">
      <c r="A22" s="1" t="s">
        <v>325</v>
      </c>
      <c r="B22" s="1" t="s">
        <v>96</v>
      </c>
      <c r="C22" s="1" t="s">
        <v>97</v>
      </c>
      <c r="D22" s="1" t="s">
        <v>98</v>
      </c>
      <c r="E22" s="1" t="s">
        <v>326</v>
      </c>
    </row>
    <row r="23" spans="1:5" ht="22.5" x14ac:dyDescent="0.2">
      <c r="A23" s="308" t="s">
        <v>327</v>
      </c>
      <c r="B23" s="308">
        <v>43498</v>
      </c>
      <c r="C23" s="308" t="s">
        <v>334</v>
      </c>
      <c r="D23" s="308" t="s">
        <v>335</v>
      </c>
      <c r="E23" s="112"/>
    </row>
    <row r="24" spans="1:5" x14ac:dyDescent="0.2">
      <c r="A24"/>
      <c r="B24"/>
      <c r="C24"/>
      <c r="D24"/>
      <c r="E24"/>
    </row>
    <row r="25" spans="1:5" ht="14.25" customHeight="1" x14ac:dyDescent="0.2">
      <c r="A25" s="388" t="s">
        <v>337</v>
      </c>
      <c r="B25" s="388"/>
      <c r="C25" s="388"/>
      <c r="D25" s="388"/>
      <c r="E25" s="388"/>
    </row>
    <row r="26" spans="1:5" ht="22.5" x14ac:dyDescent="0.2">
      <c r="A26" s="1" t="s">
        <v>325</v>
      </c>
      <c r="B26" s="1" t="s">
        <v>96</v>
      </c>
      <c r="C26" s="1" t="s">
        <v>97</v>
      </c>
      <c r="D26" s="1" t="s">
        <v>98</v>
      </c>
      <c r="E26" s="1" t="s">
        <v>326</v>
      </c>
    </row>
    <row r="27" spans="1:5" ht="22.5" x14ac:dyDescent="0.2">
      <c r="A27" s="308" t="s">
        <v>327</v>
      </c>
      <c r="B27" s="308">
        <v>43499</v>
      </c>
      <c r="C27" s="308" t="s">
        <v>338</v>
      </c>
      <c r="D27" s="308" t="s">
        <v>335</v>
      </c>
      <c r="E27" s="112"/>
    </row>
    <row r="28" spans="1:5" x14ac:dyDescent="0.2">
      <c r="A28"/>
      <c r="B28"/>
      <c r="C28"/>
      <c r="D28"/>
      <c r="E28"/>
    </row>
    <row r="29" spans="1:5" x14ac:dyDescent="0.2">
      <c r="A29"/>
      <c r="B29"/>
      <c r="C29"/>
      <c r="D29"/>
      <c r="E29"/>
    </row>
    <row r="30" spans="1:5" ht="23.45" customHeight="1" x14ac:dyDescent="0.2">
      <c r="A30" s="387" t="s">
        <v>339</v>
      </c>
      <c r="B30" s="387"/>
      <c r="C30" s="387"/>
      <c r="D30" s="387"/>
      <c r="E30" s="387"/>
    </row>
    <row r="31" spans="1:5" x14ac:dyDescent="0.2">
      <c r="A31"/>
      <c r="B31"/>
      <c r="C31"/>
      <c r="D31"/>
      <c r="E31"/>
    </row>
    <row r="32" spans="1:5" ht="35.25" customHeight="1" x14ac:dyDescent="0.2">
      <c r="A32" s="387" t="s">
        <v>324</v>
      </c>
      <c r="B32" s="387"/>
      <c r="C32" s="387"/>
      <c r="D32" s="387"/>
      <c r="E32" s="387"/>
    </row>
    <row r="33" spans="1:5" ht="22.5" x14ac:dyDescent="0.2">
      <c r="A33" s="1" t="s">
        <v>325</v>
      </c>
      <c r="B33" s="1" t="s">
        <v>96</v>
      </c>
      <c r="C33" s="1" t="s">
        <v>97</v>
      </c>
      <c r="D33" s="1" t="s">
        <v>98</v>
      </c>
      <c r="E33" s="1" t="s">
        <v>326</v>
      </c>
    </row>
    <row r="34" spans="1:5" ht="22.5" x14ac:dyDescent="0.2">
      <c r="A34" s="308" t="s">
        <v>327</v>
      </c>
      <c r="B34" s="308">
        <v>43472</v>
      </c>
      <c r="C34" s="308" t="s">
        <v>340</v>
      </c>
      <c r="D34" s="308" t="s">
        <v>329</v>
      </c>
      <c r="E34" s="112"/>
    </row>
    <row r="35" spans="1:5" x14ac:dyDescent="0.2">
      <c r="A35"/>
      <c r="B35"/>
      <c r="C35"/>
      <c r="D35"/>
      <c r="E35"/>
    </row>
    <row r="36" spans="1:5" ht="14.25" customHeight="1" x14ac:dyDescent="0.2">
      <c r="A36" s="387" t="s">
        <v>330</v>
      </c>
      <c r="B36" s="387"/>
      <c r="C36" s="387"/>
      <c r="D36" s="387"/>
      <c r="E36" s="387"/>
    </row>
    <row r="37" spans="1:5" ht="22.5" x14ac:dyDescent="0.2">
      <c r="A37" s="1" t="s">
        <v>325</v>
      </c>
      <c r="B37" s="1" t="s">
        <v>341</v>
      </c>
      <c r="C37" s="1" t="s">
        <v>97</v>
      </c>
      <c r="D37" s="1" t="s">
        <v>342</v>
      </c>
      <c r="E37" s="1" t="s">
        <v>326</v>
      </c>
    </row>
    <row r="38" spans="1:5" ht="22.5" x14ac:dyDescent="0.2">
      <c r="A38" s="308" t="s">
        <v>327</v>
      </c>
      <c r="B38" s="308">
        <v>43477</v>
      </c>
      <c r="C38" s="308" t="s">
        <v>343</v>
      </c>
      <c r="D38" s="308" t="s">
        <v>329</v>
      </c>
      <c r="E38" s="112"/>
    </row>
    <row r="39" spans="1:5" x14ac:dyDescent="0.2">
      <c r="A39"/>
      <c r="B39"/>
      <c r="C39"/>
      <c r="D39"/>
      <c r="E39"/>
    </row>
    <row r="40" spans="1:5" ht="14.25" customHeight="1" x14ac:dyDescent="0.2">
      <c r="A40" s="387" t="s">
        <v>332</v>
      </c>
      <c r="B40" s="387"/>
      <c r="C40" s="387"/>
      <c r="D40" s="387"/>
      <c r="E40" s="387"/>
    </row>
    <row r="41" spans="1:5" ht="22.5" x14ac:dyDescent="0.2">
      <c r="A41" s="1" t="s">
        <v>325</v>
      </c>
      <c r="B41" s="1" t="s">
        <v>341</v>
      </c>
      <c r="C41" s="1" t="s">
        <v>97</v>
      </c>
      <c r="D41" s="1" t="s">
        <v>342</v>
      </c>
      <c r="E41" s="1" t="s">
        <v>326</v>
      </c>
    </row>
    <row r="42" spans="1:5" ht="22.5" x14ac:dyDescent="0.2">
      <c r="A42" s="308" t="s">
        <v>327</v>
      </c>
      <c r="B42" s="308">
        <v>43472</v>
      </c>
      <c r="C42" s="308" t="s">
        <v>340</v>
      </c>
      <c r="D42" s="308" t="s">
        <v>329</v>
      </c>
      <c r="E42" s="112"/>
    </row>
    <row r="43" spans="1:5" x14ac:dyDescent="0.2">
      <c r="A43"/>
      <c r="B43"/>
      <c r="C43"/>
      <c r="D43"/>
      <c r="E43"/>
    </row>
    <row r="44" spans="1:5" ht="15.95" customHeight="1" x14ac:dyDescent="0.2">
      <c r="A44" s="387" t="s">
        <v>333</v>
      </c>
      <c r="B44" s="387"/>
      <c r="C44" s="387"/>
      <c r="D44" s="387"/>
      <c r="E44" s="387"/>
    </row>
    <row r="45" spans="1:5" ht="22.5" x14ac:dyDescent="0.2">
      <c r="A45" s="1" t="s">
        <v>325</v>
      </c>
      <c r="B45" s="1" t="s">
        <v>341</v>
      </c>
      <c r="C45" s="1" t="s">
        <v>97</v>
      </c>
      <c r="D45" s="1" t="s">
        <v>342</v>
      </c>
      <c r="E45" s="1" t="s">
        <v>326</v>
      </c>
    </row>
    <row r="46" spans="1:5" ht="22.5" x14ac:dyDescent="0.2">
      <c r="A46" s="308" t="s">
        <v>327</v>
      </c>
      <c r="B46" s="308">
        <v>43474</v>
      </c>
      <c r="C46" s="308" t="s">
        <v>344</v>
      </c>
      <c r="D46" s="308" t="s">
        <v>335</v>
      </c>
      <c r="E46" s="112"/>
    </row>
    <row r="47" spans="1:5" x14ac:dyDescent="0.2">
      <c r="A47"/>
      <c r="B47"/>
      <c r="C47"/>
      <c r="D47"/>
      <c r="E47"/>
    </row>
    <row r="48" spans="1:5" ht="17.45" customHeight="1" x14ac:dyDescent="0.2">
      <c r="A48" s="387" t="s">
        <v>336</v>
      </c>
      <c r="B48" s="387"/>
      <c r="C48" s="387"/>
      <c r="D48" s="387"/>
      <c r="E48" s="387"/>
    </row>
    <row r="49" spans="1:5" ht="22.5" x14ac:dyDescent="0.2">
      <c r="A49" s="1" t="s">
        <v>325</v>
      </c>
      <c r="B49" s="1" t="s">
        <v>341</v>
      </c>
      <c r="C49" s="1" t="s">
        <v>97</v>
      </c>
      <c r="D49" s="1" t="s">
        <v>342</v>
      </c>
      <c r="E49" s="1" t="s">
        <v>326</v>
      </c>
    </row>
    <row r="50" spans="1:5" ht="22.5" x14ac:dyDescent="0.2">
      <c r="A50" s="308" t="s">
        <v>327</v>
      </c>
      <c r="B50" s="308">
        <v>43474</v>
      </c>
      <c r="C50" s="308" t="s">
        <v>344</v>
      </c>
      <c r="D50" s="308" t="s">
        <v>335</v>
      </c>
      <c r="E50" s="112"/>
    </row>
    <row r="51" spans="1:5" x14ac:dyDescent="0.2">
      <c r="A51"/>
      <c r="B51"/>
      <c r="C51"/>
      <c r="D51"/>
      <c r="E51"/>
    </row>
    <row r="52" spans="1:5" ht="18.600000000000001" customHeight="1" x14ac:dyDescent="0.2">
      <c r="A52" s="387" t="s">
        <v>337</v>
      </c>
      <c r="B52" s="387"/>
      <c r="C52" s="387"/>
      <c r="D52" s="387"/>
      <c r="E52" s="387"/>
    </row>
    <row r="53" spans="1:5" ht="22.5" x14ac:dyDescent="0.2">
      <c r="A53" s="1" t="s">
        <v>325</v>
      </c>
      <c r="B53" s="1" t="s">
        <v>341</v>
      </c>
      <c r="C53" s="1" t="s">
        <v>97</v>
      </c>
      <c r="D53" s="1" t="s">
        <v>342</v>
      </c>
      <c r="E53" s="1" t="s">
        <v>326</v>
      </c>
    </row>
    <row r="54" spans="1:5" ht="22.5" x14ac:dyDescent="0.2">
      <c r="A54" s="308" t="s">
        <v>327</v>
      </c>
      <c r="B54" s="308">
        <v>43475</v>
      </c>
      <c r="C54" s="308" t="s">
        <v>345</v>
      </c>
      <c r="D54" s="308" t="s">
        <v>335</v>
      </c>
      <c r="E54" s="112"/>
    </row>
  </sheetData>
  <mergeCells count="15">
    <mergeCell ref="A1:E1"/>
    <mergeCell ref="A3:E3"/>
    <mergeCell ref="A5:E5"/>
    <mergeCell ref="A9:E9"/>
    <mergeCell ref="A13:E13"/>
    <mergeCell ref="A17:E17"/>
    <mergeCell ref="A21:E21"/>
    <mergeCell ref="A25:E25"/>
    <mergeCell ref="A30:E30"/>
    <mergeCell ref="A32:E32"/>
    <mergeCell ref="A36:E36"/>
    <mergeCell ref="A40:E40"/>
    <mergeCell ref="A44:E44"/>
    <mergeCell ref="A48:E48"/>
    <mergeCell ref="A52:E52"/>
  </mergeCells>
  <printOptions horizontalCentered="1"/>
  <pageMargins left="0.39370078740157483" right="0.39370078740157483" top="0.59055118110236227" bottom="0.39370078740157483" header="0" footer="0"/>
  <pageSetup paperSize="9" scale="71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A1:AME55"/>
  <sheetViews>
    <sheetView view="pageBreakPreview" zoomScale="130" zoomScaleNormal="100" zoomScaleSheetLayoutView="130" zoomScalePageLayoutView="85" workbookViewId="0">
      <selection activeCell="A10" sqref="A10"/>
    </sheetView>
  </sheetViews>
  <sheetFormatPr defaultRowHeight="14.25" x14ac:dyDescent="0.2"/>
  <cols>
    <col min="1" max="1" width="8.625" style="23"/>
    <col min="2" max="2" width="9.625" style="23" customWidth="1"/>
    <col min="3" max="3" width="24.75" style="58"/>
    <col min="4" max="4" width="19.5" style="23"/>
    <col min="5" max="5" width="24.25" style="23"/>
    <col min="6" max="6" width="10.875" style="23"/>
    <col min="7" max="7" width="12.75" style="23"/>
    <col min="8" max="8" width="13.125" style="23"/>
    <col min="9" max="9" width="12" style="23" bestFit="1" customWidth="1"/>
    <col min="10" max="10" width="14.375" style="23"/>
    <col min="11" max="11" width="13" style="23"/>
    <col min="12" max="12" width="25.5" style="23" customWidth="1"/>
    <col min="13" max="13" width="10.875" style="23"/>
    <col min="14" max="14" width="7" style="23"/>
    <col min="15" max="15" width="60.125" style="23"/>
    <col min="16" max="16" width="15.625" style="23"/>
    <col min="17" max="1019" width="10.875" style="23"/>
  </cols>
  <sheetData>
    <row r="1" spans="1:19" ht="85.5" customHeight="1" x14ac:dyDescent="0.2">
      <c r="A1" s="392" t="s">
        <v>349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/>
      <c r="M1"/>
      <c r="N1"/>
      <c r="O1"/>
      <c r="P1"/>
      <c r="Q1"/>
      <c r="R1"/>
      <c r="S1"/>
    </row>
    <row r="2" spans="1:19" ht="5.25" customHeight="1" x14ac:dyDescent="0.2">
      <c r="A2"/>
      <c r="B2"/>
      <c r="C2" s="117"/>
      <c r="D2"/>
      <c r="E2"/>
      <c r="F2"/>
      <c r="G2"/>
      <c r="H2"/>
      <c r="I2"/>
      <c r="J2"/>
      <c r="K2"/>
      <c r="L2"/>
      <c r="M2" s="394" t="s">
        <v>350</v>
      </c>
      <c r="N2" s="394"/>
      <c r="O2" s="394"/>
      <c r="P2" s="394"/>
      <c r="Q2" s="394"/>
      <c r="R2" s="394"/>
      <c r="S2" s="394"/>
    </row>
    <row r="3" spans="1:19" x14ac:dyDescent="0.2">
      <c r="A3" s="390" t="s">
        <v>359</v>
      </c>
      <c r="B3" s="390"/>
      <c r="C3" s="390"/>
      <c r="D3" s="390"/>
      <c r="E3" s="390"/>
      <c r="F3" s="390"/>
      <c r="G3" s="390"/>
      <c r="H3" s="390"/>
      <c r="I3" s="390"/>
      <c r="J3" s="390"/>
      <c r="K3" s="55"/>
    </row>
    <row r="4" spans="1:19" ht="22.5" customHeight="1" x14ac:dyDescent="0.2">
      <c r="A4" s="11" t="s">
        <v>347</v>
      </c>
      <c r="B4" s="391" t="s">
        <v>354</v>
      </c>
      <c r="C4" s="391"/>
      <c r="D4" s="391"/>
      <c r="E4" s="11" t="s">
        <v>98</v>
      </c>
      <c r="F4" s="11" t="s">
        <v>360</v>
      </c>
      <c r="G4" s="11" t="s">
        <v>351</v>
      </c>
      <c r="H4" s="11" t="s">
        <v>361</v>
      </c>
      <c r="I4" s="11" t="s">
        <v>362</v>
      </c>
      <c r="J4" s="11" t="s">
        <v>363</v>
      </c>
      <c r="K4" s="267"/>
    </row>
    <row r="5" spans="1:19" ht="14.25" customHeight="1" x14ac:dyDescent="0.2">
      <c r="A5" s="277" t="s">
        <v>364</v>
      </c>
      <c r="B5" s="389" t="s">
        <v>365</v>
      </c>
      <c r="C5" s="389"/>
      <c r="D5" s="389"/>
      <c r="E5" s="277" t="s">
        <v>358</v>
      </c>
      <c r="F5" s="278">
        <v>225</v>
      </c>
      <c r="G5" s="281"/>
      <c r="H5" s="283">
        <f>G5*F5</f>
        <v>0</v>
      </c>
      <c r="I5" s="284">
        <f>'V - BDI'!C18</f>
        <v>4.7120418848167533E-2</v>
      </c>
      <c r="J5" s="285">
        <f>H5*(I5+1)</f>
        <v>0</v>
      </c>
      <c r="K5" s="120"/>
    </row>
    <row r="6" spans="1:19" ht="25.5" customHeight="1" x14ac:dyDescent="0.2">
      <c r="A6" s="277" t="s">
        <v>366</v>
      </c>
      <c r="B6" s="389" t="s">
        <v>367</v>
      </c>
      <c r="C6" s="389"/>
      <c r="D6" s="389"/>
      <c r="E6" s="277" t="s">
        <v>358</v>
      </c>
      <c r="F6" s="277">
        <v>3</v>
      </c>
      <c r="G6" s="281"/>
      <c r="H6" s="283">
        <f>G6*F6</f>
        <v>0</v>
      </c>
      <c r="I6" s="284">
        <f>'V - BDI'!C18</f>
        <v>4.7120418848167533E-2</v>
      </c>
      <c r="J6" s="285">
        <f>H6*(I6+1)</f>
        <v>0</v>
      </c>
      <c r="K6" s="120"/>
    </row>
    <row r="7" spans="1:19" ht="14.25" customHeight="1" x14ac:dyDescent="0.2">
      <c r="A7" s="277" t="s">
        <v>368</v>
      </c>
      <c r="B7" s="389" t="s">
        <v>355</v>
      </c>
      <c r="C7" s="389"/>
      <c r="D7" s="389"/>
      <c r="E7" s="277" t="s">
        <v>353</v>
      </c>
      <c r="F7" s="279">
        <v>235.65000000000006</v>
      </c>
      <c r="G7" s="281"/>
      <c r="H7" s="283">
        <f>G7*F7</f>
        <v>0</v>
      </c>
      <c r="I7" s="284">
        <f>'V - BDI'!C18</f>
        <v>4.7120418848167533E-2</v>
      </c>
      <c r="J7" s="285">
        <f>H7*(I7+1)</f>
        <v>0</v>
      </c>
    </row>
    <row r="8" spans="1:19" ht="14.25" customHeight="1" x14ac:dyDescent="0.2">
      <c r="A8" s="277" t="s">
        <v>369</v>
      </c>
      <c r="B8" s="389" t="s">
        <v>370</v>
      </c>
      <c r="C8" s="389"/>
      <c r="D8" s="389"/>
      <c r="E8" s="277" t="s">
        <v>371</v>
      </c>
      <c r="F8" s="280">
        <v>6</v>
      </c>
      <c r="G8" s="282"/>
      <c r="H8" s="283">
        <f>G8*F8</f>
        <v>0</v>
      </c>
      <c r="I8" s="284">
        <f>'V - BDI'!C18</f>
        <v>4.7120418848167533E-2</v>
      </c>
      <c r="J8" s="285">
        <f>H8*(I8+1)</f>
        <v>0</v>
      </c>
      <c r="K8" s="121"/>
    </row>
    <row r="33" spans="12:18" hidden="1" x14ac:dyDescent="0.2">
      <c r="L33"/>
      <c r="Q33" s="23" t="s">
        <v>372</v>
      </c>
      <c r="R33"/>
    </row>
    <row r="34" spans="12:18" hidden="1" x14ac:dyDescent="0.2">
      <c r="L34" s="23" t="s">
        <v>373</v>
      </c>
      <c r="R34"/>
    </row>
    <row r="35" spans="12:18" hidden="1" x14ac:dyDescent="0.2">
      <c r="L35" s="23" t="s">
        <v>374</v>
      </c>
      <c r="Q35" s="23" t="s">
        <v>375</v>
      </c>
      <c r="R35" s="23">
        <f>$Q$33*Q35</f>
        <v>2.8728028800000001</v>
      </c>
    </row>
    <row r="36" spans="12:18" hidden="1" x14ac:dyDescent="0.2">
      <c r="L36" s="23" t="s">
        <v>376</v>
      </c>
      <c r="R36"/>
    </row>
    <row r="37" spans="12:18" hidden="1" x14ac:dyDescent="0.2">
      <c r="L37" s="23" t="s">
        <v>374</v>
      </c>
      <c r="Q37" s="23" t="s">
        <v>377</v>
      </c>
      <c r="R37" s="23">
        <f>$Q$33*Q37</f>
        <v>0.45486045599999997</v>
      </c>
    </row>
    <row r="38" spans="12:18" hidden="1" x14ac:dyDescent="0.2">
      <c r="L38" s="23" t="s">
        <v>378</v>
      </c>
      <c r="R38"/>
    </row>
    <row r="39" spans="12:18" hidden="1" x14ac:dyDescent="0.2">
      <c r="L39" s="23" t="s">
        <v>374</v>
      </c>
      <c r="Q39" s="23" t="s">
        <v>379</v>
      </c>
      <c r="R39" s="23">
        <f>$Q$33*Q39</f>
        <v>0.17955018</v>
      </c>
    </row>
    <row r="40" spans="12:18" hidden="1" x14ac:dyDescent="0.2">
      <c r="L40" s="23" t="s">
        <v>380</v>
      </c>
      <c r="R40"/>
    </row>
    <row r="41" spans="12:18" hidden="1" x14ac:dyDescent="0.2">
      <c r="L41" s="23" t="s">
        <v>374</v>
      </c>
      <c r="Q41" s="23" t="s">
        <v>381</v>
      </c>
      <c r="R41" s="23">
        <f>$Q$33*Q41</f>
        <v>3.5910036000000001</v>
      </c>
    </row>
    <row r="42" spans="12:18" hidden="1" x14ac:dyDescent="0.2">
      <c r="L42" s="23" t="s">
        <v>382</v>
      </c>
      <c r="R42"/>
    </row>
    <row r="43" spans="12:18" hidden="1" x14ac:dyDescent="0.2">
      <c r="L43" s="23" t="s">
        <v>374</v>
      </c>
      <c r="Q43" s="23" t="s">
        <v>383</v>
      </c>
      <c r="R43" s="23">
        <f>Q43*6</f>
        <v>40.14</v>
      </c>
    </row>
    <row r="44" spans="12:18" hidden="1" x14ac:dyDescent="0.2">
      <c r="Q44"/>
      <c r="R44"/>
    </row>
    <row r="45" spans="12:18" hidden="1" x14ac:dyDescent="0.2">
      <c r="Q45"/>
      <c r="R45" s="23">
        <f>SUM(R35:R43)</f>
        <v>47.238217116000001</v>
      </c>
    </row>
    <row r="46" spans="12:18" hidden="1" x14ac:dyDescent="0.2">
      <c r="Q46"/>
      <c r="R46" s="23">
        <f>R45/80</f>
        <v>0.59047771395000004</v>
      </c>
    </row>
    <row r="53" spans="17:18" x14ac:dyDescent="0.2">
      <c r="Q53" s="23">
        <v>6.69</v>
      </c>
      <c r="R53" s="23">
        <v>80</v>
      </c>
    </row>
    <row r="54" spans="17:18" x14ac:dyDescent="0.2">
      <c r="Q54" s="23">
        <f>Q53/R53</f>
        <v>8.3625000000000005E-2</v>
      </c>
    </row>
    <row r="55" spans="17:18" x14ac:dyDescent="0.2">
      <c r="Q55" s="23" t="s">
        <v>384</v>
      </c>
    </row>
  </sheetData>
  <mergeCells count="8">
    <mergeCell ref="A1:K1"/>
    <mergeCell ref="M2:S2"/>
    <mergeCell ref="B7:D7"/>
    <mergeCell ref="B8:D8"/>
    <mergeCell ref="A3:J3"/>
    <mergeCell ref="B4:D4"/>
    <mergeCell ref="B5:D5"/>
    <mergeCell ref="B6:D6"/>
  </mergeCells>
  <phoneticPr fontId="11" type="noConversion"/>
  <printOptions horizontalCentered="1"/>
  <pageMargins left="0.39370078740157483" right="0.39370078740157483" top="0.59055118110236227" bottom="0.39370078740157483" header="0" footer="0"/>
  <pageSetup paperSize="9" scale="78" firstPageNumber="0" fitToHeight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1:AMG329"/>
  <sheetViews>
    <sheetView view="pageBreakPreview" topLeftCell="A308" zoomScale="85" zoomScaleNormal="100" zoomScalePageLayoutView="85" workbookViewId="0">
      <selection activeCell="I327" sqref="I327"/>
    </sheetView>
  </sheetViews>
  <sheetFormatPr defaultRowHeight="14.25" x14ac:dyDescent="0.2"/>
  <cols>
    <col min="1" max="1" width="5.625" style="116"/>
    <col min="2" max="2" width="9.25" style="116"/>
    <col min="3" max="3" width="8.75" style="116"/>
    <col min="4" max="4" width="51" style="122"/>
    <col min="5" max="5" width="9.25" style="116"/>
    <col min="6" max="6" width="11.25" style="116"/>
    <col min="7" max="7" width="15" style="116"/>
    <col min="8" max="8" width="9.75" style="116"/>
    <col min="9" max="9" width="12.75" style="116"/>
    <col min="10" max="14" width="0" style="23" hidden="1"/>
    <col min="15" max="15" width="1.125" style="23" customWidth="1"/>
    <col min="16" max="1021" width="10.875" style="23"/>
    <col min="1022" max="1025" width="8.875"/>
  </cols>
  <sheetData>
    <row r="1" spans="1:13" s="58" customFormat="1" ht="71.25" customHeight="1" x14ac:dyDescent="0.2">
      <c r="A1" s="396" t="s">
        <v>385</v>
      </c>
      <c r="B1" s="396"/>
      <c r="C1" s="396"/>
      <c r="D1" s="396"/>
      <c r="E1" s="396"/>
      <c r="F1" s="396"/>
      <c r="G1" s="396"/>
      <c r="H1" s="396"/>
      <c r="I1" s="396"/>
    </row>
    <row r="2" spans="1:13" ht="24.75" customHeight="1" x14ac:dyDescent="0.2">
      <c r="A2" s="123"/>
      <c r="B2" s="123"/>
      <c r="C2" s="123"/>
      <c r="D2" s="123"/>
      <c r="E2" s="123"/>
      <c r="F2" s="123"/>
      <c r="G2" s="123" t="s">
        <v>386</v>
      </c>
      <c r="H2" s="397">
        <v>45017</v>
      </c>
      <c r="I2" s="398"/>
      <c r="J2"/>
      <c r="K2"/>
      <c r="L2"/>
      <c r="M2"/>
    </row>
    <row r="3" spans="1:13" ht="22.5" x14ac:dyDescent="0.2">
      <c r="A3" s="8" t="s">
        <v>347</v>
      </c>
      <c r="B3" s="8" t="s">
        <v>356</v>
      </c>
      <c r="C3" s="8" t="s">
        <v>96</v>
      </c>
      <c r="D3" s="8" t="s">
        <v>97</v>
      </c>
      <c r="E3" s="8" t="s">
        <v>98</v>
      </c>
      <c r="F3" s="124" t="s">
        <v>387</v>
      </c>
      <c r="G3" s="8" t="s">
        <v>388</v>
      </c>
      <c r="H3" s="8" t="s">
        <v>351</v>
      </c>
      <c r="I3" s="8" t="s">
        <v>389</v>
      </c>
      <c r="J3"/>
      <c r="K3"/>
      <c r="L3"/>
      <c r="M3"/>
    </row>
    <row r="4" spans="1:13" x14ac:dyDescent="0.2">
      <c r="A4" s="125" t="s">
        <v>390</v>
      </c>
      <c r="B4" s="126" t="s">
        <v>327</v>
      </c>
      <c r="C4" s="127">
        <v>39701</v>
      </c>
      <c r="D4" s="128" t="s">
        <v>818</v>
      </c>
      <c r="E4" s="129" t="s">
        <v>529</v>
      </c>
      <c r="F4" s="113">
        <v>1</v>
      </c>
      <c r="G4" s="130">
        <v>0</v>
      </c>
      <c r="H4" s="143"/>
      <c r="I4" s="131">
        <f t="shared" ref="I4:I35" si="0">IFERROR(H4*G4,"")</f>
        <v>0</v>
      </c>
      <c r="J4"/>
      <c r="K4"/>
      <c r="L4"/>
      <c r="M4"/>
    </row>
    <row r="5" spans="1:13" ht="22.5" x14ac:dyDescent="0.2">
      <c r="A5" s="125" t="s">
        <v>391</v>
      </c>
      <c r="B5" s="126" t="s">
        <v>327</v>
      </c>
      <c r="C5" s="127">
        <v>38082</v>
      </c>
      <c r="D5" s="128" t="s">
        <v>906</v>
      </c>
      <c r="E5" s="129" t="s">
        <v>529</v>
      </c>
      <c r="F5" s="113">
        <v>1</v>
      </c>
      <c r="G5" s="130">
        <v>4.1972085000000003</v>
      </c>
      <c r="H5" s="143"/>
      <c r="I5" s="131">
        <f t="shared" si="0"/>
        <v>0</v>
      </c>
      <c r="J5"/>
      <c r="K5"/>
      <c r="L5"/>
      <c r="M5"/>
    </row>
    <row r="6" spans="1:13" ht="22.5" x14ac:dyDescent="0.2">
      <c r="A6" s="125" t="s">
        <v>392</v>
      </c>
      <c r="B6" s="126" t="s">
        <v>327</v>
      </c>
      <c r="C6" s="127">
        <v>38083</v>
      </c>
      <c r="D6" s="128" t="s">
        <v>907</v>
      </c>
      <c r="E6" s="129" t="s">
        <v>529</v>
      </c>
      <c r="F6" s="113">
        <v>1</v>
      </c>
      <c r="G6" s="130">
        <v>167.88834</v>
      </c>
      <c r="H6" s="143"/>
      <c r="I6" s="131">
        <f t="shared" si="0"/>
        <v>0</v>
      </c>
      <c r="J6"/>
      <c r="K6"/>
      <c r="L6"/>
      <c r="M6"/>
    </row>
    <row r="7" spans="1:13" x14ac:dyDescent="0.2">
      <c r="A7" s="125" t="s">
        <v>393</v>
      </c>
      <c r="B7" s="126" t="s">
        <v>327</v>
      </c>
      <c r="C7" s="127">
        <v>11902</v>
      </c>
      <c r="D7" s="128" t="s">
        <v>793</v>
      </c>
      <c r="E7" s="129" t="s">
        <v>770</v>
      </c>
      <c r="F7" s="113">
        <v>1</v>
      </c>
      <c r="G7" s="130">
        <v>12.591625500000001</v>
      </c>
      <c r="H7" s="143"/>
      <c r="I7" s="131">
        <f t="shared" si="0"/>
        <v>0</v>
      </c>
      <c r="J7"/>
      <c r="K7"/>
      <c r="L7"/>
      <c r="M7"/>
    </row>
    <row r="8" spans="1:13" x14ac:dyDescent="0.2">
      <c r="A8" s="125" t="s">
        <v>394</v>
      </c>
      <c r="B8" s="126" t="s">
        <v>327</v>
      </c>
      <c r="C8" s="127">
        <v>11904</v>
      </c>
      <c r="D8" s="128" t="s">
        <v>794</v>
      </c>
      <c r="E8" s="129" t="s">
        <v>770</v>
      </c>
      <c r="F8" s="113">
        <v>1</v>
      </c>
      <c r="G8" s="130">
        <v>12.591625500000001</v>
      </c>
      <c r="H8" s="143"/>
      <c r="I8" s="131">
        <f t="shared" si="0"/>
        <v>0</v>
      </c>
      <c r="J8"/>
      <c r="K8"/>
      <c r="L8"/>
      <c r="M8"/>
    </row>
    <row r="9" spans="1:13" x14ac:dyDescent="0.2">
      <c r="A9" s="125" t="s">
        <v>395</v>
      </c>
      <c r="B9" s="126" t="s">
        <v>327</v>
      </c>
      <c r="C9" s="127">
        <v>11906</v>
      </c>
      <c r="D9" s="128" t="s">
        <v>795</v>
      </c>
      <c r="E9" s="129" t="s">
        <v>770</v>
      </c>
      <c r="F9" s="113">
        <v>1</v>
      </c>
      <c r="G9" s="130">
        <v>12.591625500000001</v>
      </c>
      <c r="H9" s="143"/>
      <c r="I9" s="131">
        <f t="shared" si="0"/>
        <v>0</v>
      </c>
      <c r="J9"/>
      <c r="K9"/>
      <c r="L9"/>
      <c r="M9"/>
    </row>
    <row r="10" spans="1:13" x14ac:dyDescent="0.2">
      <c r="A10" s="125" t="s">
        <v>396</v>
      </c>
      <c r="B10" s="126" t="s">
        <v>327</v>
      </c>
      <c r="C10" s="132">
        <v>11919</v>
      </c>
      <c r="D10" s="128" t="s">
        <v>796</v>
      </c>
      <c r="E10" s="129" t="s">
        <v>770</v>
      </c>
      <c r="F10" s="113">
        <v>1</v>
      </c>
      <c r="G10" s="130">
        <v>12.591625500000001</v>
      </c>
      <c r="H10" s="143"/>
      <c r="I10" s="131">
        <f t="shared" si="0"/>
        <v>0</v>
      </c>
      <c r="J10"/>
      <c r="K10"/>
      <c r="L10"/>
      <c r="M10"/>
    </row>
    <row r="11" spans="1:13" x14ac:dyDescent="0.2">
      <c r="A11" s="125" t="s">
        <v>397</v>
      </c>
      <c r="B11" s="126" t="s">
        <v>327</v>
      </c>
      <c r="C11" s="132">
        <v>11922</v>
      </c>
      <c r="D11" s="128" t="s">
        <v>797</v>
      </c>
      <c r="E11" s="129" t="s">
        <v>770</v>
      </c>
      <c r="F11" s="113">
        <v>1</v>
      </c>
      <c r="G11" s="130">
        <v>12.591625500000001</v>
      </c>
      <c r="H11" s="143"/>
      <c r="I11" s="131">
        <f t="shared" si="0"/>
        <v>0</v>
      </c>
      <c r="J11"/>
      <c r="K11"/>
      <c r="L11"/>
      <c r="M11"/>
    </row>
    <row r="12" spans="1:13" x14ac:dyDescent="0.2">
      <c r="A12" s="125" t="s">
        <v>398</v>
      </c>
      <c r="B12" s="126" t="s">
        <v>327</v>
      </c>
      <c r="C12" s="132">
        <v>935</v>
      </c>
      <c r="D12" s="128" t="e">
        <v>#N/A</v>
      </c>
      <c r="E12" s="129" t="e">
        <v>#N/A</v>
      </c>
      <c r="F12" s="113">
        <v>1</v>
      </c>
      <c r="G12" s="130">
        <v>15.47</v>
      </c>
      <c r="H12" s="143"/>
      <c r="I12" s="131">
        <f t="shared" si="0"/>
        <v>0</v>
      </c>
      <c r="J12"/>
      <c r="K12"/>
      <c r="L12"/>
      <c r="M12"/>
    </row>
    <row r="13" spans="1:13" x14ac:dyDescent="0.2">
      <c r="A13" s="125" t="s">
        <v>399</v>
      </c>
      <c r="B13" s="126" t="s">
        <v>327</v>
      </c>
      <c r="C13" s="132">
        <v>936</v>
      </c>
      <c r="D13" s="128" t="e">
        <v>#N/A</v>
      </c>
      <c r="E13" s="129" t="e">
        <v>#N/A</v>
      </c>
      <c r="F13" s="113">
        <v>1</v>
      </c>
      <c r="G13" s="130">
        <v>15.47</v>
      </c>
      <c r="H13" s="143"/>
      <c r="I13" s="131">
        <f t="shared" si="0"/>
        <v>0</v>
      </c>
      <c r="J13"/>
      <c r="K13"/>
      <c r="L13"/>
      <c r="M13"/>
    </row>
    <row r="14" spans="1:13" ht="22.5" x14ac:dyDescent="0.2">
      <c r="A14" s="125" t="s">
        <v>400</v>
      </c>
      <c r="B14" s="126" t="s">
        <v>327</v>
      </c>
      <c r="C14" s="132">
        <v>39607</v>
      </c>
      <c r="D14" s="128" t="s">
        <v>872</v>
      </c>
      <c r="E14" s="129" t="s">
        <v>529</v>
      </c>
      <c r="F14" s="113">
        <v>1</v>
      </c>
      <c r="G14" s="130">
        <v>50.366502000000004</v>
      </c>
      <c r="H14" s="143"/>
      <c r="I14" s="131">
        <f t="shared" si="0"/>
        <v>0</v>
      </c>
      <c r="J14"/>
      <c r="K14"/>
      <c r="L14"/>
      <c r="M14"/>
    </row>
    <row r="15" spans="1:13" x14ac:dyDescent="0.2">
      <c r="A15" s="125" t="s">
        <v>401</v>
      </c>
      <c r="B15" s="126" t="s">
        <v>327</v>
      </c>
      <c r="C15" s="132">
        <v>39601</v>
      </c>
      <c r="D15" s="128" t="s">
        <v>804</v>
      </c>
      <c r="E15" s="129" t="s">
        <v>529</v>
      </c>
      <c r="F15" s="113">
        <v>1</v>
      </c>
      <c r="G15" s="130">
        <v>16.788834000000001</v>
      </c>
      <c r="H15" s="143"/>
      <c r="I15" s="131">
        <f t="shared" si="0"/>
        <v>0</v>
      </c>
      <c r="J15"/>
      <c r="K15"/>
      <c r="L15"/>
      <c r="M15"/>
    </row>
    <row r="16" spans="1:13" x14ac:dyDescent="0.2">
      <c r="A16" s="125" t="s">
        <v>402</v>
      </c>
      <c r="B16" s="126" t="s">
        <v>327</v>
      </c>
      <c r="C16" s="132">
        <v>39603</v>
      </c>
      <c r="D16" s="128" t="s">
        <v>805</v>
      </c>
      <c r="E16" s="129" t="s">
        <v>529</v>
      </c>
      <c r="F16" s="113">
        <v>1</v>
      </c>
      <c r="G16" s="130">
        <v>33.577668000000003</v>
      </c>
      <c r="H16" s="143"/>
      <c r="I16" s="131">
        <f t="shared" si="0"/>
        <v>0</v>
      </c>
      <c r="J16"/>
      <c r="K16"/>
      <c r="L16"/>
      <c r="M16"/>
    </row>
    <row r="17" spans="1:13" ht="22.5" x14ac:dyDescent="0.2">
      <c r="A17" s="125" t="s">
        <v>403</v>
      </c>
      <c r="B17" s="126" t="s">
        <v>327</v>
      </c>
      <c r="C17" s="132">
        <v>39599</v>
      </c>
      <c r="D17" s="128" t="s">
        <v>792</v>
      </c>
      <c r="E17" s="129" t="s">
        <v>770</v>
      </c>
      <c r="F17" s="113">
        <v>1</v>
      </c>
      <c r="G17" s="130">
        <v>705.89904000000001</v>
      </c>
      <c r="H17" s="143"/>
      <c r="I17" s="131">
        <f t="shared" si="0"/>
        <v>0</v>
      </c>
      <c r="J17"/>
      <c r="K17"/>
      <c r="L17"/>
      <c r="M17"/>
    </row>
    <row r="18" spans="1:13" x14ac:dyDescent="0.2">
      <c r="A18" s="125" t="s">
        <v>404</v>
      </c>
      <c r="B18" s="126" t="s">
        <v>327</v>
      </c>
      <c r="C18" s="132">
        <v>122</v>
      </c>
      <c r="D18" s="128" t="s">
        <v>773</v>
      </c>
      <c r="E18" s="129" t="s">
        <v>529</v>
      </c>
      <c r="F18" s="113">
        <v>8.9999999999999993E-3</v>
      </c>
      <c r="G18" s="130">
        <v>0.16199999999999998</v>
      </c>
      <c r="H18" s="143"/>
      <c r="I18" s="131">
        <f t="shared" si="0"/>
        <v>0</v>
      </c>
      <c r="J18"/>
      <c r="K18"/>
      <c r="L18"/>
      <c r="M18"/>
    </row>
    <row r="19" spans="1:13" x14ac:dyDescent="0.2">
      <c r="A19" s="125" t="s">
        <v>404</v>
      </c>
      <c r="B19" s="126" t="s">
        <v>327</v>
      </c>
      <c r="C19" s="132">
        <v>38383</v>
      </c>
      <c r="D19" s="128" t="s">
        <v>854</v>
      </c>
      <c r="E19" s="129" t="s">
        <v>529</v>
      </c>
      <c r="F19" s="113">
        <v>3.9E-2</v>
      </c>
      <c r="G19" s="130">
        <v>0.70199999999999996</v>
      </c>
      <c r="H19" s="143"/>
      <c r="I19" s="131">
        <f t="shared" si="0"/>
        <v>0</v>
      </c>
      <c r="J19"/>
      <c r="K19"/>
      <c r="L19"/>
      <c r="M19"/>
    </row>
    <row r="20" spans="1:13" x14ac:dyDescent="0.2">
      <c r="A20" s="125" t="s">
        <v>404</v>
      </c>
      <c r="B20" s="126" t="s">
        <v>327</v>
      </c>
      <c r="C20" s="132">
        <v>20083</v>
      </c>
      <c r="D20" s="128" t="s">
        <v>882</v>
      </c>
      <c r="E20" s="129" t="s">
        <v>529</v>
      </c>
      <c r="F20" s="113">
        <v>8.9999999999999993E-3</v>
      </c>
      <c r="G20" s="130">
        <v>0.16199999999999998</v>
      </c>
      <c r="H20" s="143"/>
      <c r="I20" s="131">
        <f t="shared" si="0"/>
        <v>0</v>
      </c>
      <c r="J20"/>
      <c r="K20"/>
      <c r="L20"/>
      <c r="M20"/>
    </row>
    <row r="21" spans="1:13" ht="22.5" x14ac:dyDescent="0.2">
      <c r="A21" s="125" t="s">
        <v>404</v>
      </c>
      <c r="B21" s="126" t="s">
        <v>327</v>
      </c>
      <c r="C21" s="132">
        <v>7138</v>
      </c>
      <c r="D21" s="128" t="s">
        <v>891</v>
      </c>
      <c r="E21" s="129" t="s">
        <v>529</v>
      </c>
      <c r="F21" s="113">
        <v>1</v>
      </c>
      <c r="G21" s="130">
        <v>18</v>
      </c>
      <c r="H21" s="143"/>
      <c r="I21" s="131">
        <f t="shared" si="0"/>
        <v>0</v>
      </c>
      <c r="J21"/>
      <c r="K21"/>
      <c r="L21"/>
      <c r="M21"/>
    </row>
    <row r="22" spans="1:13" x14ac:dyDescent="0.2">
      <c r="A22" s="125" t="s">
        <v>405</v>
      </c>
      <c r="B22" s="126" t="s">
        <v>327</v>
      </c>
      <c r="C22" s="132">
        <v>122</v>
      </c>
      <c r="D22" s="128" t="s">
        <v>773</v>
      </c>
      <c r="E22" s="129" t="s">
        <v>529</v>
      </c>
      <c r="F22" s="113">
        <v>1.0999999999999999E-2</v>
      </c>
      <c r="G22" s="130">
        <v>0.14299999999999999</v>
      </c>
      <c r="H22" s="143"/>
      <c r="I22" s="131">
        <f t="shared" si="0"/>
        <v>0</v>
      </c>
      <c r="J22"/>
      <c r="K22"/>
      <c r="L22"/>
      <c r="M22"/>
    </row>
    <row r="23" spans="1:13" x14ac:dyDescent="0.2">
      <c r="A23" s="125" t="s">
        <v>405</v>
      </c>
      <c r="B23" s="126" t="s">
        <v>327</v>
      </c>
      <c r="C23" s="132">
        <v>38383</v>
      </c>
      <c r="D23" s="128" t="s">
        <v>854</v>
      </c>
      <c r="E23" s="129" t="s">
        <v>529</v>
      </c>
      <c r="F23" s="113">
        <v>4.4999999999999998E-2</v>
      </c>
      <c r="G23" s="130">
        <v>0.58499999999999996</v>
      </c>
      <c r="H23" s="143"/>
      <c r="I23" s="131">
        <f t="shared" si="0"/>
        <v>0</v>
      </c>
      <c r="J23"/>
      <c r="K23"/>
      <c r="L23"/>
      <c r="M23"/>
    </row>
    <row r="24" spans="1:13" x14ac:dyDescent="0.2">
      <c r="A24" s="125" t="s">
        <v>405</v>
      </c>
      <c r="B24" s="126" t="s">
        <v>327</v>
      </c>
      <c r="C24" s="132">
        <v>20083</v>
      </c>
      <c r="D24" s="128" t="s">
        <v>882</v>
      </c>
      <c r="E24" s="129" t="s">
        <v>529</v>
      </c>
      <c r="F24" s="113">
        <v>1.2E-2</v>
      </c>
      <c r="G24" s="130">
        <v>0.156</v>
      </c>
      <c r="H24" s="143"/>
      <c r="I24" s="131">
        <f t="shared" si="0"/>
        <v>0</v>
      </c>
      <c r="J24"/>
      <c r="K24"/>
      <c r="L24"/>
      <c r="M24"/>
    </row>
    <row r="25" spans="1:13" ht="22.5" x14ac:dyDescent="0.2">
      <c r="A25" s="125" t="s">
        <v>405</v>
      </c>
      <c r="B25" s="126" t="s">
        <v>327</v>
      </c>
      <c r="C25" s="132">
        <v>7139</v>
      </c>
      <c r="D25" s="128" t="s">
        <v>892</v>
      </c>
      <c r="E25" s="129" t="s">
        <v>529</v>
      </c>
      <c r="F25" s="113">
        <v>1</v>
      </c>
      <c r="G25" s="130">
        <v>13</v>
      </c>
      <c r="H25" s="143"/>
      <c r="I25" s="131">
        <f t="shared" si="0"/>
        <v>0</v>
      </c>
      <c r="J25"/>
      <c r="K25"/>
      <c r="L25"/>
      <c r="M25"/>
    </row>
    <row r="26" spans="1:13" x14ac:dyDescent="0.2">
      <c r="A26" s="125" t="s">
        <v>406</v>
      </c>
      <c r="B26" s="126" t="s">
        <v>327</v>
      </c>
      <c r="C26" s="132">
        <v>122</v>
      </c>
      <c r="D26" s="128" t="s">
        <v>773</v>
      </c>
      <c r="E26" s="129" t="s">
        <v>529</v>
      </c>
      <c r="F26" s="113">
        <v>1.4E-2</v>
      </c>
      <c r="G26" s="130">
        <v>8.4000000000000005E-2</v>
      </c>
      <c r="H26" s="143"/>
      <c r="I26" s="131">
        <f t="shared" si="0"/>
        <v>0</v>
      </c>
      <c r="J26"/>
      <c r="K26"/>
      <c r="L26"/>
      <c r="M26"/>
    </row>
    <row r="27" spans="1:13" x14ac:dyDescent="0.2">
      <c r="A27" s="125" t="s">
        <v>406</v>
      </c>
      <c r="B27" s="126" t="s">
        <v>327</v>
      </c>
      <c r="C27" s="132">
        <v>38383</v>
      </c>
      <c r="D27" s="128" t="s">
        <v>854</v>
      </c>
      <c r="E27" s="129" t="s">
        <v>529</v>
      </c>
      <c r="F27" s="113">
        <v>5.2999999999999999E-2</v>
      </c>
      <c r="G27" s="130">
        <v>0.318</v>
      </c>
      <c r="H27" s="143"/>
      <c r="I27" s="131">
        <f t="shared" si="0"/>
        <v>0</v>
      </c>
      <c r="J27"/>
      <c r="K27"/>
      <c r="L27"/>
      <c r="M27"/>
    </row>
    <row r="28" spans="1:13" x14ac:dyDescent="0.2">
      <c r="A28" s="125" t="s">
        <v>406</v>
      </c>
      <c r="B28" s="126" t="s">
        <v>327</v>
      </c>
      <c r="C28" s="132">
        <v>20083</v>
      </c>
      <c r="D28" s="128" t="s">
        <v>882</v>
      </c>
      <c r="E28" s="129" t="s">
        <v>529</v>
      </c>
      <c r="F28" s="113">
        <v>1.7000000000000001E-2</v>
      </c>
      <c r="G28" s="130">
        <v>0.10200000000000001</v>
      </c>
      <c r="H28" s="143"/>
      <c r="I28" s="131">
        <f t="shared" si="0"/>
        <v>0</v>
      </c>
      <c r="J28"/>
      <c r="K28"/>
      <c r="L28"/>
      <c r="M28"/>
    </row>
    <row r="29" spans="1:13" ht="22.5" x14ac:dyDescent="0.2">
      <c r="A29" s="125" t="s">
        <v>406</v>
      </c>
      <c r="B29" s="126" t="s">
        <v>327</v>
      </c>
      <c r="C29" s="132">
        <v>7140</v>
      </c>
      <c r="D29" s="128" t="s">
        <v>893</v>
      </c>
      <c r="E29" s="129" t="s">
        <v>529</v>
      </c>
      <c r="F29" s="113">
        <v>1</v>
      </c>
      <c r="G29" s="130">
        <v>6</v>
      </c>
      <c r="H29" s="143"/>
      <c r="I29" s="131">
        <f t="shared" si="0"/>
        <v>0</v>
      </c>
      <c r="J29"/>
      <c r="K29"/>
      <c r="L29"/>
      <c r="M29"/>
    </row>
    <row r="30" spans="1:13" x14ac:dyDescent="0.2">
      <c r="A30" s="125" t="s">
        <v>407</v>
      </c>
      <c r="B30" s="126" t="s">
        <v>327</v>
      </c>
      <c r="C30" s="132">
        <v>122</v>
      </c>
      <c r="D30" s="128" t="s">
        <v>773</v>
      </c>
      <c r="E30" s="129" t="s">
        <v>529</v>
      </c>
      <c r="F30" s="113">
        <v>1.7999999999999999E-2</v>
      </c>
      <c r="G30" s="130">
        <v>0.19799999999999998</v>
      </c>
      <c r="H30" s="143"/>
      <c r="I30" s="131">
        <f t="shared" si="0"/>
        <v>0</v>
      </c>
      <c r="J30"/>
      <c r="K30"/>
      <c r="L30"/>
      <c r="M30"/>
    </row>
    <row r="31" spans="1:13" x14ac:dyDescent="0.2">
      <c r="A31" s="125" t="s">
        <v>407</v>
      </c>
      <c r="B31" s="126" t="s">
        <v>327</v>
      </c>
      <c r="C31" s="132">
        <v>38383</v>
      </c>
      <c r="D31" s="128" t="s">
        <v>854</v>
      </c>
      <c r="E31" s="129" t="s">
        <v>529</v>
      </c>
      <c r="F31" s="113">
        <v>0.03</v>
      </c>
      <c r="G31" s="130">
        <v>0.32999999999999996</v>
      </c>
      <c r="H31" s="143"/>
      <c r="I31" s="131">
        <f t="shared" si="0"/>
        <v>0</v>
      </c>
      <c r="J31"/>
      <c r="K31"/>
      <c r="L31"/>
      <c r="M31"/>
    </row>
    <row r="32" spans="1:13" x14ac:dyDescent="0.2">
      <c r="A32" s="125" t="s">
        <v>407</v>
      </c>
      <c r="B32" s="126" t="s">
        <v>327</v>
      </c>
      <c r="C32" s="132">
        <v>20083</v>
      </c>
      <c r="D32" s="128" t="s">
        <v>882</v>
      </c>
      <c r="E32" s="129" t="s">
        <v>529</v>
      </c>
      <c r="F32" s="113">
        <v>2.1000000000000001E-2</v>
      </c>
      <c r="G32" s="130">
        <v>0.23100000000000001</v>
      </c>
      <c r="H32" s="143"/>
      <c r="I32" s="131">
        <f t="shared" si="0"/>
        <v>0</v>
      </c>
      <c r="J32"/>
      <c r="K32"/>
      <c r="L32"/>
      <c r="M32"/>
    </row>
    <row r="33" spans="1:13" ht="22.5" x14ac:dyDescent="0.2">
      <c r="A33" s="125" t="s">
        <v>407</v>
      </c>
      <c r="B33" s="126" t="s">
        <v>327</v>
      </c>
      <c r="C33" s="132">
        <v>7141</v>
      </c>
      <c r="D33" s="128" t="s">
        <v>894</v>
      </c>
      <c r="E33" s="129" t="s">
        <v>529</v>
      </c>
      <c r="F33" s="113">
        <v>1</v>
      </c>
      <c r="G33" s="130">
        <v>11</v>
      </c>
      <c r="H33" s="143"/>
      <c r="I33" s="131">
        <f t="shared" si="0"/>
        <v>0</v>
      </c>
      <c r="J33"/>
      <c r="K33"/>
      <c r="L33"/>
      <c r="M33"/>
    </row>
    <row r="34" spans="1:13" x14ac:dyDescent="0.2">
      <c r="A34" s="125" t="s">
        <v>408</v>
      </c>
      <c r="B34" s="126" t="s">
        <v>327</v>
      </c>
      <c r="C34" s="132">
        <v>122</v>
      </c>
      <c r="D34" s="128" t="s">
        <v>773</v>
      </c>
      <c r="E34" s="129" t="s">
        <v>529</v>
      </c>
      <c r="F34" s="113">
        <v>3.5000000000000003E-2</v>
      </c>
      <c r="G34" s="130">
        <v>0.21000000000000002</v>
      </c>
      <c r="H34" s="143"/>
      <c r="I34" s="131">
        <f t="shared" si="0"/>
        <v>0</v>
      </c>
      <c r="J34"/>
      <c r="K34"/>
      <c r="L34"/>
      <c r="M34"/>
    </row>
    <row r="35" spans="1:13" x14ac:dyDescent="0.2">
      <c r="A35" s="125" t="s">
        <v>408</v>
      </c>
      <c r="B35" s="126" t="s">
        <v>327</v>
      </c>
      <c r="C35" s="132">
        <v>38383</v>
      </c>
      <c r="D35" s="128" t="s">
        <v>854</v>
      </c>
      <c r="E35" s="129" t="s">
        <v>529</v>
      </c>
      <c r="F35" s="113">
        <v>4.2999999999999997E-2</v>
      </c>
      <c r="G35" s="130">
        <v>0.25800000000000001</v>
      </c>
      <c r="H35" s="143"/>
      <c r="I35" s="131">
        <f t="shared" si="0"/>
        <v>0</v>
      </c>
      <c r="J35"/>
      <c r="K35"/>
      <c r="L35"/>
      <c r="M35"/>
    </row>
    <row r="36" spans="1:13" x14ac:dyDescent="0.2">
      <c r="A36" s="125" t="s">
        <v>408</v>
      </c>
      <c r="B36" s="126" t="s">
        <v>327</v>
      </c>
      <c r="C36" s="132">
        <v>20083</v>
      </c>
      <c r="D36" s="128" t="s">
        <v>882</v>
      </c>
      <c r="E36" s="129" t="s">
        <v>529</v>
      </c>
      <c r="F36" s="113">
        <v>4.4999999999999998E-2</v>
      </c>
      <c r="G36" s="130">
        <v>0.27</v>
      </c>
      <c r="H36" s="143"/>
      <c r="I36" s="131">
        <f t="shared" ref="I36:I66" si="1">IFERROR(H36*G36,"")</f>
        <v>0</v>
      </c>
      <c r="J36"/>
      <c r="K36"/>
      <c r="L36"/>
      <c r="M36"/>
    </row>
    <row r="37" spans="1:13" ht="22.5" x14ac:dyDescent="0.2">
      <c r="A37" s="125" t="s">
        <v>408</v>
      </c>
      <c r="B37" s="126" t="s">
        <v>327</v>
      </c>
      <c r="C37" s="132">
        <v>7143</v>
      </c>
      <c r="D37" s="128" t="s">
        <v>895</v>
      </c>
      <c r="E37" s="129" t="s">
        <v>529</v>
      </c>
      <c r="F37" s="113">
        <v>1</v>
      </c>
      <c r="G37" s="130">
        <v>6</v>
      </c>
      <c r="H37" s="143"/>
      <c r="I37" s="131">
        <f t="shared" si="1"/>
        <v>0</v>
      </c>
      <c r="J37"/>
      <c r="K37"/>
      <c r="L37"/>
      <c r="M37"/>
    </row>
    <row r="38" spans="1:13" x14ac:dyDescent="0.2">
      <c r="A38" s="125" t="s">
        <v>409</v>
      </c>
      <c r="B38" s="126" t="s">
        <v>327</v>
      </c>
      <c r="C38" s="132">
        <v>20080</v>
      </c>
      <c r="D38" s="128" t="s">
        <v>774</v>
      </c>
      <c r="E38" s="129" t="s">
        <v>529</v>
      </c>
      <c r="F38" s="113">
        <v>0.23100000000000001</v>
      </c>
      <c r="G38" s="130">
        <v>2.5409999999999999</v>
      </c>
      <c r="H38" s="143"/>
      <c r="I38" s="131">
        <f t="shared" si="1"/>
        <v>0</v>
      </c>
      <c r="J38"/>
      <c r="K38"/>
      <c r="L38"/>
      <c r="M38"/>
    </row>
    <row r="39" spans="1:13" x14ac:dyDescent="0.2">
      <c r="A39" s="125" t="s">
        <v>409</v>
      </c>
      <c r="B39" s="126" t="s">
        <v>327</v>
      </c>
      <c r="C39" s="132">
        <v>38383</v>
      </c>
      <c r="D39" s="128" t="s">
        <v>854</v>
      </c>
      <c r="E39" s="129" t="s">
        <v>529</v>
      </c>
      <c r="F39" s="113">
        <v>5.5E-2</v>
      </c>
      <c r="G39" s="130">
        <v>0.60499999999999998</v>
      </c>
      <c r="H39" s="143"/>
      <c r="I39" s="131">
        <f t="shared" si="1"/>
        <v>0</v>
      </c>
      <c r="J39"/>
      <c r="K39"/>
      <c r="L39"/>
      <c r="M39"/>
    </row>
    <row r="40" spans="1:13" x14ac:dyDescent="0.2">
      <c r="A40" s="125" t="s">
        <v>409</v>
      </c>
      <c r="B40" s="126" t="s">
        <v>327</v>
      </c>
      <c r="C40" s="132">
        <v>20083</v>
      </c>
      <c r="D40" s="128" t="s">
        <v>882</v>
      </c>
      <c r="E40" s="129" t="s">
        <v>529</v>
      </c>
      <c r="F40" s="113">
        <v>6.2E-2</v>
      </c>
      <c r="G40" s="130">
        <v>0.68199999999999994</v>
      </c>
      <c r="H40" s="143"/>
      <c r="I40" s="131">
        <f t="shared" si="1"/>
        <v>0</v>
      </c>
      <c r="J40"/>
      <c r="K40"/>
      <c r="L40"/>
      <c r="M40"/>
    </row>
    <row r="41" spans="1:13" ht="22.5" x14ac:dyDescent="0.2">
      <c r="A41" s="125" t="s">
        <v>409</v>
      </c>
      <c r="B41" s="126" t="s">
        <v>327</v>
      </c>
      <c r="C41" s="132">
        <v>7144</v>
      </c>
      <c r="D41" s="128" t="s">
        <v>896</v>
      </c>
      <c r="E41" s="129" t="s">
        <v>529</v>
      </c>
      <c r="F41" s="113">
        <v>1</v>
      </c>
      <c r="G41" s="130">
        <v>11</v>
      </c>
      <c r="H41" s="143"/>
      <c r="I41" s="131">
        <f t="shared" si="1"/>
        <v>0</v>
      </c>
      <c r="J41"/>
      <c r="K41"/>
      <c r="L41"/>
      <c r="M41"/>
    </row>
    <row r="42" spans="1:13" x14ac:dyDescent="0.2">
      <c r="A42" s="125" t="s">
        <v>410</v>
      </c>
      <c r="B42" s="126" t="s">
        <v>327</v>
      </c>
      <c r="C42" s="132">
        <v>122</v>
      </c>
      <c r="D42" s="128" t="s">
        <v>773</v>
      </c>
      <c r="E42" s="129" t="s">
        <v>529</v>
      </c>
      <c r="F42" s="113">
        <v>1.7999999999999999E-2</v>
      </c>
      <c r="G42" s="130">
        <v>0.16199999999999998</v>
      </c>
      <c r="H42" s="143"/>
      <c r="I42" s="131">
        <f t="shared" si="1"/>
        <v>0</v>
      </c>
      <c r="J42"/>
      <c r="K42"/>
      <c r="L42"/>
      <c r="M42"/>
    </row>
    <row r="43" spans="1:13" x14ac:dyDescent="0.2">
      <c r="A43" s="125" t="s">
        <v>410</v>
      </c>
      <c r="B43" s="126" t="s">
        <v>327</v>
      </c>
      <c r="C43" s="132">
        <v>38383</v>
      </c>
      <c r="D43" s="128" t="s">
        <v>854</v>
      </c>
      <c r="E43" s="129" t="s">
        <v>529</v>
      </c>
      <c r="F43" s="113">
        <v>0.03</v>
      </c>
      <c r="G43" s="130">
        <v>0.27</v>
      </c>
      <c r="H43" s="143"/>
      <c r="I43" s="131">
        <f t="shared" si="1"/>
        <v>0</v>
      </c>
      <c r="J43"/>
      <c r="K43"/>
      <c r="L43"/>
      <c r="M43"/>
    </row>
    <row r="44" spans="1:13" x14ac:dyDescent="0.2">
      <c r="A44" s="125" t="s">
        <v>410</v>
      </c>
      <c r="B44" s="126" t="s">
        <v>327</v>
      </c>
      <c r="C44" s="132">
        <v>20083</v>
      </c>
      <c r="D44" s="128" t="s">
        <v>882</v>
      </c>
      <c r="E44" s="129" t="s">
        <v>529</v>
      </c>
      <c r="F44" s="113">
        <v>2.1000000000000001E-2</v>
      </c>
      <c r="G44" s="130">
        <v>0.189</v>
      </c>
      <c r="H44" s="143"/>
      <c r="I44" s="131">
        <f t="shared" si="1"/>
        <v>0</v>
      </c>
      <c r="J44"/>
      <c r="K44"/>
      <c r="L44"/>
      <c r="M44"/>
    </row>
    <row r="45" spans="1:13" ht="22.5" x14ac:dyDescent="0.2">
      <c r="A45" s="125" t="s">
        <v>410</v>
      </c>
      <c r="B45" s="126" t="s">
        <v>327</v>
      </c>
      <c r="C45" s="132">
        <v>7128</v>
      </c>
      <c r="D45" s="128" t="s">
        <v>886</v>
      </c>
      <c r="E45" s="129" t="s">
        <v>529</v>
      </c>
      <c r="F45" s="113">
        <v>1</v>
      </c>
      <c r="G45" s="130">
        <v>9</v>
      </c>
      <c r="H45" s="143"/>
      <c r="I45" s="131">
        <f t="shared" si="1"/>
        <v>0</v>
      </c>
      <c r="J45"/>
      <c r="K45"/>
      <c r="L45"/>
      <c r="M45"/>
    </row>
    <row r="46" spans="1:13" x14ac:dyDescent="0.2">
      <c r="A46" s="125" t="s">
        <v>411</v>
      </c>
      <c r="B46" s="126" t="s">
        <v>327</v>
      </c>
      <c r="C46" s="132">
        <v>122</v>
      </c>
      <c r="D46" s="128" t="s">
        <v>773</v>
      </c>
      <c r="E46" s="129" t="s">
        <v>529</v>
      </c>
      <c r="F46" s="113">
        <v>6.0000000000000001E-3</v>
      </c>
      <c r="G46" s="130">
        <v>0.42599999999999999</v>
      </c>
      <c r="H46" s="143"/>
      <c r="I46" s="131">
        <f t="shared" si="1"/>
        <v>0</v>
      </c>
      <c r="J46"/>
      <c r="K46"/>
      <c r="L46"/>
      <c r="M46"/>
    </row>
    <row r="47" spans="1:13" ht="22.5" x14ac:dyDescent="0.2">
      <c r="A47" s="125" t="s">
        <v>411</v>
      </c>
      <c r="B47" s="126" t="s">
        <v>327</v>
      </c>
      <c r="C47" s="132">
        <v>3542</v>
      </c>
      <c r="D47" s="128" t="s">
        <v>836</v>
      </c>
      <c r="E47" s="129" t="s">
        <v>529</v>
      </c>
      <c r="F47" s="113">
        <v>1</v>
      </c>
      <c r="G47" s="130">
        <v>71</v>
      </c>
      <c r="H47" s="143"/>
      <c r="I47" s="131">
        <f t="shared" si="1"/>
        <v>0</v>
      </c>
      <c r="J47"/>
      <c r="K47"/>
      <c r="L47"/>
      <c r="M47"/>
    </row>
    <row r="48" spans="1:13" x14ac:dyDescent="0.2">
      <c r="A48" s="125" t="s">
        <v>411</v>
      </c>
      <c r="B48" s="126" t="s">
        <v>327</v>
      </c>
      <c r="C48" s="132">
        <v>38383</v>
      </c>
      <c r="D48" s="128" t="s">
        <v>854</v>
      </c>
      <c r="E48" s="129" t="s">
        <v>529</v>
      </c>
      <c r="F48" s="113">
        <v>2.5999999999999999E-2</v>
      </c>
      <c r="G48" s="130">
        <v>1.8459999999999999</v>
      </c>
      <c r="H48" s="143"/>
      <c r="I48" s="131">
        <f t="shared" si="1"/>
        <v>0</v>
      </c>
      <c r="J48"/>
      <c r="K48"/>
      <c r="L48"/>
      <c r="M48"/>
    </row>
    <row r="49" spans="1:13" x14ac:dyDescent="0.2">
      <c r="A49" s="125" t="s">
        <v>411</v>
      </c>
      <c r="B49" s="126" t="s">
        <v>327</v>
      </c>
      <c r="C49" s="132">
        <v>20083</v>
      </c>
      <c r="D49" s="128" t="s">
        <v>882</v>
      </c>
      <c r="E49" s="129" t="s">
        <v>529</v>
      </c>
      <c r="F49" s="113">
        <v>6.0000000000000001E-3</v>
      </c>
      <c r="G49" s="130">
        <v>0.42599999999999999</v>
      </c>
      <c r="H49" s="143"/>
      <c r="I49" s="131">
        <f t="shared" si="1"/>
        <v>0</v>
      </c>
      <c r="J49"/>
      <c r="K49"/>
      <c r="L49"/>
      <c r="M49"/>
    </row>
    <row r="50" spans="1:13" x14ac:dyDescent="0.2">
      <c r="A50" s="125" t="s">
        <v>412</v>
      </c>
      <c r="B50" s="126" t="s">
        <v>327</v>
      </c>
      <c r="C50" s="132">
        <v>122</v>
      </c>
      <c r="D50" s="128" t="s">
        <v>773</v>
      </c>
      <c r="E50" s="129" t="s">
        <v>529</v>
      </c>
      <c r="F50" s="113">
        <v>7.0000000000000001E-3</v>
      </c>
      <c r="G50" s="130">
        <v>0.112</v>
      </c>
      <c r="H50" s="143"/>
      <c r="I50" s="131">
        <f t="shared" si="1"/>
        <v>0</v>
      </c>
      <c r="J50"/>
      <c r="K50"/>
      <c r="L50"/>
      <c r="M50"/>
    </row>
    <row r="51" spans="1:13" ht="22.5" x14ac:dyDescent="0.2">
      <c r="A51" s="125" t="s">
        <v>412</v>
      </c>
      <c r="B51" s="126" t="s">
        <v>327</v>
      </c>
      <c r="C51" s="132">
        <v>3529</v>
      </c>
      <c r="D51" s="128" t="s">
        <v>837</v>
      </c>
      <c r="E51" s="129" t="s">
        <v>529</v>
      </c>
      <c r="F51" s="113">
        <v>1</v>
      </c>
      <c r="G51" s="130">
        <v>16</v>
      </c>
      <c r="H51" s="143"/>
      <c r="I51" s="131">
        <f t="shared" si="1"/>
        <v>0</v>
      </c>
      <c r="J51"/>
      <c r="K51"/>
      <c r="L51"/>
      <c r="M51"/>
    </row>
    <row r="52" spans="1:13" x14ac:dyDescent="0.2">
      <c r="A52" s="125" t="s">
        <v>412</v>
      </c>
      <c r="B52" s="126" t="s">
        <v>327</v>
      </c>
      <c r="C52" s="132">
        <v>38383</v>
      </c>
      <c r="D52" s="128" t="s">
        <v>854</v>
      </c>
      <c r="E52" s="129" t="s">
        <v>529</v>
      </c>
      <c r="F52" s="113">
        <v>1.2999999999999999E-2</v>
      </c>
      <c r="G52" s="130">
        <v>0.20799999999999999</v>
      </c>
      <c r="H52" s="143"/>
      <c r="I52" s="131">
        <f t="shared" si="1"/>
        <v>0</v>
      </c>
      <c r="J52"/>
      <c r="K52"/>
      <c r="L52"/>
      <c r="M52"/>
    </row>
    <row r="53" spans="1:13" x14ac:dyDescent="0.2">
      <c r="A53" s="125" t="s">
        <v>412</v>
      </c>
      <c r="B53" s="126" t="s">
        <v>327</v>
      </c>
      <c r="C53" s="132">
        <v>20083</v>
      </c>
      <c r="D53" s="128" t="s">
        <v>882</v>
      </c>
      <c r="E53" s="129" t="s">
        <v>529</v>
      </c>
      <c r="F53" s="113">
        <v>8.0000000000000002E-3</v>
      </c>
      <c r="G53" s="130">
        <v>0.128</v>
      </c>
      <c r="H53" s="143"/>
      <c r="I53" s="131">
        <f t="shared" si="1"/>
        <v>0</v>
      </c>
      <c r="J53"/>
      <c r="K53"/>
      <c r="L53"/>
      <c r="M53"/>
    </row>
    <row r="54" spans="1:13" x14ac:dyDescent="0.2">
      <c r="A54" s="125" t="s">
        <v>413</v>
      </c>
      <c r="B54" s="126" t="s">
        <v>327</v>
      </c>
      <c r="C54" s="132">
        <v>122</v>
      </c>
      <c r="D54" s="128" t="s">
        <v>773</v>
      </c>
      <c r="E54" s="129" t="s">
        <v>529</v>
      </c>
      <c r="F54" s="113">
        <v>8.9999999999999993E-3</v>
      </c>
      <c r="G54" s="130">
        <v>8.0999999999999989E-2</v>
      </c>
      <c r="H54" s="143"/>
      <c r="I54" s="131">
        <f t="shared" si="1"/>
        <v>0</v>
      </c>
      <c r="J54"/>
      <c r="K54"/>
      <c r="L54"/>
      <c r="M54"/>
    </row>
    <row r="55" spans="1:13" ht="22.5" x14ac:dyDescent="0.2">
      <c r="A55" s="125" t="s">
        <v>413</v>
      </c>
      <c r="B55" s="126" t="s">
        <v>327</v>
      </c>
      <c r="C55" s="132">
        <v>3536</v>
      </c>
      <c r="D55" s="128" t="s">
        <v>838</v>
      </c>
      <c r="E55" s="129" t="s">
        <v>529</v>
      </c>
      <c r="F55" s="113">
        <v>1</v>
      </c>
      <c r="G55" s="130">
        <v>9</v>
      </c>
      <c r="H55" s="143"/>
      <c r="I55" s="131">
        <f t="shared" si="1"/>
        <v>0</v>
      </c>
      <c r="J55"/>
      <c r="K55"/>
      <c r="L55"/>
      <c r="M55"/>
    </row>
    <row r="56" spans="1:13" x14ac:dyDescent="0.2">
      <c r="A56" s="125" t="s">
        <v>413</v>
      </c>
      <c r="B56" s="126" t="s">
        <v>327</v>
      </c>
      <c r="C56" s="132">
        <v>38383</v>
      </c>
      <c r="D56" s="128" t="s">
        <v>854</v>
      </c>
      <c r="E56" s="129" t="s">
        <v>529</v>
      </c>
      <c r="F56" s="113">
        <v>1.7000000000000001E-2</v>
      </c>
      <c r="G56" s="130">
        <v>0.15300000000000002</v>
      </c>
      <c r="H56" s="143"/>
      <c r="I56" s="131">
        <f t="shared" si="1"/>
        <v>0</v>
      </c>
      <c r="J56"/>
      <c r="K56"/>
      <c r="L56"/>
      <c r="M56"/>
    </row>
    <row r="57" spans="1:13" x14ac:dyDescent="0.2">
      <c r="A57" s="125" t="s">
        <v>413</v>
      </c>
      <c r="B57" s="126" t="s">
        <v>327</v>
      </c>
      <c r="C57" s="132">
        <v>20083</v>
      </c>
      <c r="D57" s="128" t="s">
        <v>882</v>
      </c>
      <c r="E57" s="129" t="s">
        <v>529</v>
      </c>
      <c r="F57" s="113">
        <v>1.0999999999999999E-2</v>
      </c>
      <c r="G57" s="130">
        <v>9.8999999999999991E-2</v>
      </c>
      <c r="H57" s="143"/>
      <c r="I57" s="131">
        <f t="shared" si="1"/>
        <v>0</v>
      </c>
      <c r="J57"/>
      <c r="K57"/>
      <c r="L57"/>
      <c r="M57"/>
    </row>
    <row r="58" spans="1:13" x14ac:dyDescent="0.2">
      <c r="A58" s="125" t="s">
        <v>414</v>
      </c>
      <c r="B58" s="126" t="s">
        <v>327</v>
      </c>
      <c r="C58" s="132">
        <v>122</v>
      </c>
      <c r="D58" s="128" t="s">
        <v>773</v>
      </c>
      <c r="E58" s="129" t="s">
        <v>529</v>
      </c>
      <c r="F58" s="113">
        <v>1.2E-2</v>
      </c>
      <c r="G58" s="130">
        <v>0.38400000000000001</v>
      </c>
      <c r="H58" s="143"/>
      <c r="I58" s="131">
        <f t="shared" si="1"/>
        <v>0</v>
      </c>
      <c r="J58"/>
      <c r="K58"/>
      <c r="L58"/>
      <c r="M58"/>
    </row>
    <row r="59" spans="1:13" ht="22.5" x14ac:dyDescent="0.2">
      <c r="A59" s="125" t="s">
        <v>414</v>
      </c>
      <c r="B59" s="126" t="s">
        <v>327</v>
      </c>
      <c r="C59" s="132">
        <v>3535</v>
      </c>
      <c r="D59" s="128" t="s">
        <v>839</v>
      </c>
      <c r="E59" s="129" t="s">
        <v>529</v>
      </c>
      <c r="F59" s="113">
        <v>1</v>
      </c>
      <c r="G59" s="130">
        <v>32</v>
      </c>
      <c r="H59" s="143"/>
      <c r="I59" s="131">
        <f t="shared" si="1"/>
        <v>0</v>
      </c>
      <c r="J59"/>
      <c r="K59"/>
      <c r="L59"/>
      <c r="M59"/>
    </row>
    <row r="60" spans="1:13" x14ac:dyDescent="0.2">
      <c r="A60" s="125" t="s">
        <v>414</v>
      </c>
      <c r="B60" s="126" t="s">
        <v>327</v>
      </c>
      <c r="C60" s="132">
        <v>38383</v>
      </c>
      <c r="D60" s="128" t="s">
        <v>854</v>
      </c>
      <c r="E60" s="129" t="s">
        <v>529</v>
      </c>
      <c r="F60" s="113">
        <v>0.02</v>
      </c>
      <c r="G60" s="130">
        <v>0.64</v>
      </c>
      <c r="H60" s="143"/>
      <c r="I60" s="131">
        <f t="shared" si="1"/>
        <v>0</v>
      </c>
      <c r="J60"/>
      <c r="K60"/>
      <c r="L60"/>
      <c r="M60"/>
    </row>
    <row r="61" spans="1:13" x14ac:dyDescent="0.2">
      <c r="A61" s="125" t="s">
        <v>414</v>
      </c>
      <c r="B61" s="126" t="s">
        <v>327</v>
      </c>
      <c r="C61" s="132">
        <v>20083</v>
      </c>
      <c r="D61" s="128" t="s">
        <v>882</v>
      </c>
      <c r="E61" s="129" t="s">
        <v>529</v>
      </c>
      <c r="F61" s="113">
        <v>1.4E-2</v>
      </c>
      <c r="G61" s="130">
        <v>0.44800000000000001</v>
      </c>
      <c r="H61" s="143"/>
      <c r="I61" s="131">
        <f t="shared" si="1"/>
        <v>0</v>
      </c>
      <c r="J61"/>
      <c r="K61"/>
      <c r="L61"/>
      <c r="M61"/>
    </row>
    <row r="62" spans="1:13" x14ac:dyDescent="0.2">
      <c r="A62" s="125" t="s">
        <v>415</v>
      </c>
      <c r="B62" s="126" t="s">
        <v>327</v>
      </c>
      <c r="C62" s="132">
        <v>122</v>
      </c>
      <c r="D62" s="128" t="s">
        <v>773</v>
      </c>
      <c r="E62" s="129" t="s">
        <v>529</v>
      </c>
      <c r="F62" s="113">
        <v>0.04</v>
      </c>
      <c r="G62" s="130">
        <v>0.44</v>
      </c>
      <c r="H62" s="143"/>
      <c r="I62" s="131">
        <f t="shared" si="1"/>
        <v>0</v>
      </c>
      <c r="J62"/>
      <c r="K62"/>
      <c r="L62"/>
      <c r="M62"/>
    </row>
    <row r="63" spans="1:13" ht="22.5" x14ac:dyDescent="0.2">
      <c r="A63" s="125" t="s">
        <v>415</v>
      </c>
      <c r="B63" s="126" t="s">
        <v>327</v>
      </c>
      <c r="C63" s="132">
        <v>3511</v>
      </c>
      <c r="D63" s="128" t="s">
        <v>841</v>
      </c>
      <c r="E63" s="129" t="s">
        <v>529</v>
      </c>
      <c r="F63" s="113">
        <v>1</v>
      </c>
      <c r="G63" s="130">
        <v>11</v>
      </c>
      <c r="H63" s="143"/>
      <c r="I63" s="131">
        <f t="shared" si="1"/>
        <v>0</v>
      </c>
      <c r="J63"/>
      <c r="K63"/>
      <c r="L63"/>
      <c r="M63"/>
    </row>
    <row r="64" spans="1:13" x14ac:dyDescent="0.2">
      <c r="A64" s="125" t="s">
        <v>415</v>
      </c>
      <c r="B64" s="126" t="s">
        <v>327</v>
      </c>
      <c r="C64" s="132">
        <v>38383</v>
      </c>
      <c r="D64" s="128" t="s">
        <v>854</v>
      </c>
      <c r="E64" s="129" t="s">
        <v>529</v>
      </c>
      <c r="F64" s="113">
        <v>3.5000000000000003E-2</v>
      </c>
      <c r="G64" s="130">
        <v>0.38500000000000001</v>
      </c>
      <c r="H64" s="143"/>
      <c r="I64" s="131">
        <f t="shared" si="1"/>
        <v>0</v>
      </c>
      <c r="J64"/>
      <c r="K64"/>
      <c r="L64"/>
      <c r="M64"/>
    </row>
    <row r="65" spans="1:13" x14ac:dyDescent="0.2">
      <c r="A65" s="125" t="s">
        <v>415</v>
      </c>
      <c r="B65" s="126" t="s">
        <v>327</v>
      </c>
      <c r="C65" s="132">
        <v>20083</v>
      </c>
      <c r="D65" s="128" t="s">
        <v>882</v>
      </c>
      <c r="E65" s="129" t="s">
        <v>529</v>
      </c>
      <c r="F65" s="113">
        <v>5.1999999999999998E-2</v>
      </c>
      <c r="G65" s="130">
        <v>0.57199999999999995</v>
      </c>
      <c r="H65" s="143"/>
      <c r="I65" s="131">
        <f t="shared" si="1"/>
        <v>0</v>
      </c>
      <c r="J65"/>
      <c r="K65"/>
      <c r="L65"/>
      <c r="M65"/>
    </row>
    <row r="66" spans="1:13" x14ac:dyDescent="0.2">
      <c r="A66" s="125" t="s">
        <v>416</v>
      </c>
      <c r="B66" s="126" t="s">
        <v>327</v>
      </c>
      <c r="C66" s="132">
        <v>122</v>
      </c>
      <c r="D66" s="128" t="s">
        <v>773</v>
      </c>
      <c r="E66" s="129" t="s">
        <v>529</v>
      </c>
      <c r="F66" s="113">
        <v>7.0000000000000001E-3</v>
      </c>
      <c r="G66" s="130">
        <v>7.6999999999999999E-2</v>
      </c>
      <c r="H66" s="143"/>
      <c r="I66" s="131">
        <f t="shared" si="1"/>
        <v>0</v>
      </c>
      <c r="J66"/>
      <c r="K66"/>
      <c r="L66"/>
      <c r="M66"/>
    </row>
    <row r="67" spans="1:13" ht="22.5" x14ac:dyDescent="0.2">
      <c r="A67" s="125" t="s">
        <v>416</v>
      </c>
      <c r="B67" s="126" t="s">
        <v>327</v>
      </c>
      <c r="C67" s="132">
        <v>3500</v>
      </c>
      <c r="D67" s="128" t="s">
        <v>840</v>
      </c>
      <c r="E67" s="129" t="s">
        <v>529</v>
      </c>
      <c r="F67" s="113">
        <v>1</v>
      </c>
      <c r="G67" s="130">
        <v>11</v>
      </c>
      <c r="H67" s="143"/>
      <c r="I67" s="131">
        <f t="shared" ref="I67:I130" si="2">IFERROR(H67*G67,"")</f>
        <v>0</v>
      </c>
      <c r="J67"/>
      <c r="K67"/>
      <c r="L67"/>
      <c r="M67"/>
    </row>
    <row r="68" spans="1:13" x14ac:dyDescent="0.2">
      <c r="A68" s="125" t="s">
        <v>416</v>
      </c>
      <c r="B68" s="126" t="s">
        <v>327</v>
      </c>
      <c r="C68" s="132">
        <v>38383</v>
      </c>
      <c r="D68" s="128" t="s">
        <v>854</v>
      </c>
      <c r="E68" s="129" t="s">
        <v>529</v>
      </c>
      <c r="F68" s="113">
        <v>1.2999999999999999E-2</v>
      </c>
      <c r="G68" s="130">
        <v>0.14299999999999999</v>
      </c>
      <c r="H68" s="143"/>
      <c r="I68" s="131">
        <f t="shared" si="2"/>
        <v>0</v>
      </c>
      <c r="J68"/>
      <c r="K68"/>
      <c r="L68"/>
      <c r="M68"/>
    </row>
    <row r="69" spans="1:13" x14ac:dyDescent="0.2">
      <c r="A69" s="125" t="s">
        <v>416</v>
      </c>
      <c r="B69" s="126" t="s">
        <v>327</v>
      </c>
      <c r="C69" s="132">
        <v>20083</v>
      </c>
      <c r="D69" s="128" t="s">
        <v>882</v>
      </c>
      <c r="E69" s="129" t="s">
        <v>529</v>
      </c>
      <c r="F69" s="113">
        <v>8.0000000000000002E-3</v>
      </c>
      <c r="G69" s="130">
        <v>8.7999999999999995E-2</v>
      </c>
      <c r="H69" s="143"/>
      <c r="I69" s="131">
        <f t="shared" si="2"/>
        <v>0</v>
      </c>
      <c r="J69"/>
      <c r="K69"/>
      <c r="L69"/>
      <c r="M69"/>
    </row>
    <row r="70" spans="1:13" x14ac:dyDescent="0.2">
      <c r="A70" s="125" t="s">
        <v>417</v>
      </c>
      <c r="B70" s="126" t="s">
        <v>327</v>
      </c>
      <c r="C70" s="132">
        <v>3143</v>
      </c>
      <c r="D70" s="128" t="s">
        <v>821</v>
      </c>
      <c r="E70" s="129" t="s">
        <v>529</v>
      </c>
      <c r="F70" s="113">
        <v>3.7999999999999999E-2</v>
      </c>
      <c r="G70" s="130">
        <v>0.152</v>
      </c>
      <c r="H70" s="143"/>
      <c r="I70" s="131">
        <f t="shared" si="2"/>
        <v>0</v>
      </c>
      <c r="J70"/>
      <c r="K70"/>
      <c r="L70"/>
      <c r="M70"/>
    </row>
    <row r="71" spans="1:13" x14ac:dyDescent="0.2">
      <c r="A71" s="125" t="s">
        <v>417</v>
      </c>
      <c r="B71" s="126" t="s">
        <v>327</v>
      </c>
      <c r="C71" s="132">
        <v>4212</v>
      </c>
      <c r="D71" s="128" t="e">
        <v>#N/A</v>
      </c>
      <c r="E71" s="129" t="e">
        <v>#N/A</v>
      </c>
      <c r="F71" s="113">
        <v>1</v>
      </c>
      <c r="G71" s="130">
        <v>4</v>
      </c>
      <c r="H71" s="143"/>
      <c r="I71" s="131">
        <f t="shared" si="2"/>
        <v>0</v>
      </c>
      <c r="J71"/>
      <c r="K71"/>
      <c r="L71"/>
      <c r="M71"/>
    </row>
    <row r="72" spans="1:13" x14ac:dyDescent="0.2">
      <c r="A72" s="125" t="s">
        <v>418</v>
      </c>
      <c r="B72" s="126" t="s">
        <v>327</v>
      </c>
      <c r="C72" s="132">
        <v>3143</v>
      </c>
      <c r="D72" s="128" t="s">
        <v>821</v>
      </c>
      <c r="E72" s="129" t="s">
        <v>529</v>
      </c>
      <c r="F72" s="113">
        <v>2.4E-2</v>
      </c>
      <c r="G72" s="130">
        <v>0.312</v>
      </c>
      <c r="H72" s="143"/>
      <c r="I72" s="131">
        <f t="shared" si="2"/>
        <v>0</v>
      </c>
      <c r="J72"/>
      <c r="K72"/>
      <c r="L72"/>
      <c r="M72"/>
    </row>
    <row r="73" spans="1:13" x14ac:dyDescent="0.2">
      <c r="A73" s="125" t="s">
        <v>418</v>
      </c>
      <c r="B73" s="126" t="s">
        <v>327</v>
      </c>
      <c r="C73" s="132">
        <v>4210</v>
      </c>
      <c r="D73" s="128" t="e">
        <v>#N/A</v>
      </c>
      <c r="E73" s="129" t="e">
        <v>#N/A</v>
      </c>
      <c r="F73" s="113">
        <v>1</v>
      </c>
      <c r="G73" s="130">
        <v>13</v>
      </c>
      <c r="H73" s="143"/>
      <c r="I73" s="131">
        <f t="shared" si="2"/>
        <v>0</v>
      </c>
      <c r="J73"/>
      <c r="K73"/>
      <c r="L73"/>
      <c r="M73"/>
    </row>
    <row r="74" spans="1:13" ht="22.5" x14ac:dyDescent="0.2">
      <c r="A74" s="125" t="s">
        <v>419</v>
      </c>
      <c r="B74" s="126" t="s">
        <v>327</v>
      </c>
      <c r="C74" s="132">
        <v>298</v>
      </c>
      <c r="D74" s="128" t="s">
        <v>779</v>
      </c>
      <c r="E74" s="129" t="s">
        <v>529</v>
      </c>
      <c r="F74" s="113">
        <v>1</v>
      </c>
      <c r="G74" s="130">
        <v>4</v>
      </c>
      <c r="H74" s="143"/>
      <c r="I74" s="131">
        <f t="shared" si="2"/>
        <v>0</v>
      </c>
      <c r="J74"/>
      <c r="K74"/>
      <c r="L74"/>
      <c r="M74"/>
    </row>
    <row r="75" spans="1:13" ht="22.5" x14ac:dyDescent="0.2">
      <c r="A75" s="125" t="s">
        <v>419</v>
      </c>
      <c r="B75" s="126" t="s">
        <v>327</v>
      </c>
      <c r="C75" s="132">
        <v>20078</v>
      </c>
      <c r="D75" s="128" t="s">
        <v>871</v>
      </c>
      <c r="E75" s="129" t="s">
        <v>529</v>
      </c>
      <c r="F75" s="113">
        <v>0.03</v>
      </c>
      <c r="G75" s="130">
        <v>0.12</v>
      </c>
      <c r="H75" s="143"/>
      <c r="I75" s="131">
        <f t="shared" si="2"/>
        <v>0</v>
      </c>
      <c r="J75"/>
      <c r="K75"/>
      <c r="L75"/>
      <c r="M75"/>
    </row>
    <row r="76" spans="1:13" x14ac:dyDescent="0.2">
      <c r="A76" s="125" t="s">
        <v>419</v>
      </c>
      <c r="B76" s="126" t="s">
        <v>327</v>
      </c>
      <c r="C76" s="132">
        <v>20045</v>
      </c>
      <c r="D76" s="128" t="s">
        <v>879</v>
      </c>
      <c r="E76" s="129" t="s">
        <v>529</v>
      </c>
      <c r="F76" s="113">
        <v>1</v>
      </c>
      <c r="G76" s="130">
        <v>4</v>
      </c>
      <c r="H76" s="143"/>
      <c r="I76" s="131">
        <f t="shared" si="2"/>
        <v>0</v>
      </c>
      <c r="J76"/>
      <c r="K76"/>
      <c r="L76"/>
      <c r="M76"/>
    </row>
    <row r="77" spans="1:13" x14ac:dyDescent="0.2">
      <c r="A77" s="125" t="s">
        <v>420</v>
      </c>
      <c r="B77" s="126" t="s">
        <v>327</v>
      </c>
      <c r="C77" s="132">
        <v>122</v>
      </c>
      <c r="D77" s="128" t="s">
        <v>773</v>
      </c>
      <c r="E77" s="129" t="s">
        <v>529</v>
      </c>
      <c r="F77" s="113">
        <v>2.4E-2</v>
      </c>
      <c r="G77" s="130">
        <v>0.14400000000000002</v>
      </c>
      <c r="H77" s="143"/>
      <c r="I77" s="131">
        <f t="shared" si="2"/>
        <v>0</v>
      </c>
      <c r="J77"/>
      <c r="K77"/>
      <c r="L77"/>
      <c r="M77"/>
    </row>
    <row r="78" spans="1:13" x14ac:dyDescent="0.2">
      <c r="A78" s="125" t="s">
        <v>420</v>
      </c>
      <c r="B78" s="126" t="s">
        <v>327</v>
      </c>
      <c r="C78" s="132">
        <v>38383</v>
      </c>
      <c r="D78" s="128" t="s">
        <v>854</v>
      </c>
      <c r="E78" s="129" t="s">
        <v>529</v>
      </c>
      <c r="F78" s="113">
        <v>2.8000000000000001E-2</v>
      </c>
      <c r="G78" s="130">
        <v>0.16800000000000001</v>
      </c>
      <c r="H78" s="143"/>
      <c r="I78" s="131">
        <f t="shared" si="2"/>
        <v>0</v>
      </c>
      <c r="J78"/>
      <c r="K78"/>
      <c r="L78"/>
      <c r="M78"/>
    </row>
    <row r="79" spans="1:13" ht="22.5" x14ac:dyDescent="0.2">
      <c r="A79" s="125" t="s">
        <v>420</v>
      </c>
      <c r="B79" s="126" t="s">
        <v>327</v>
      </c>
      <c r="C79" s="132">
        <v>3850</v>
      </c>
      <c r="D79" s="128" t="s">
        <v>866</v>
      </c>
      <c r="E79" s="129" t="s">
        <v>529</v>
      </c>
      <c r="F79" s="113">
        <v>1</v>
      </c>
      <c r="G79" s="130">
        <v>6</v>
      </c>
      <c r="H79" s="143"/>
      <c r="I79" s="131">
        <f t="shared" si="2"/>
        <v>0</v>
      </c>
      <c r="J79"/>
      <c r="K79"/>
      <c r="L79"/>
      <c r="M79"/>
    </row>
    <row r="80" spans="1:13" x14ac:dyDescent="0.2">
      <c r="A80" s="125" t="s">
        <v>420</v>
      </c>
      <c r="B80" s="126" t="s">
        <v>327</v>
      </c>
      <c r="C80" s="132">
        <v>20083</v>
      </c>
      <c r="D80" s="128" t="s">
        <v>882</v>
      </c>
      <c r="E80" s="129" t="s">
        <v>529</v>
      </c>
      <c r="F80" s="113">
        <v>0.03</v>
      </c>
      <c r="G80" s="130">
        <v>0.18</v>
      </c>
      <c r="H80" s="143"/>
      <c r="I80" s="131">
        <f t="shared" si="2"/>
        <v>0</v>
      </c>
      <c r="J80"/>
      <c r="K80"/>
      <c r="L80"/>
      <c r="M80"/>
    </row>
    <row r="81" spans="1:13" x14ac:dyDescent="0.2">
      <c r="A81" s="125" t="s">
        <v>421</v>
      </c>
      <c r="B81" s="126" t="s">
        <v>327</v>
      </c>
      <c r="C81" s="132">
        <v>122</v>
      </c>
      <c r="D81" s="128" t="s">
        <v>773</v>
      </c>
      <c r="E81" s="129" t="s">
        <v>529</v>
      </c>
      <c r="F81" s="113">
        <v>1.7999999999999999E-2</v>
      </c>
      <c r="G81" s="130">
        <v>7.1999999999999995E-2</v>
      </c>
      <c r="H81" s="143"/>
      <c r="I81" s="131">
        <f t="shared" si="2"/>
        <v>0</v>
      </c>
      <c r="J81"/>
      <c r="K81"/>
      <c r="L81"/>
      <c r="M81"/>
    </row>
    <row r="82" spans="1:13" x14ac:dyDescent="0.2">
      <c r="A82" s="125" t="s">
        <v>421</v>
      </c>
      <c r="B82" s="126" t="s">
        <v>327</v>
      </c>
      <c r="C82" s="132">
        <v>38383</v>
      </c>
      <c r="D82" s="128" t="s">
        <v>854</v>
      </c>
      <c r="E82" s="129" t="s">
        <v>529</v>
      </c>
      <c r="F82" s="113">
        <v>2.4E-2</v>
      </c>
      <c r="G82" s="130">
        <v>9.6000000000000002E-2</v>
      </c>
      <c r="H82" s="143"/>
      <c r="I82" s="131">
        <f t="shared" si="2"/>
        <v>0</v>
      </c>
      <c r="J82"/>
      <c r="K82"/>
      <c r="L82"/>
      <c r="M82"/>
    </row>
    <row r="83" spans="1:13" x14ac:dyDescent="0.2">
      <c r="A83" s="125" t="s">
        <v>421</v>
      </c>
      <c r="B83" s="126" t="s">
        <v>327</v>
      </c>
      <c r="C83" s="132">
        <v>38023</v>
      </c>
      <c r="D83" s="128" t="s">
        <v>867</v>
      </c>
      <c r="E83" s="129" t="s">
        <v>529</v>
      </c>
      <c r="F83" s="113">
        <v>1</v>
      </c>
      <c r="G83" s="130">
        <v>4</v>
      </c>
      <c r="H83" s="143"/>
      <c r="I83" s="131">
        <f t="shared" si="2"/>
        <v>0</v>
      </c>
      <c r="J83"/>
      <c r="K83"/>
      <c r="L83"/>
      <c r="M83"/>
    </row>
    <row r="84" spans="1:13" x14ac:dyDescent="0.2">
      <c r="A84" s="125" t="s">
        <v>421</v>
      </c>
      <c r="B84" s="126" t="s">
        <v>327</v>
      </c>
      <c r="C84" s="132">
        <v>20083</v>
      </c>
      <c r="D84" s="128" t="s">
        <v>882</v>
      </c>
      <c r="E84" s="129" t="s">
        <v>529</v>
      </c>
      <c r="F84" s="113">
        <v>2.1999999999999999E-2</v>
      </c>
      <c r="G84" s="130">
        <v>8.7999999999999995E-2</v>
      </c>
      <c r="H84" s="143"/>
      <c r="I84" s="131">
        <f t="shared" si="2"/>
        <v>0</v>
      </c>
      <c r="J84"/>
      <c r="K84"/>
      <c r="L84"/>
      <c r="M84"/>
    </row>
    <row r="85" spans="1:13" x14ac:dyDescent="0.2">
      <c r="A85" s="125" t="s">
        <v>422</v>
      </c>
      <c r="B85" s="126" t="s">
        <v>327</v>
      </c>
      <c r="C85" s="132">
        <v>122</v>
      </c>
      <c r="D85" s="128" t="s">
        <v>773</v>
      </c>
      <c r="E85" s="129" t="s">
        <v>529</v>
      </c>
      <c r="F85" s="113">
        <v>1.2E-2</v>
      </c>
      <c r="G85" s="130">
        <v>0.12</v>
      </c>
      <c r="H85" s="143"/>
      <c r="I85" s="131">
        <f t="shared" si="2"/>
        <v>0</v>
      </c>
      <c r="J85"/>
      <c r="K85"/>
      <c r="L85"/>
      <c r="M85"/>
    </row>
    <row r="86" spans="1:13" ht="22.5" x14ac:dyDescent="0.2">
      <c r="A86" s="125" t="s">
        <v>422</v>
      </c>
      <c r="B86" s="126" t="s">
        <v>327</v>
      </c>
      <c r="C86" s="132">
        <v>3872</v>
      </c>
      <c r="D86" s="128" t="s">
        <v>865</v>
      </c>
      <c r="E86" s="129" t="s">
        <v>529</v>
      </c>
      <c r="F86" s="113">
        <v>1</v>
      </c>
      <c r="G86" s="130">
        <v>10</v>
      </c>
      <c r="H86" s="143"/>
      <c r="I86" s="131">
        <f t="shared" si="2"/>
        <v>0</v>
      </c>
      <c r="J86"/>
      <c r="K86"/>
      <c r="L86"/>
      <c r="M86"/>
    </row>
    <row r="87" spans="1:13" x14ac:dyDescent="0.2">
      <c r="A87" s="125" t="s">
        <v>422</v>
      </c>
      <c r="B87" s="126" t="s">
        <v>327</v>
      </c>
      <c r="C87" s="132">
        <v>38383</v>
      </c>
      <c r="D87" s="128" t="s">
        <v>854</v>
      </c>
      <c r="E87" s="129" t="s">
        <v>529</v>
      </c>
      <c r="F87" s="113">
        <v>0.02</v>
      </c>
      <c r="G87" s="130">
        <v>0.2</v>
      </c>
      <c r="H87" s="143"/>
      <c r="I87" s="131">
        <f t="shared" si="2"/>
        <v>0</v>
      </c>
      <c r="J87"/>
      <c r="K87"/>
      <c r="L87"/>
      <c r="M87"/>
    </row>
    <row r="88" spans="1:13" x14ac:dyDescent="0.2">
      <c r="A88" s="125" t="s">
        <v>422</v>
      </c>
      <c r="B88" s="126" t="s">
        <v>327</v>
      </c>
      <c r="C88" s="132">
        <v>20083</v>
      </c>
      <c r="D88" s="128" t="s">
        <v>882</v>
      </c>
      <c r="E88" s="129" t="s">
        <v>529</v>
      </c>
      <c r="F88" s="113">
        <v>1.4E-2</v>
      </c>
      <c r="G88" s="130">
        <v>0.14000000000000001</v>
      </c>
      <c r="H88" s="143"/>
      <c r="I88" s="131">
        <f t="shared" si="2"/>
        <v>0</v>
      </c>
      <c r="J88"/>
      <c r="K88"/>
      <c r="L88"/>
      <c r="M88"/>
    </row>
    <row r="89" spans="1:13" x14ac:dyDescent="0.2">
      <c r="A89" s="125" t="s">
        <v>423</v>
      </c>
      <c r="B89" s="126" t="s">
        <v>327</v>
      </c>
      <c r="C89" s="132">
        <v>122</v>
      </c>
      <c r="D89" s="128" t="s">
        <v>773</v>
      </c>
      <c r="E89" s="129" t="s">
        <v>529</v>
      </c>
      <c r="F89" s="113">
        <v>7.0000000000000001E-3</v>
      </c>
      <c r="G89" s="130">
        <v>0.126</v>
      </c>
      <c r="H89" s="143"/>
      <c r="I89" s="131">
        <f t="shared" si="2"/>
        <v>0</v>
      </c>
      <c r="J89"/>
      <c r="K89"/>
      <c r="L89"/>
      <c r="M89"/>
    </row>
    <row r="90" spans="1:13" ht="22.5" x14ac:dyDescent="0.2">
      <c r="A90" s="125" t="s">
        <v>423</v>
      </c>
      <c r="B90" s="126" t="s">
        <v>327</v>
      </c>
      <c r="C90" s="132">
        <v>3869</v>
      </c>
      <c r="D90" s="128" t="s">
        <v>864</v>
      </c>
      <c r="E90" s="129" t="s">
        <v>529</v>
      </c>
      <c r="F90" s="113">
        <v>1</v>
      </c>
      <c r="G90" s="130">
        <v>18</v>
      </c>
      <c r="H90" s="143"/>
      <c r="I90" s="131">
        <f t="shared" si="2"/>
        <v>0</v>
      </c>
      <c r="J90"/>
      <c r="K90"/>
      <c r="L90"/>
      <c r="M90"/>
    </row>
    <row r="91" spans="1:13" x14ac:dyDescent="0.2">
      <c r="A91" s="125" t="s">
        <v>423</v>
      </c>
      <c r="B91" s="126" t="s">
        <v>327</v>
      </c>
      <c r="C91" s="132">
        <v>38383</v>
      </c>
      <c r="D91" s="128" t="s">
        <v>854</v>
      </c>
      <c r="E91" s="129" t="s">
        <v>529</v>
      </c>
      <c r="F91" s="113">
        <v>1.2999999999999999E-2</v>
      </c>
      <c r="G91" s="130">
        <v>0.23399999999999999</v>
      </c>
      <c r="H91" s="143"/>
      <c r="I91" s="131">
        <f t="shared" si="2"/>
        <v>0</v>
      </c>
      <c r="J91"/>
      <c r="K91"/>
      <c r="L91"/>
      <c r="M91"/>
    </row>
    <row r="92" spans="1:13" x14ac:dyDescent="0.2">
      <c r="A92" s="125" t="s">
        <v>423</v>
      </c>
      <c r="B92" s="126" t="s">
        <v>327</v>
      </c>
      <c r="C92" s="132">
        <v>20083</v>
      </c>
      <c r="D92" s="128" t="s">
        <v>882</v>
      </c>
      <c r="E92" s="129" t="s">
        <v>529</v>
      </c>
      <c r="F92" s="113">
        <v>8.0000000000000002E-3</v>
      </c>
      <c r="G92" s="130">
        <v>0.14400000000000002</v>
      </c>
      <c r="H92" s="143"/>
      <c r="I92" s="131">
        <f t="shared" si="2"/>
        <v>0</v>
      </c>
      <c r="J92"/>
      <c r="K92"/>
      <c r="L92"/>
      <c r="M92"/>
    </row>
    <row r="93" spans="1:13" ht="22.5" x14ac:dyDescent="0.2">
      <c r="A93" s="125" t="s">
        <v>424</v>
      </c>
      <c r="B93" s="126" t="s">
        <v>327</v>
      </c>
      <c r="C93" s="132">
        <v>97</v>
      </c>
      <c r="D93" s="128" t="s">
        <v>771</v>
      </c>
      <c r="E93" s="129" t="s">
        <v>529</v>
      </c>
      <c r="F93" s="113">
        <v>1</v>
      </c>
      <c r="G93" s="130">
        <v>4</v>
      </c>
      <c r="H93" s="143"/>
      <c r="I93" s="131">
        <f t="shared" si="2"/>
        <v>0</v>
      </c>
      <c r="J93"/>
      <c r="K93"/>
      <c r="L93"/>
      <c r="M93"/>
    </row>
    <row r="94" spans="1:13" x14ac:dyDescent="0.2">
      <c r="A94" s="125" t="s">
        <v>424</v>
      </c>
      <c r="B94" s="126" t="s">
        <v>327</v>
      </c>
      <c r="C94" s="132">
        <v>20080</v>
      </c>
      <c r="D94" s="128" t="s">
        <v>774</v>
      </c>
      <c r="E94" s="129" t="s">
        <v>529</v>
      </c>
      <c r="F94" s="113">
        <v>4.5999999999999999E-2</v>
      </c>
      <c r="G94" s="130">
        <v>0.184</v>
      </c>
      <c r="H94" s="143"/>
      <c r="I94" s="131">
        <f t="shared" si="2"/>
        <v>0</v>
      </c>
      <c r="J94"/>
      <c r="K94"/>
      <c r="L94"/>
      <c r="M94"/>
    </row>
    <row r="95" spans="1:13" x14ac:dyDescent="0.2">
      <c r="A95" s="125" t="s">
        <v>424</v>
      </c>
      <c r="B95" s="126" t="s">
        <v>327</v>
      </c>
      <c r="C95" s="132">
        <v>38383</v>
      </c>
      <c r="D95" s="128" t="s">
        <v>854</v>
      </c>
      <c r="E95" s="129" t="s">
        <v>529</v>
      </c>
      <c r="F95" s="113">
        <v>1.4E-2</v>
      </c>
      <c r="G95" s="130">
        <v>5.6000000000000001E-2</v>
      </c>
      <c r="H95" s="143"/>
      <c r="I95" s="131">
        <f t="shared" si="2"/>
        <v>0</v>
      </c>
      <c r="J95"/>
      <c r="K95"/>
      <c r="L95"/>
      <c r="M95"/>
    </row>
    <row r="96" spans="1:13" x14ac:dyDescent="0.2">
      <c r="A96" s="125" t="s">
        <v>424</v>
      </c>
      <c r="B96" s="126" t="s">
        <v>327</v>
      </c>
      <c r="C96" s="132">
        <v>20083</v>
      </c>
      <c r="D96" s="128" t="s">
        <v>882</v>
      </c>
      <c r="E96" s="129" t="s">
        <v>529</v>
      </c>
      <c r="F96" s="113">
        <v>1.0999999999999999E-2</v>
      </c>
      <c r="G96" s="130">
        <v>4.3999999999999997E-2</v>
      </c>
      <c r="H96" s="143"/>
      <c r="I96" s="131">
        <f t="shared" si="2"/>
        <v>0</v>
      </c>
      <c r="J96"/>
      <c r="K96"/>
      <c r="L96"/>
      <c r="M96"/>
    </row>
    <row r="97" spans="1:13" x14ac:dyDescent="0.2">
      <c r="A97" s="125" t="s">
        <v>425</v>
      </c>
      <c r="B97" s="126" t="s">
        <v>327</v>
      </c>
      <c r="C97" s="132">
        <v>20080</v>
      </c>
      <c r="D97" s="128" t="s">
        <v>774</v>
      </c>
      <c r="E97" s="129" t="s">
        <v>529</v>
      </c>
      <c r="F97" s="113">
        <v>4.5999999999999999E-2</v>
      </c>
      <c r="G97" s="130">
        <v>0.184</v>
      </c>
      <c r="H97" s="143"/>
      <c r="I97" s="131">
        <f t="shared" si="2"/>
        <v>0</v>
      </c>
      <c r="J97"/>
      <c r="K97"/>
      <c r="L97"/>
      <c r="M97"/>
    </row>
    <row r="98" spans="1:13" ht="22.5" x14ac:dyDescent="0.2">
      <c r="A98" s="125" t="s">
        <v>425</v>
      </c>
      <c r="B98" s="126" t="s">
        <v>327</v>
      </c>
      <c r="C98" s="132">
        <v>88</v>
      </c>
      <c r="D98" s="128" t="s">
        <v>772</v>
      </c>
      <c r="E98" s="129" t="s">
        <v>529</v>
      </c>
      <c r="F98" s="113">
        <v>1</v>
      </c>
      <c r="G98" s="130">
        <v>4</v>
      </c>
      <c r="H98" s="143"/>
      <c r="I98" s="131">
        <f t="shared" si="2"/>
        <v>0</v>
      </c>
      <c r="J98"/>
      <c r="K98"/>
      <c r="L98"/>
      <c r="M98"/>
    </row>
    <row r="99" spans="1:13" x14ac:dyDescent="0.2">
      <c r="A99" s="125" t="s">
        <v>425</v>
      </c>
      <c r="B99" s="126" t="s">
        <v>327</v>
      </c>
      <c r="C99" s="132">
        <v>38383</v>
      </c>
      <c r="D99" s="128" t="s">
        <v>854</v>
      </c>
      <c r="E99" s="129" t="s">
        <v>529</v>
      </c>
      <c r="F99" s="113">
        <v>2.3E-2</v>
      </c>
      <c r="G99" s="130">
        <v>9.1999999999999998E-2</v>
      </c>
      <c r="H99" s="143"/>
      <c r="I99" s="131">
        <f t="shared" si="2"/>
        <v>0</v>
      </c>
      <c r="J99"/>
      <c r="K99"/>
      <c r="L99"/>
      <c r="M99"/>
    </row>
    <row r="100" spans="1:13" x14ac:dyDescent="0.2">
      <c r="A100" s="125" t="s">
        <v>425</v>
      </c>
      <c r="B100" s="126" t="s">
        <v>327</v>
      </c>
      <c r="C100" s="132">
        <v>20083</v>
      </c>
      <c r="D100" s="128" t="s">
        <v>882</v>
      </c>
      <c r="E100" s="129" t="s">
        <v>529</v>
      </c>
      <c r="F100" s="113">
        <v>0.01</v>
      </c>
      <c r="G100" s="130">
        <v>0.04</v>
      </c>
      <c r="H100" s="143"/>
      <c r="I100" s="131">
        <f t="shared" si="2"/>
        <v>0</v>
      </c>
      <c r="J100"/>
      <c r="K100"/>
      <c r="L100"/>
      <c r="M100"/>
    </row>
    <row r="101" spans="1:13" x14ac:dyDescent="0.2">
      <c r="A101" s="125" t="s">
        <v>426</v>
      </c>
      <c r="B101" s="126" t="s">
        <v>327</v>
      </c>
      <c r="C101" s="132">
        <v>314</v>
      </c>
      <c r="D101" s="128" t="e">
        <v>#N/A</v>
      </c>
      <c r="E101" s="129" t="e">
        <v>#N/A</v>
      </c>
      <c r="F101" s="113">
        <v>3.1E-2</v>
      </c>
      <c r="G101" s="130">
        <v>0.248</v>
      </c>
      <c r="H101" s="143"/>
      <c r="I101" s="131">
        <f t="shared" si="2"/>
        <v>0</v>
      </c>
      <c r="J101"/>
      <c r="K101"/>
      <c r="L101"/>
      <c r="M101"/>
    </row>
    <row r="102" spans="1:13" ht="22.5" x14ac:dyDescent="0.2">
      <c r="A102" s="125" t="s">
        <v>426</v>
      </c>
      <c r="B102" s="126" t="s">
        <v>327</v>
      </c>
      <c r="C102" s="132">
        <v>7121</v>
      </c>
      <c r="D102" s="128" t="s">
        <v>887</v>
      </c>
      <c r="E102" s="129" t="s">
        <v>529</v>
      </c>
      <c r="F102" s="113">
        <v>1</v>
      </c>
      <c r="G102" s="130">
        <v>8</v>
      </c>
      <c r="H102" s="143"/>
      <c r="I102" s="131">
        <f t="shared" si="2"/>
        <v>0</v>
      </c>
      <c r="J102"/>
      <c r="K102"/>
      <c r="L102"/>
      <c r="M102"/>
    </row>
    <row r="103" spans="1:13" x14ac:dyDescent="0.2">
      <c r="A103" s="125" t="s">
        <v>427</v>
      </c>
      <c r="B103" s="126" t="s">
        <v>327</v>
      </c>
      <c r="C103" s="132">
        <v>3146</v>
      </c>
      <c r="D103" s="128" t="s">
        <v>820</v>
      </c>
      <c r="E103" s="129" t="s">
        <v>529</v>
      </c>
      <c r="F103" s="113">
        <v>3.9E-2</v>
      </c>
      <c r="G103" s="130">
        <v>0.23399999999999999</v>
      </c>
      <c r="H103" s="143"/>
      <c r="I103" s="131">
        <f t="shared" si="2"/>
        <v>0</v>
      </c>
      <c r="J103"/>
      <c r="K103"/>
      <c r="L103"/>
      <c r="M103"/>
    </row>
    <row r="104" spans="1:13" ht="22.5" x14ac:dyDescent="0.2">
      <c r="A104" s="125" t="s">
        <v>427</v>
      </c>
      <c r="B104" s="126" t="s">
        <v>327</v>
      </c>
      <c r="C104" s="132">
        <v>3524</v>
      </c>
      <c r="D104" s="128" t="s">
        <v>830</v>
      </c>
      <c r="E104" s="129" t="s">
        <v>529</v>
      </c>
      <c r="F104" s="113">
        <v>1</v>
      </c>
      <c r="G104" s="130">
        <v>6</v>
      </c>
      <c r="H104" s="143"/>
      <c r="I104" s="131">
        <f t="shared" si="2"/>
        <v>0</v>
      </c>
      <c r="J104"/>
      <c r="K104"/>
      <c r="L104"/>
      <c r="M104"/>
    </row>
    <row r="105" spans="1:13" x14ac:dyDescent="0.2">
      <c r="A105" s="125" t="s">
        <v>428</v>
      </c>
      <c r="B105" s="126" t="s">
        <v>327</v>
      </c>
      <c r="C105" s="132">
        <v>3146</v>
      </c>
      <c r="D105" s="128" t="s">
        <v>820</v>
      </c>
      <c r="E105" s="129" t="s">
        <v>529</v>
      </c>
      <c r="F105" s="113">
        <v>3.1E-2</v>
      </c>
      <c r="G105" s="130">
        <v>1.488</v>
      </c>
      <c r="H105" s="143"/>
      <c r="I105" s="131">
        <f t="shared" si="2"/>
        <v>0</v>
      </c>
      <c r="J105"/>
      <c r="K105"/>
      <c r="L105"/>
      <c r="M105"/>
    </row>
    <row r="106" spans="1:13" ht="22.5" x14ac:dyDescent="0.2">
      <c r="A106" s="125" t="s">
        <v>428</v>
      </c>
      <c r="B106" s="126" t="s">
        <v>327</v>
      </c>
      <c r="C106" s="132">
        <v>3515</v>
      </c>
      <c r="D106" s="128" t="s">
        <v>829</v>
      </c>
      <c r="E106" s="129" t="s">
        <v>529</v>
      </c>
      <c r="F106" s="113">
        <v>1</v>
      </c>
      <c r="G106" s="130">
        <v>48</v>
      </c>
      <c r="H106" s="143"/>
      <c r="I106" s="131">
        <f t="shared" si="2"/>
        <v>0</v>
      </c>
      <c r="J106"/>
      <c r="K106"/>
      <c r="L106"/>
      <c r="M106"/>
    </row>
    <row r="107" spans="1:13" x14ac:dyDescent="0.2">
      <c r="A107" s="125" t="s">
        <v>429</v>
      </c>
      <c r="B107" s="126" t="s">
        <v>327</v>
      </c>
      <c r="C107" s="132">
        <v>3146</v>
      </c>
      <c r="D107" s="128" t="s">
        <v>820</v>
      </c>
      <c r="E107" s="129" t="s">
        <v>529</v>
      </c>
      <c r="F107" s="113">
        <v>0.04</v>
      </c>
      <c r="G107" s="130">
        <v>0.92</v>
      </c>
      <c r="H107" s="143"/>
      <c r="I107" s="131">
        <f t="shared" si="2"/>
        <v>0</v>
      </c>
      <c r="J107"/>
      <c r="K107"/>
      <c r="L107"/>
      <c r="M107"/>
    </row>
    <row r="108" spans="1:13" ht="22.5" x14ac:dyDescent="0.2">
      <c r="A108" s="125" t="s">
        <v>429</v>
      </c>
      <c r="B108" s="126" t="s">
        <v>327</v>
      </c>
      <c r="C108" s="132">
        <v>3522</v>
      </c>
      <c r="D108" s="128" t="s">
        <v>826</v>
      </c>
      <c r="E108" s="129" t="s">
        <v>529</v>
      </c>
      <c r="F108" s="113">
        <v>1</v>
      </c>
      <c r="G108" s="130">
        <v>23</v>
      </c>
      <c r="H108" s="143"/>
      <c r="I108" s="131">
        <f t="shared" si="2"/>
        <v>0</v>
      </c>
      <c r="J108"/>
      <c r="K108"/>
      <c r="L108"/>
      <c r="M108"/>
    </row>
    <row r="109" spans="1:13" x14ac:dyDescent="0.2">
      <c r="A109" s="125" t="s">
        <v>430</v>
      </c>
      <c r="B109" s="126" t="s">
        <v>327</v>
      </c>
      <c r="C109" s="132">
        <v>122</v>
      </c>
      <c r="D109" s="128" t="s">
        <v>773</v>
      </c>
      <c r="E109" s="129" t="s">
        <v>529</v>
      </c>
      <c r="F109" s="113">
        <v>7.0000000000000001E-3</v>
      </c>
      <c r="G109" s="130">
        <v>7.6999999999999999E-2</v>
      </c>
      <c r="H109" s="143"/>
      <c r="I109" s="131">
        <f t="shared" si="2"/>
        <v>0</v>
      </c>
      <c r="J109"/>
      <c r="K109"/>
      <c r="L109"/>
      <c r="M109"/>
    </row>
    <row r="110" spans="1:13" x14ac:dyDescent="0.2">
      <c r="A110" s="125" t="s">
        <v>430</v>
      </c>
      <c r="B110" s="126" t="s">
        <v>327</v>
      </c>
      <c r="C110" s="132">
        <v>38383</v>
      </c>
      <c r="D110" s="128" t="s">
        <v>854</v>
      </c>
      <c r="E110" s="129" t="s">
        <v>529</v>
      </c>
      <c r="F110" s="113">
        <v>1.2999999999999999E-2</v>
      </c>
      <c r="G110" s="130">
        <v>0.14299999999999999</v>
      </c>
      <c r="H110" s="143"/>
      <c r="I110" s="131">
        <f t="shared" si="2"/>
        <v>0</v>
      </c>
      <c r="J110"/>
      <c r="K110"/>
      <c r="L110"/>
      <c r="M110"/>
    </row>
    <row r="111" spans="1:13" x14ac:dyDescent="0.2">
      <c r="A111" s="125" t="s">
        <v>430</v>
      </c>
      <c r="B111" s="126" t="s">
        <v>327</v>
      </c>
      <c r="C111" s="132">
        <v>3906</v>
      </c>
      <c r="D111" s="128" t="s">
        <v>869</v>
      </c>
      <c r="E111" s="129" t="s">
        <v>529</v>
      </c>
      <c r="F111" s="113">
        <v>1</v>
      </c>
      <c r="G111" s="130">
        <v>11</v>
      </c>
      <c r="H111" s="143"/>
      <c r="I111" s="131">
        <f t="shared" si="2"/>
        <v>0</v>
      </c>
      <c r="J111"/>
      <c r="K111"/>
      <c r="L111"/>
      <c r="M111"/>
    </row>
    <row r="112" spans="1:13" x14ac:dyDescent="0.2">
      <c r="A112" s="125" t="s">
        <v>430</v>
      </c>
      <c r="B112" s="126" t="s">
        <v>327</v>
      </c>
      <c r="C112" s="132">
        <v>20083</v>
      </c>
      <c r="D112" s="128" t="s">
        <v>882</v>
      </c>
      <c r="E112" s="129" t="s">
        <v>529</v>
      </c>
      <c r="F112" s="113">
        <v>8.0000000000000002E-3</v>
      </c>
      <c r="G112" s="130">
        <v>8.7999999999999995E-2</v>
      </c>
      <c r="H112" s="143"/>
      <c r="I112" s="131">
        <f t="shared" si="2"/>
        <v>0</v>
      </c>
      <c r="J112"/>
      <c r="K112"/>
      <c r="L112"/>
      <c r="M112"/>
    </row>
    <row r="113" spans="1:13" x14ac:dyDescent="0.2">
      <c r="A113" s="125" t="s">
        <v>431</v>
      </c>
      <c r="B113" s="126" t="s">
        <v>327</v>
      </c>
      <c r="C113" s="132">
        <v>7588</v>
      </c>
      <c r="D113" s="128" t="s">
        <v>780</v>
      </c>
      <c r="E113" s="129" t="s">
        <v>529</v>
      </c>
      <c r="F113" s="113">
        <v>1</v>
      </c>
      <c r="G113" s="130">
        <v>4</v>
      </c>
      <c r="H113" s="143"/>
      <c r="I113" s="131">
        <f t="shared" si="2"/>
        <v>0</v>
      </c>
      <c r="J113"/>
      <c r="K113"/>
      <c r="L113"/>
      <c r="M113"/>
    </row>
    <row r="114" spans="1:13" x14ac:dyDescent="0.2">
      <c r="A114" s="125" t="s">
        <v>432</v>
      </c>
      <c r="B114" s="126" t="s">
        <v>327</v>
      </c>
      <c r="C114" s="132">
        <v>38383</v>
      </c>
      <c r="D114" s="128" t="s">
        <v>854</v>
      </c>
      <c r="E114" s="129" t="s">
        <v>529</v>
      </c>
      <c r="F114" s="113">
        <v>3.2000000000000001E-2</v>
      </c>
      <c r="G114" s="130">
        <v>4.16</v>
      </c>
      <c r="H114" s="143"/>
      <c r="I114" s="131">
        <f t="shared" si="2"/>
        <v>0</v>
      </c>
      <c r="J114"/>
      <c r="K114"/>
      <c r="L114"/>
      <c r="M114"/>
    </row>
    <row r="115" spans="1:13" x14ac:dyDescent="0.2">
      <c r="A115" s="125" t="s">
        <v>432</v>
      </c>
      <c r="B115" s="126" t="s">
        <v>327</v>
      </c>
      <c r="C115" s="132">
        <v>9867</v>
      </c>
      <c r="D115" s="128" t="s">
        <v>917</v>
      </c>
      <c r="E115" s="129" t="s">
        <v>770</v>
      </c>
      <c r="F115" s="113">
        <v>1.0609999999999999</v>
      </c>
      <c r="G115" s="130">
        <v>137.93</v>
      </c>
      <c r="H115" s="143"/>
      <c r="I115" s="131">
        <f t="shared" si="2"/>
        <v>0</v>
      </c>
      <c r="J115"/>
      <c r="K115"/>
      <c r="L115"/>
      <c r="M115"/>
    </row>
    <row r="116" spans="1:13" x14ac:dyDescent="0.2">
      <c r="A116" s="125" t="s">
        <v>433</v>
      </c>
      <c r="B116" s="126" t="s">
        <v>327</v>
      </c>
      <c r="C116" s="132">
        <v>38383</v>
      </c>
      <c r="D116" s="128" t="s">
        <v>854</v>
      </c>
      <c r="E116" s="129" t="s">
        <v>529</v>
      </c>
      <c r="F116" s="113">
        <v>3.7999999999999999E-2</v>
      </c>
      <c r="G116" s="130">
        <v>10.906000000000001</v>
      </c>
      <c r="H116" s="143"/>
      <c r="I116" s="131">
        <f t="shared" si="2"/>
        <v>0</v>
      </c>
      <c r="J116"/>
      <c r="K116"/>
      <c r="L116"/>
      <c r="M116"/>
    </row>
    <row r="117" spans="1:13" x14ac:dyDescent="0.2">
      <c r="A117" s="125" t="s">
        <v>433</v>
      </c>
      <c r="B117" s="126" t="s">
        <v>327</v>
      </c>
      <c r="C117" s="132">
        <v>9868</v>
      </c>
      <c r="D117" s="128" t="s">
        <v>918</v>
      </c>
      <c r="E117" s="129" t="s">
        <v>770</v>
      </c>
      <c r="F117" s="113">
        <v>1.0609999999999999</v>
      </c>
      <c r="G117" s="130">
        <v>304.50700000000001</v>
      </c>
      <c r="H117" s="143"/>
      <c r="I117" s="131">
        <f t="shared" si="2"/>
        <v>0</v>
      </c>
      <c r="J117"/>
      <c r="K117"/>
      <c r="L117"/>
      <c r="M117"/>
    </row>
    <row r="118" spans="1:13" x14ac:dyDescent="0.2">
      <c r="A118" s="125" t="s">
        <v>434</v>
      </c>
      <c r="B118" s="126" t="s">
        <v>327</v>
      </c>
      <c r="C118" s="132">
        <v>38383</v>
      </c>
      <c r="D118" s="128" t="s">
        <v>854</v>
      </c>
      <c r="E118" s="129" t="s">
        <v>529</v>
      </c>
      <c r="F118" s="113">
        <v>4.4999999999999998E-2</v>
      </c>
      <c r="G118" s="130">
        <v>0.495</v>
      </c>
      <c r="H118" s="143"/>
      <c r="I118" s="131">
        <f t="shared" si="2"/>
        <v>0</v>
      </c>
      <c r="J118"/>
      <c r="K118"/>
      <c r="L118"/>
      <c r="M118"/>
    </row>
    <row r="119" spans="1:13" x14ac:dyDescent="0.2">
      <c r="A119" s="125" t="s">
        <v>434</v>
      </c>
      <c r="B119" s="126" t="s">
        <v>327</v>
      </c>
      <c r="C119" s="132">
        <v>9869</v>
      </c>
      <c r="D119" s="128" t="s">
        <v>919</v>
      </c>
      <c r="E119" s="129" t="s">
        <v>770</v>
      </c>
      <c r="F119" s="113">
        <v>1.0609999999999999</v>
      </c>
      <c r="G119" s="130">
        <v>11.670999999999999</v>
      </c>
      <c r="H119" s="143"/>
      <c r="I119" s="131">
        <f t="shared" si="2"/>
        <v>0</v>
      </c>
      <c r="J119"/>
      <c r="K119"/>
      <c r="L119"/>
      <c r="M119"/>
    </row>
    <row r="120" spans="1:13" x14ac:dyDescent="0.2">
      <c r="A120" s="125" t="s">
        <v>435</v>
      </c>
      <c r="B120" s="126" t="s">
        <v>327</v>
      </c>
      <c r="C120" s="132">
        <v>38383</v>
      </c>
      <c r="D120" s="128" t="s">
        <v>854</v>
      </c>
      <c r="E120" s="129" t="s">
        <v>529</v>
      </c>
      <c r="F120" s="113">
        <v>2.2000000000000002</v>
      </c>
      <c r="G120" s="130">
        <v>123.20000000000002</v>
      </c>
      <c r="H120" s="143"/>
      <c r="I120" s="131">
        <f t="shared" si="2"/>
        <v>0</v>
      </c>
      <c r="J120"/>
      <c r="K120"/>
      <c r="L120"/>
      <c r="M120"/>
    </row>
    <row r="121" spans="1:13" x14ac:dyDescent="0.2">
      <c r="A121" s="125" t="s">
        <v>435</v>
      </c>
      <c r="B121" s="126" t="s">
        <v>327</v>
      </c>
      <c r="C121" s="132">
        <v>9874</v>
      </c>
      <c r="D121" s="128" t="s">
        <v>920</v>
      </c>
      <c r="E121" s="129" t="s">
        <v>770</v>
      </c>
      <c r="F121" s="113">
        <v>1.0609999999999999</v>
      </c>
      <c r="G121" s="130">
        <v>59.415999999999997</v>
      </c>
      <c r="H121" s="143"/>
      <c r="I121" s="131">
        <f t="shared" si="2"/>
        <v>0</v>
      </c>
      <c r="J121"/>
      <c r="K121"/>
      <c r="L121"/>
      <c r="M121"/>
    </row>
    <row r="122" spans="1:13" x14ac:dyDescent="0.2">
      <c r="A122" s="125" t="s">
        <v>436</v>
      </c>
      <c r="B122" s="126" t="s">
        <v>327</v>
      </c>
      <c r="C122" s="132">
        <v>38383</v>
      </c>
      <c r="D122" s="128" t="s">
        <v>854</v>
      </c>
      <c r="E122" s="129" t="s">
        <v>529</v>
      </c>
      <c r="F122" s="113">
        <v>1.0999999999999999E-2</v>
      </c>
      <c r="G122" s="130">
        <v>0.51700000000000002</v>
      </c>
      <c r="H122" s="143"/>
      <c r="I122" s="131">
        <f t="shared" si="2"/>
        <v>0</v>
      </c>
      <c r="J122"/>
      <c r="K122"/>
      <c r="L122"/>
      <c r="M122"/>
    </row>
    <row r="123" spans="1:13" x14ac:dyDescent="0.2">
      <c r="A123" s="125" t="s">
        <v>436</v>
      </c>
      <c r="B123" s="126" t="s">
        <v>327</v>
      </c>
      <c r="C123" s="132">
        <v>9873</v>
      </c>
      <c r="D123" s="128" t="s">
        <v>921</v>
      </c>
      <c r="E123" s="129" t="s">
        <v>770</v>
      </c>
      <c r="F123" s="113">
        <v>1.0609999999999999</v>
      </c>
      <c r="G123" s="130">
        <v>49.866999999999997</v>
      </c>
      <c r="H123" s="143"/>
      <c r="I123" s="131">
        <f t="shared" si="2"/>
        <v>0</v>
      </c>
      <c r="J123"/>
      <c r="K123"/>
      <c r="L123"/>
      <c r="M123"/>
    </row>
    <row r="124" spans="1:13" x14ac:dyDescent="0.2">
      <c r="A124" s="125" t="s">
        <v>437</v>
      </c>
      <c r="B124" s="126" t="s">
        <v>327</v>
      </c>
      <c r="C124" s="132">
        <v>38383</v>
      </c>
      <c r="D124" s="128" t="s">
        <v>854</v>
      </c>
      <c r="E124" s="129" t="s">
        <v>529</v>
      </c>
      <c r="F124" s="113">
        <v>1.6E-2</v>
      </c>
      <c r="G124" s="130">
        <v>0.16</v>
      </c>
      <c r="H124" s="143"/>
      <c r="I124" s="131">
        <f t="shared" si="2"/>
        <v>0</v>
      </c>
      <c r="J124"/>
      <c r="K124"/>
      <c r="L124"/>
      <c r="M124"/>
    </row>
    <row r="125" spans="1:13" x14ac:dyDescent="0.2">
      <c r="A125" s="125" t="s">
        <v>437</v>
      </c>
      <c r="B125" s="126" t="s">
        <v>327</v>
      </c>
      <c r="C125" s="132">
        <v>9872</v>
      </c>
      <c r="D125" s="128" t="s">
        <v>922</v>
      </c>
      <c r="E125" s="129" t="s">
        <v>770</v>
      </c>
      <c r="F125" s="113">
        <v>1.0609999999999999</v>
      </c>
      <c r="G125" s="130">
        <v>10.61</v>
      </c>
      <c r="H125" s="143"/>
      <c r="I125" s="131">
        <f t="shared" si="2"/>
        <v>0</v>
      </c>
      <c r="J125"/>
      <c r="K125"/>
      <c r="L125"/>
      <c r="M125"/>
    </row>
    <row r="126" spans="1:13" x14ac:dyDescent="0.2">
      <c r="A126" s="125" t="s">
        <v>438</v>
      </c>
      <c r="B126" s="126" t="s">
        <v>327</v>
      </c>
      <c r="C126" s="132">
        <v>122</v>
      </c>
      <c r="D126" s="128" t="s">
        <v>773</v>
      </c>
      <c r="E126" s="129" t="s">
        <v>529</v>
      </c>
      <c r="F126" s="113">
        <v>7.0000000000000001E-3</v>
      </c>
      <c r="G126" s="130">
        <v>2.8000000000000001E-2</v>
      </c>
      <c r="H126" s="143"/>
      <c r="I126" s="131">
        <f t="shared" si="2"/>
        <v>0</v>
      </c>
      <c r="J126"/>
      <c r="K126"/>
      <c r="L126"/>
      <c r="M126"/>
    </row>
    <row r="127" spans="1:13" x14ac:dyDescent="0.2">
      <c r="A127" s="125" t="s">
        <v>438</v>
      </c>
      <c r="B127" s="126" t="s">
        <v>327</v>
      </c>
      <c r="C127" s="132">
        <v>12909</v>
      </c>
      <c r="D127" s="128" t="s">
        <v>798</v>
      </c>
      <c r="E127" s="129" t="s">
        <v>529</v>
      </c>
      <c r="F127" s="113">
        <v>1</v>
      </c>
      <c r="G127" s="130">
        <v>4</v>
      </c>
      <c r="H127" s="143"/>
      <c r="I127" s="131">
        <f t="shared" si="2"/>
        <v>0</v>
      </c>
      <c r="J127"/>
      <c r="K127"/>
      <c r="L127"/>
      <c r="M127"/>
    </row>
    <row r="128" spans="1:13" x14ac:dyDescent="0.2">
      <c r="A128" s="125" t="s">
        <v>438</v>
      </c>
      <c r="B128" s="126" t="s">
        <v>327</v>
      </c>
      <c r="C128" s="132">
        <v>20083</v>
      </c>
      <c r="D128" s="128" t="s">
        <v>882</v>
      </c>
      <c r="E128" s="129" t="s">
        <v>529</v>
      </c>
      <c r="F128" s="113">
        <v>5.0000000000000001E-3</v>
      </c>
      <c r="G128" s="130">
        <v>0.02</v>
      </c>
      <c r="H128" s="143"/>
      <c r="I128" s="131">
        <f t="shared" si="2"/>
        <v>0</v>
      </c>
      <c r="J128"/>
      <c r="K128"/>
      <c r="L128"/>
      <c r="M128"/>
    </row>
    <row r="129" spans="1:13" x14ac:dyDescent="0.2">
      <c r="A129" s="125" t="s">
        <v>439</v>
      </c>
      <c r="B129" s="126" t="s">
        <v>327</v>
      </c>
      <c r="C129" s="132">
        <v>122</v>
      </c>
      <c r="D129" s="128" t="s">
        <v>773</v>
      </c>
      <c r="E129" s="129" t="s">
        <v>529</v>
      </c>
      <c r="F129" s="113">
        <v>1.2E-2</v>
      </c>
      <c r="G129" s="130">
        <v>2.4E-2</v>
      </c>
      <c r="H129" s="143"/>
      <c r="I129" s="131">
        <f t="shared" si="2"/>
        <v>0</v>
      </c>
      <c r="J129"/>
      <c r="K129"/>
      <c r="L129"/>
      <c r="M129"/>
    </row>
    <row r="130" spans="1:13" x14ac:dyDescent="0.2">
      <c r="A130" s="125" t="s">
        <v>439</v>
      </c>
      <c r="B130" s="126" t="s">
        <v>327</v>
      </c>
      <c r="C130" s="132">
        <v>12910</v>
      </c>
      <c r="D130" s="128" t="s">
        <v>799</v>
      </c>
      <c r="E130" s="129" t="s">
        <v>529</v>
      </c>
      <c r="F130" s="113">
        <v>1</v>
      </c>
      <c r="G130" s="130">
        <v>2</v>
      </c>
      <c r="H130" s="143"/>
      <c r="I130" s="131">
        <f t="shared" si="2"/>
        <v>0</v>
      </c>
      <c r="J130"/>
      <c r="K130"/>
      <c r="L130"/>
      <c r="M130"/>
    </row>
    <row r="131" spans="1:13" x14ac:dyDescent="0.2">
      <c r="A131" s="125" t="s">
        <v>439</v>
      </c>
      <c r="B131" s="126" t="s">
        <v>327</v>
      </c>
      <c r="C131" s="132">
        <v>20083</v>
      </c>
      <c r="D131" s="128" t="s">
        <v>882</v>
      </c>
      <c r="E131" s="129" t="s">
        <v>529</v>
      </c>
      <c r="F131" s="113">
        <v>0.01</v>
      </c>
      <c r="G131" s="130">
        <v>0.02</v>
      </c>
      <c r="H131" s="143"/>
      <c r="I131" s="131">
        <f t="shared" ref="I131:I194" si="3">IFERROR(H131*G131,"")</f>
        <v>0</v>
      </c>
      <c r="J131"/>
      <c r="K131"/>
      <c r="L131"/>
      <c r="M131"/>
    </row>
    <row r="132" spans="1:13" x14ac:dyDescent="0.2">
      <c r="A132" s="125" t="s">
        <v>440</v>
      </c>
      <c r="B132" s="126" t="s">
        <v>327</v>
      </c>
      <c r="C132" s="132">
        <v>301</v>
      </c>
      <c r="D132" s="128" t="s">
        <v>775</v>
      </c>
      <c r="E132" s="129" t="s">
        <v>529</v>
      </c>
      <c r="F132" s="113">
        <v>2</v>
      </c>
      <c r="G132" s="130">
        <v>12</v>
      </c>
      <c r="H132" s="143"/>
      <c r="I132" s="131">
        <f t="shared" si="3"/>
        <v>0</v>
      </c>
      <c r="J132"/>
      <c r="K132"/>
      <c r="L132"/>
      <c r="M132"/>
    </row>
    <row r="133" spans="1:13" ht="22.5" x14ac:dyDescent="0.2">
      <c r="A133" s="125" t="s">
        <v>440</v>
      </c>
      <c r="B133" s="126" t="s">
        <v>327</v>
      </c>
      <c r="C133" s="132">
        <v>20078</v>
      </c>
      <c r="D133" s="128" t="s">
        <v>871</v>
      </c>
      <c r="E133" s="129" t="s">
        <v>529</v>
      </c>
      <c r="F133" s="113">
        <v>9.1999999999999998E-2</v>
      </c>
      <c r="G133" s="130">
        <v>0.55200000000000005</v>
      </c>
      <c r="H133" s="143"/>
      <c r="I133" s="131">
        <f t="shared" si="3"/>
        <v>0</v>
      </c>
      <c r="J133"/>
      <c r="K133"/>
      <c r="L133"/>
      <c r="M133"/>
    </row>
    <row r="134" spans="1:13" ht="22.5" x14ac:dyDescent="0.2">
      <c r="A134" s="125" t="s">
        <v>440</v>
      </c>
      <c r="B134" s="126" t="s">
        <v>327</v>
      </c>
      <c r="C134" s="132">
        <v>7091</v>
      </c>
      <c r="D134" s="128" t="s">
        <v>888</v>
      </c>
      <c r="E134" s="129" t="s">
        <v>529</v>
      </c>
      <c r="F134" s="113">
        <v>1</v>
      </c>
      <c r="G134" s="130">
        <v>6</v>
      </c>
      <c r="H134" s="143"/>
      <c r="I134" s="131">
        <f t="shared" si="3"/>
        <v>0</v>
      </c>
      <c r="J134"/>
      <c r="K134"/>
      <c r="L134"/>
      <c r="M134"/>
    </row>
    <row r="135" spans="1:13" x14ac:dyDescent="0.2">
      <c r="A135" s="125" t="s">
        <v>441</v>
      </c>
      <c r="B135" s="126" t="s">
        <v>327</v>
      </c>
      <c r="C135" s="132">
        <v>301</v>
      </c>
      <c r="D135" s="128" t="s">
        <v>775</v>
      </c>
      <c r="E135" s="129" t="s">
        <v>529</v>
      </c>
      <c r="F135" s="113">
        <v>1</v>
      </c>
      <c r="G135" s="130">
        <v>9</v>
      </c>
      <c r="H135" s="143"/>
      <c r="I135" s="131">
        <f t="shared" si="3"/>
        <v>0</v>
      </c>
      <c r="J135"/>
      <c r="K135"/>
      <c r="L135"/>
      <c r="M135"/>
    </row>
    <row r="136" spans="1:13" ht="22.5" x14ac:dyDescent="0.2">
      <c r="A136" s="125" t="s">
        <v>441</v>
      </c>
      <c r="B136" s="126" t="s">
        <v>327</v>
      </c>
      <c r="C136" s="132">
        <v>298</v>
      </c>
      <c r="D136" s="128" t="s">
        <v>779</v>
      </c>
      <c r="E136" s="129" t="s">
        <v>529</v>
      </c>
      <c r="F136" s="113">
        <v>1</v>
      </c>
      <c r="G136" s="130">
        <v>9</v>
      </c>
      <c r="H136" s="143"/>
      <c r="I136" s="131">
        <f t="shared" si="3"/>
        <v>0</v>
      </c>
      <c r="J136"/>
      <c r="K136"/>
      <c r="L136"/>
      <c r="M136"/>
    </row>
    <row r="137" spans="1:13" ht="22.5" x14ac:dyDescent="0.2">
      <c r="A137" s="125" t="s">
        <v>441</v>
      </c>
      <c r="B137" s="126" t="s">
        <v>327</v>
      </c>
      <c r="C137" s="132">
        <v>20078</v>
      </c>
      <c r="D137" s="128" t="s">
        <v>871</v>
      </c>
      <c r="E137" s="129" t="s">
        <v>529</v>
      </c>
      <c r="F137" s="113">
        <v>9.1999999999999998E-2</v>
      </c>
      <c r="G137" s="130">
        <v>0.82799999999999996</v>
      </c>
      <c r="H137" s="143"/>
      <c r="I137" s="131">
        <f t="shared" si="3"/>
        <v>0</v>
      </c>
      <c r="J137"/>
      <c r="K137"/>
      <c r="L137"/>
      <c r="M137"/>
    </row>
    <row r="138" spans="1:13" x14ac:dyDescent="0.2">
      <c r="A138" s="125" t="s">
        <v>441</v>
      </c>
      <c r="B138" s="126" t="s">
        <v>327</v>
      </c>
      <c r="C138" s="132">
        <v>20178</v>
      </c>
      <c r="D138" s="128" t="s">
        <v>897</v>
      </c>
      <c r="E138" s="129" t="s">
        <v>529</v>
      </c>
      <c r="F138" s="113">
        <v>1</v>
      </c>
      <c r="G138" s="130">
        <v>9</v>
      </c>
      <c r="H138" s="143"/>
      <c r="I138" s="131">
        <f t="shared" si="3"/>
        <v>0</v>
      </c>
      <c r="J138"/>
      <c r="K138"/>
      <c r="L138"/>
      <c r="M138"/>
    </row>
    <row r="139" spans="1:13" x14ac:dyDescent="0.2">
      <c r="A139" s="125" t="s">
        <v>442</v>
      </c>
      <c r="B139" s="126" t="s">
        <v>327</v>
      </c>
      <c r="C139" s="132">
        <v>296</v>
      </c>
      <c r="D139" s="128" t="s">
        <v>776</v>
      </c>
      <c r="E139" s="129" t="s">
        <v>529</v>
      </c>
      <c r="F139" s="113">
        <v>2</v>
      </c>
      <c r="G139" s="130">
        <v>46</v>
      </c>
      <c r="H139" s="143"/>
      <c r="I139" s="131">
        <f t="shared" si="3"/>
        <v>0</v>
      </c>
      <c r="J139"/>
      <c r="K139"/>
      <c r="L139"/>
      <c r="M139"/>
    </row>
    <row r="140" spans="1:13" ht="22.5" x14ac:dyDescent="0.2">
      <c r="A140" s="125" t="s">
        <v>442</v>
      </c>
      <c r="B140" s="126" t="s">
        <v>327</v>
      </c>
      <c r="C140" s="132">
        <v>20078</v>
      </c>
      <c r="D140" s="128" t="s">
        <v>871</v>
      </c>
      <c r="E140" s="129" t="s">
        <v>529</v>
      </c>
      <c r="F140" s="113">
        <v>0.04</v>
      </c>
      <c r="G140" s="130">
        <v>0.92</v>
      </c>
      <c r="H140" s="143"/>
      <c r="I140" s="131">
        <f t="shared" si="3"/>
        <v>0</v>
      </c>
      <c r="J140"/>
      <c r="K140"/>
      <c r="L140"/>
      <c r="M140"/>
    </row>
    <row r="141" spans="1:13" x14ac:dyDescent="0.2">
      <c r="A141" s="125" t="s">
        <v>442</v>
      </c>
      <c r="B141" s="126" t="s">
        <v>327</v>
      </c>
      <c r="C141" s="132">
        <v>7097</v>
      </c>
      <c r="D141" s="128" t="s">
        <v>889</v>
      </c>
      <c r="E141" s="129" t="s">
        <v>529</v>
      </c>
      <c r="F141" s="113">
        <v>1</v>
      </c>
      <c r="G141" s="130">
        <v>23</v>
      </c>
      <c r="H141" s="143"/>
      <c r="I141" s="131">
        <f t="shared" si="3"/>
        <v>0</v>
      </c>
      <c r="J141"/>
      <c r="K141"/>
      <c r="L141"/>
      <c r="M141"/>
    </row>
    <row r="142" spans="1:13" x14ac:dyDescent="0.2">
      <c r="A142" s="125" t="s">
        <v>443</v>
      </c>
      <c r="B142" s="126" t="s">
        <v>327</v>
      </c>
      <c r="C142" s="132">
        <v>297</v>
      </c>
      <c r="D142" s="128" t="s">
        <v>777</v>
      </c>
      <c r="E142" s="129" t="s">
        <v>529</v>
      </c>
      <c r="F142" s="113">
        <v>2</v>
      </c>
      <c r="G142" s="130">
        <v>4</v>
      </c>
      <c r="H142" s="143"/>
      <c r="I142" s="131">
        <f t="shared" si="3"/>
        <v>0</v>
      </c>
      <c r="J142"/>
      <c r="K142"/>
      <c r="L142"/>
      <c r="M142"/>
    </row>
    <row r="143" spans="1:13" ht="22.5" x14ac:dyDescent="0.2">
      <c r="A143" s="125" t="s">
        <v>443</v>
      </c>
      <c r="B143" s="126" t="s">
        <v>327</v>
      </c>
      <c r="C143" s="132">
        <v>20078</v>
      </c>
      <c r="D143" s="128" t="s">
        <v>871</v>
      </c>
      <c r="E143" s="129" t="s">
        <v>529</v>
      </c>
      <c r="F143" s="113">
        <v>0.06</v>
      </c>
      <c r="G143" s="130">
        <v>0.12</v>
      </c>
      <c r="H143" s="143"/>
      <c r="I143" s="131">
        <f t="shared" si="3"/>
        <v>0</v>
      </c>
      <c r="J143"/>
      <c r="K143"/>
      <c r="L143"/>
      <c r="M143"/>
    </row>
    <row r="144" spans="1:13" x14ac:dyDescent="0.2">
      <c r="A144" s="125" t="s">
        <v>443</v>
      </c>
      <c r="B144" s="126" t="s">
        <v>327</v>
      </c>
      <c r="C144" s="132">
        <v>11658</v>
      </c>
      <c r="D144" s="128" t="s">
        <v>890</v>
      </c>
      <c r="E144" s="129" t="s">
        <v>529</v>
      </c>
      <c r="F144" s="113">
        <v>1</v>
      </c>
      <c r="G144" s="130">
        <v>2</v>
      </c>
      <c r="H144" s="143"/>
      <c r="I144" s="131">
        <f t="shared" si="3"/>
        <v>0</v>
      </c>
      <c r="J144"/>
      <c r="K144"/>
      <c r="L144"/>
      <c r="M144"/>
    </row>
    <row r="145" spans="1:13" x14ac:dyDescent="0.2">
      <c r="A145" s="125" t="s">
        <v>444</v>
      </c>
      <c r="B145" s="126" t="s">
        <v>327</v>
      </c>
      <c r="C145" s="132">
        <v>301</v>
      </c>
      <c r="D145" s="128" t="s">
        <v>775</v>
      </c>
      <c r="E145" s="129" t="s">
        <v>529</v>
      </c>
      <c r="F145" s="113">
        <v>1</v>
      </c>
      <c r="G145" s="130">
        <v>30</v>
      </c>
      <c r="H145" s="143"/>
      <c r="I145" s="131">
        <f t="shared" si="3"/>
        <v>0</v>
      </c>
      <c r="J145"/>
      <c r="K145"/>
      <c r="L145"/>
      <c r="M145"/>
    </row>
    <row r="146" spans="1:13" x14ac:dyDescent="0.2">
      <c r="A146" s="125" t="s">
        <v>444</v>
      </c>
      <c r="B146" s="126" t="s">
        <v>327</v>
      </c>
      <c r="C146" s="132">
        <v>3520</v>
      </c>
      <c r="D146" s="128" t="s">
        <v>833</v>
      </c>
      <c r="E146" s="129" t="s">
        <v>529</v>
      </c>
      <c r="F146" s="113">
        <v>1</v>
      </c>
      <c r="G146" s="130">
        <v>30</v>
      </c>
      <c r="H146" s="143"/>
      <c r="I146" s="131">
        <f t="shared" si="3"/>
        <v>0</v>
      </c>
      <c r="J146"/>
      <c r="K146"/>
      <c r="L146"/>
      <c r="M146"/>
    </row>
    <row r="147" spans="1:13" ht="22.5" x14ac:dyDescent="0.2">
      <c r="A147" s="125" t="s">
        <v>444</v>
      </c>
      <c r="B147" s="126" t="s">
        <v>327</v>
      </c>
      <c r="C147" s="132">
        <v>20078</v>
      </c>
      <c r="D147" s="128" t="s">
        <v>871</v>
      </c>
      <c r="E147" s="129" t="s">
        <v>529</v>
      </c>
      <c r="F147" s="113">
        <v>4.5999999999999999E-2</v>
      </c>
      <c r="G147" s="130">
        <v>1.38</v>
      </c>
      <c r="H147" s="143"/>
      <c r="I147" s="131">
        <f t="shared" si="3"/>
        <v>0</v>
      </c>
      <c r="J147"/>
      <c r="K147"/>
      <c r="L147"/>
      <c r="M147"/>
    </row>
    <row r="148" spans="1:13" x14ac:dyDescent="0.2">
      <c r="A148" s="125" t="s">
        <v>445</v>
      </c>
      <c r="B148" s="126" t="s">
        <v>327</v>
      </c>
      <c r="C148" s="132">
        <v>301</v>
      </c>
      <c r="D148" s="128" t="s">
        <v>775</v>
      </c>
      <c r="E148" s="129" t="s">
        <v>529</v>
      </c>
      <c r="F148" s="113">
        <v>1</v>
      </c>
      <c r="G148" s="130">
        <v>16</v>
      </c>
      <c r="H148" s="143"/>
      <c r="I148" s="131">
        <f t="shared" si="3"/>
        <v>0</v>
      </c>
      <c r="J148"/>
      <c r="K148"/>
      <c r="L148"/>
      <c r="M148"/>
    </row>
    <row r="149" spans="1:13" x14ac:dyDescent="0.2">
      <c r="A149" s="125" t="s">
        <v>445</v>
      </c>
      <c r="B149" s="126" t="s">
        <v>327</v>
      </c>
      <c r="C149" s="132">
        <v>3528</v>
      </c>
      <c r="D149" s="128" t="s">
        <v>831</v>
      </c>
      <c r="E149" s="129" t="s">
        <v>529</v>
      </c>
      <c r="F149" s="113">
        <v>1</v>
      </c>
      <c r="G149" s="130">
        <v>16</v>
      </c>
      <c r="H149" s="143"/>
      <c r="I149" s="131">
        <f t="shared" si="3"/>
        <v>0</v>
      </c>
      <c r="J149"/>
      <c r="K149"/>
      <c r="L149"/>
      <c r="M149"/>
    </row>
    <row r="150" spans="1:13" ht="22.5" x14ac:dyDescent="0.2">
      <c r="A150" s="125" t="s">
        <v>445</v>
      </c>
      <c r="B150" s="126" t="s">
        <v>327</v>
      </c>
      <c r="C150" s="132">
        <v>20078</v>
      </c>
      <c r="D150" s="128" t="s">
        <v>871</v>
      </c>
      <c r="E150" s="129" t="s">
        <v>529</v>
      </c>
      <c r="F150" s="113">
        <v>4.5999999999999999E-2</v>
      </c>
      <c r="G150" s="130">
        <v>0.73599999999999999</v>
      </c>
      <c r="H150" s="143"/>
      <c r="I150" s="131">
        <f t="shared" si="3"/>
        <v>0</v>
      </c>
      <c r="J150"/>
      <c r="K150"/>
      <c r="L150"/>
      <c r="M150"/>
    </row>
    <row r="151" spans="1:13" x14ac:dyDescent="0.2">
      <c r="A151" s="125" t="s">
        <v>446</v>
      </c>
      <c r="B151" s="126" t="s">
        <v>327</v>
      </c>
      <c r="C151" s="132">
        <v>122</v>
      </c>
      <c r="D151" s="128" t="s">
        <v>773</v>
      </c>
      <c r="E151" s="129" t="s">
        <v>529</v>
      </c>
      <c r="F151" s="113">
        <v>9.9000000000000008E-3</v>
      </c>
      <c r="G151" s="130">
        <v>0.52470000000000006</v>
      </c>
      <c r="H151" s="143"/>
      <c r="I151" s="131">
        <f t="shared" si="3"/>
        <v>0</v>
      </c>
      <c r="J151"/>
      <c r="K151"/>
      <c r="L151"/>
      <c r="M151"/>
    </row>
    <row r="152" spans="1:13" ht="22.5" x14ac:dyDescent="0.2">
      <c r="A152" s="125" t="s">
        <v>446</v>
      </c>
      <c r="B152" s="126" t="s">
        <v>327</v>
      </c>
      <c r="C152" s="132">
        <v>3517</v>
      </c>
      <c r="D152" s="128" t="s">
        <v>828</v>
      </c>
      <c r="E152" s="129" t="s">
        <v>529</v>
      </c>
      <c r="F152" s="113">
        <v>1</v>
      </c>
      <c r="G152" s="130">
        <v>53</v>
      </c>
      <c r="H152" s="143"/>
      <c r="I152" s="131">
        <f t="shared" si="3"/>
        <v>0</v>
      </c>
      <c r="J152"/>
      <c r="K152"/>
      <c r="L152"/>
      <c r="M152"/>
    </row>
    <row r="153" spans="1:13" x14ac:dyDescent="0.2">
      <c r="A153" s="125" t="s">
        <v>446</v>
      </c>
      <c r="B153" s="126" t="s">
        <v>327</v>
      </c>
      <c r="C153" s="132">
        <v>38383</v>
      </c>
      <c r="D153" s="128" t="s">
        <v>854</v>
      </c>
      <c r="E153" s="129" t="s">
        <v>529</v>
      </c>
      <c r="F153" s="113">
        <v>2.1000000000000001E-2</v>
      </c>
      <c r="G153" s="130">
        <v>1.113</v>
      </c>
      <c r="H153" s="143"/>
      <c r="I153" s="131">
        <f t="shared" si="3"/>
        <v>0</v>
      </c>
      <c r="J153"/>
      <c r="K153"/>
      <c r="L153"/>
      <c r="M153"/>
    </row>
    <row r="154" spans="1:13" x14ac:dyDescent="0.2">
      <c r="A154" s="125" t="s">
        <v>446</v>
      </c>
      <c r="B154" s="126" t="s">
        <v>327</v>
      </c>
      <c r="C154" s="132">
        <v>20083</v>
      </c>
      <c r="D154" s="128" t="s">
        <v>882</v>
      </c>
      <c r="E154" s="129" t="s">
        <v>529</v>
      </c>
      <c r="F154" s="113">
        <v>1.4999999999999999E-2</v>
      </c>
      <c r="G154" s="130">
        <v>0.79499999999999993</v>
      </c>
      <c r="H154" s="143"/>
      <c r="I154" s="131">
        <f t="shared" si="3"/>
        <v>0</v>
      </c>
      <c r="J154"/>
      <c r="K154"/>
      <c r="L154"/>
      <c r="M154"/>
    </row>
    <row r="155" spans="1:13" x14ac:dyDescent="0.2">
      <c r="A155" s="125" t="s">
        <v>447</v>
      </c>
      <c r="B155" s="126" t="s">
        <v>327</v>
      </c>
      <c r="C155" s="132">
        <v>296</v>
      </c>
      <c r="D155" s="128" t="s">
        <v>776</v>
      </c>
      <c r="E155" s="129" t="s">
        <v>529</v>
      </c>
      <c r="F155" s="113">
        <v>1</v>
      </c>
      <c r="G155" s="130">
        <v>50</v>
      </c>
      <c r="H155" s="143"/>
      <c r="I155" s="131">
        <f t="shared" si="3"/>
        <v>0</v>
      </c>
      <c r="J155"/>
      <c r="K155"/>
      <c r="L155"/>
      <c r="M155"/>
    </row>
    <row r="156" spans="1:13" x14ac:dyDescent="0.2">
      <c r="A156" s="125" t="s">
        <v>447</v>
      </c>
      <c r="B156" s="126" t="s">
        <v>327</v>
      </c>
      <c r="C156" s="132">
        <v>3526</v>
      </c>
      <c r="D156" s="128" t="s">
        <v>834</v>
      </c>
      <c r="E156" s="129" t="s">
        <v>529</v>
      </c>
      <c r="F156" s="113">
        <v>1</v>
      </c>
      <c r="G156" s="130">
        <v>50</v>
      </c>
      <c r="H156" s="143"/>
      <c r="I156" s="131">
        <f t="shared" si="3"/>
        <v>0</v>
      </c>
      <c r="J156"/>
      <c r="K156"/>
      <c r="L156"/>
      <c r="M156"/>
    </row>
    <row r="157" spans="1:13" ht="22.5" x14ac:dyDescent="0.2">
      <c r="A157" s="125" t="s">
        <v>447</v>
      </c>
      <c r="B157" s="126" t="s">
        <v>327</v>
      </c>
      <c r="C157" s="132">
        <v>20078</v>
      </c>
      <c r="D157" s="128" t="s">
        <v>871</v>
      </c>
      <c r="E157" s="129" t="s">
        <v>529</v>
      </c>
      <c r="F157" s="113">
        <v>0.02</v>
      </c>
      <c r="G157" s="130">
        <v>1</v>
      </c>
      <c r="H157" s="143"/>
      <c r="I157" s="131">
        <f t="shared" si="3"/>
        <v>0</v>
      </c>
      <c r="J157"/>
      <c r="K157"/>
      <c r="L157"/>
      <c r="M157"/>
    </row>
    <row r="158" spans="1:13" x14ac:dyDescent="0.2">
      <c r="A158" s="125" t="s">
        <v>448</v>
      </c>
      <c r="B158" s="126" t="s">
        <v>327</v>
      </c>
      <c r="C158" s="132">
        <v>297</v>
      </c>
      <c r="D158" s="128" t="s">
        <v>777</v>
      </c>
      <c r="E158" s="129" t="s">
        <v>529</v>
      </c>
      <c r="F158" s="113">
        <v>1</v>
      </c>
      <c r="G158" s="130">
        <v>4</v>
      </c>
      <c r="H158" s="143"/>
      <c r="I158" s="131">
        <f t="shared" si="3"/>
        <v>0</v>
      </c>
      <c r="J158"/>
      <c r="K158"/>
      <c r="L158"/>
      <c r="M158"/>
    </row>
    <row r="159" spans="1:13" x14ac:dyDescent="0.2">
      <c r="A159" s="125" t="s">
        <v>448</v>
      </c>
      <c r="B159" s="126" t="s">
        <v>327</v>
      </c>
      <c r="C159" s="132">
        <v>3509</v>
      </c>
      <c r="D159" s="128" t="s">
        <v>835</v>
      </c>
      <c r="E159" s="129" t="s">
        <v>529</v>
      </c>
      <c r="F159" s="113">
        <v>1</v>
      </c>
      <c r="G159" s="130">
        <v>4</v>
      </c>
      <c r="H159" s="143"/>
      <c r="I159" s="131">
        <f t="shared" si="3"/>
        <v>0</v>
      </c>
      <c r="J159"/>
      <c r="K159"/>
      <c r="L159"/>
      <c r="M159"/>
    </row>
    <row r="160" spans="1:13" ht="22.5" x14ac:dyDescent="0.2">
      <c r="A160" s="125" t="s">
        <v>448</v>
      </c>
      <c r="B160" s="126" t="s">
        <v>327</v>
      </c>
      <c r="C160" s="132">
        <v>20078</v>
      </c>
      <c r="D160" s="128" t="s">
        <v>871</v>
      </c>
      <c r="E160" s="129" t="s">
        <v>529</v>
      </c>
      <c r="F160" s="113">
        <v>0.03</v>
      </c>
      <c r="G160" s="130">
        <v>0.12</v>
      </c>
      <c r="H160" s="143"/>
      <c r="I160" s="131">
        <f t="shared" si="3"/>
        <v>0</v>
      </c>
      <c r="J160"/>
      <c r="K160"/>
      <c r="L160"/>
      <c r="M160"/>
    </row>
    <row r="161" spans="1:13" x14ac:dyDescent="0.2">
      <c r="A161" s="125" t="s">
        <v>449</v>
      </c>
      <c r="B161" s="126" t="s">
        <v>327</v>
      </c>
      <c r="C161" s="132">
        <v>122</v>
      </c>
      <c r="D161" s="128" t="s">
        <v>773</v>
      </c>
      <c r="E161" s="129" t="s">
        <v>529</v>
      </c>
      <c r="F161" s="113">
        <v>9.9000000000000008E-3</v>
      </c>
      <c r="G161" s="130">
        <v>0.12870000000000001</v>
      </c>
      <c r="H161" s="143"/>
      <c r="I161" s="131">
        <f t="shared" si="3"/>
        <v>0</v>
      </c>
      <c r="J161"/>
      <c r="K161"/>
      <c r="L161"/>
      <c r="M161"/>
    </row>
    <row r="162" spans="1:13" x14ac:dyDescent="0.2">
      <c r="A162" s="125" t="s">
        <v>449</v>
      </c>
      <c r="B162" s="126" t="s">
        <v>327</v>
      </c>
      <c r="C162" s="132">
        <v>3516</v>
      </c>
      <c r="D162" s="128" t="s">
        <v>827</v>
      </c>
      <c r="E162" s="129" t="s">
        <v>529</v>
      </c>
      <c r="F162" s="113">
        <v>1</v>
      </c>
      <c r="G162" s="130">
        <v>13</v>
      </c>
      <c r="H162" s="143"/>
      <c r="I162" s="131">
        <f t="shared" si="3"/>
        <v>0</v>
      </c>
      <c r="J162"/>
      <c r="K162"/>
      <c r="L162"/>
      <c r="M162"/>
    </row>
    <row r="163" spans="1:13" x14ac:dyDescent="0.2">
      <c r="A163" s="125" t="s">
        <v>449</v>
      </c>
      <c r="B163" s="126" t="s">
        <v>327</v>
      </c>
      <c r="C163" s="132">
        <v>38383</v>
      </c>
      <c r="D163" s="128" t="s">
        <v>854</v>
      </c>
      <c r="E163" s="129" t="s">
        <v>529</v>
      </c>
      <c r="F163" s="113">
        <v>2.1000000000000001E-2</v>
      </c>
      <c r="G163" s="130">
        <v>0.27300000000000002</v>
      </c>
      <c r="H163" s="143"/>
      <c r="I163" s="131">
        <f t="shared" si="3"/>
        <v>0</v>
      </c>
      <c r="J163"/>
      <c r="K163"/>
      <c r="L163"/>
      <c r="M163"/>
    </row>
    <row r="164" spans="1:13" x14ac:dyDescent="0.2">
      <c r="A164" s="125" t="s">
        <v>449</v>
      </c>
      <c r="B164" s="126" t="s">
        <v>327</v>
      </c>
      <c r="C164" s="132">
        <v>20083</v>
      </c>
      <c r="D164" s="128" t="s">
        <v>882</v>
      </c>
      <c r="E164" s="129" t="s">
        <v>529</v>
      </c>
      <c r="F164" s="113">
        <v>1.4999999999999999E-2</v>
      </c>
      <c r="G164" s="130">
        <v>0.19500000000000001</v>
      </c>
      <c r="H164" s="143"/>
      <c r="I164" s="131">
        <f t="shared" si="3"/>
        <v>0</v>
      </c>
      <c r="J164"/>
      <c r="K164"/>
      <c r="L164"/>
      <c r="M164"/>
    </row>
    <row r="165" spans="1:13" x14ac:dyDescent="0.2">
      <c r="A165" s="125" t="s">
        <v>450</v>
      </c>
      <c r="B165" s="126" t="s">
        <v>327</v>
      </c>
      <c r="C165" s="132">
        <v>296</v>
      </c>
      <c r="D165" s="128" t="s">
        <v>776</v>
      </c>
      <c r="E165" s="129" t="s">
        <v>529</v>
      </c>
      <c r="F165" s="113">
        <v>1</v>
      </c>
      <c r="G165" s="130">
        <v>27</v>
      </c>
      <c r="H165" s="143"/>
      <c r="I165" s="131">
        <f t="shared" si="3"/>
        <v>0</v>
      </c>
      <c r="J165"/>
      <c r="K165"/>
      <c r="L165"/>
      <c r="M165"/>
    </row>
    <row r="166" spans="1:13" x14ac:dyDescent="0.2">
      <c r="A166" s="125" t="s">
        <v>450</v>
      </c>
      <c r="B166" s="126" t="s">
        <v>327</v>
      </c>
      <c r="C166" s="132">
        <v>3518</v>
      </c>
      <c r="D166" s="128" t="s">
        <v>832</v>
      </c>
      <c r="E166" s="129" t="s">
        <v>529</v>
      </c>
      <c r="F166" s="113">
        <v>1</v>
      </c>
      <c r="G166" s="130">
        <v>27</v>
      </c>
      <c r="H166" s="143"/>
      <c r="I166" s="131">
        <f t="shared" si="3"/>
        <v>0</v>
      </c>
      <c r="J166"/>
      <c r="K166"/>
      <c r="L166"/>
      <c r="M166"/>
    </row>
    <row r="167" spans="1:13" ht="22.5" x14ac:dyDescent="0.2">
      <c r="A167" s="125" t="s">
        <v>450</v>
      </c>
      <c r="B167" s="126" t="s">
        <v>327</v>
      </c>
      <c r="C167" s="132">
        <v>20078</v>
      </c>
      <c r="D167" s="128" t="s">
        <v>871</v>
      </c>
      <c r="E167" s="129" t="s">
        <v>529</v>
      </c>
      <c r="F167" s="113">
        <v>0.02</v>
      </c>
      <c r="G167" s="130">
        <v>0.54</v>
      </c>
      <c r="H167" s="143"/>
      <c r="I167" s="131">
        <f t="shared" si="3"/>
        <v>0</v>
      </c>
      <c r="J167"/>
      <c r="K167"/>
      <c r="L167"/>
      <c r="M167"/>
    </row>
    <row r="168" spans="1:13" x14ac:dyDescent="0.2">
      <c r="A168" s="125" t="s">
        <v>451</v>
      </c>
      <c r="B168" s="126" t="s">
        <v>327</v>
      </c>
      <c r="C168" s="132">
        <v>301</v>
      </c>
      <c r="D168" s="128" t="s">
        <v>775</v>
      </c>
      <c r="E168" s="129" t="s">
        <v>529</v>
      </c>
      <c r="F168" s="113">
        <v>2</v>
      </c>
      <c r="G168" s="130">
        <v>32</v>
      </c>
      <c r="H168" s="143"/>
      <c r="I168" s="131">
        <f t="shared" si="3"/>
        <v>0</v>
      </c>
      <c r="J168"/>
      <c r="K168"/>
      <c r="L168"/>
      <c r="M168"/>
    </row>
    <row r="169" spans="1:13" ht="22.5" x14ac:dyDescent="0.2">
      <c r="A169" s="125" t="s">
        <v>451</v>
      </c>
      <c r="B169" s="126" t="s">
        <v>327</v>
      </c>
      <c r="C169" s="132">
        <v>3670</v>
      </c>
      <c r="D169" s="128" t="s">
        <v>843</v>
      </c>
      <c r="E169" s="129" t="s">
        <v>529</v>
      </c>
      <c r="F169" s="113">
        <v>1</v>
      </c>
      <c r="G169" s="130">
        <v>16</v>
      </c>
      <c r="H169" s="143"/>
      <c r="I169" s="131">
        <f t="shared" si="3"/>
        <v>0</v>
      </c>
      <c r="J169"/>
      <c r="K169"/>
      <c r="L169"/>
      <c r="M169"/>
    </row>
    <row r="170" spans="1:13" ht="22.5" x14ac:dyDescent="0.2">
      <c r="A170" s="125" t="s">
        <v>451</v>
      </c>
      <c r="B170" s="126" t="s">
        <v>327</v>
      </c>
      <c r="C170" s="132">
        <v>20078</v>
      </c>
      <c r="D170" s="128" t="s">
        <v>871</v>
      </c>
      <c r="E170" s="129" t="s">
        <v>529</v>
      </c>
      <c r="F170" s="113">
        <v>9.1999999999999998E-2</v>
      </c>
      <c r="G170" s="130">
        <v>1.472</v>
      </c>
      <c r="H170" s="143"/>
      <c r="I170" s="131">
        <f t="shared" si="3"/>
        <v>0</v>
      </c>
      <c r="J170"/>
      <c r="K170"/>
      <c r="L170"/>
      <c r="M170"/>
    </row>
    <row r="171" spans="1:13" x14ac:dyDescent="0.2">
      <c r="A171" s="125" t="s">
        <v>452</v>
      </c>
      <c r="B171" s="126" t="s">
        <v>327</v>
      </c>
      <c r="C171" s="132">
        <v>296</v>
      </c>
      <c r="D171" s="128" t="s">
        <v>776</v>
      </c>
      <c r="E171" s="129" t="s">
        <v>529</v>
      </c>
      <c r="F171" s="113">
        <v>2</v>
      </c>
      <c r="G171" s="130">
        <v>18</v>
      </c>
      <c r="H171" s="143"/>
      <c r="I171" s="131">
        <f t="shared" si="3"/>
        <v>0</v>
      </c>
      <c r="J171"/>
      <c r="K171"/>
      <c r="L171"/>
      <c r="M171"/>
    </row>
    <row r="172" spans="1:13" ht="22.5" x14ac:dyDescent="0.2">
      <c r="A172" s="125" t="s">
        <v>452</v>
      </c>
      <c r="B172" s="126" t="s">
        <v>327</v>
      </c>
      <c r="C172" s="132">
        <v>3662</v>
      </c>
      <c r="D172" s="128" t="s">
        <v>844</v>
      </c>
      <c r="E172" s="129" t="s">
        <v>529</v>
      </c>
      <c r="F172" s="113">
        <v>1</v>
      </c>
      <c r="G172" s="130">
        <v>9</v>
      </c>
      <c r="H172" s="143"/>
      <c r="I172" s="131">
        <f t="shared" si="3"/>
        <v>0</v>
      </c>
      <c r="J172"/>
      <c r="K172"/>
      <c r="L172"/>
      <c r="M172"/>
    </row>
    <row r="173" spans="1:13" ht="22.5" x14ac:dyDescent="0.2">
      <c r="A173" s="125" t="s">
        <v>452</v>
      </c>
      <c r="B173" s="126" t="s">
        <v>327</v>
      </c>
      <c r="C173" s="132">
        <v>20078</v>
      </c>
      <c r="D173" s="128" t="s">
        <v>871</v>
      </c>
      <c r="E173" s="129" t="s">
        <v>529</v>
      </c>
      <c r="F173" s="113">
        <v>0.04</v>
      </c>
      <c r="G173" s="130">
        <v>0.36</v>
      </c>
      <c r="H173" s="143"/>
      <c r="I173" s="131">
        <f t="shared" si="3"/>
        <v>0</v>
      </c>
      <c r="J173"/>
      <c r="K173"/>
      <c r="L173"/>
      <c r="M173"/>
    </row>
    <row r="174" spans="1:13" x14ac:dyDescent="0.2">
      <c r="A174" s="125" t="s">
        <v>453</v>
      </c>
      <c r="B174" s="126" t="s">
        <v>327</v>
      </c>
      <c r="C174" s="132">
        <v>122</v>
      </c>
      <c r="D174" s="128" t="s">
        <v>773</v>
      </c>
      <c r="E174" s="129" t="s">
        <v>529</v>
      </c>
      <c r="F174" s="113">
        <v>6.7599999999999993E-2</v>
      </c>
      <c r="G174" s="130">
        <v>1.5547999999999997</v>
      </c>
      <c r="H174" s="143"/>
      <c r="I174" s="131">
        <f t="shared" si="3"/>
        <v>0</v>
      </c>
      <c r="J174"/>
      <c r="K174"/>
      <c r="L174"/>
      <c r="M174"/>
    </row>
    <row r="175" spans="1:13" ht="22.5" x14ac:dyDescent="0.2">
      <c r="A175" s="125" t="s">
        <v>453</v>
      </c>
      <c r="B175" s="126" t="s">
        <v>327</v>
      </c>
      <c r="C175" s="132">
        <v>3659</v>
      </c>
      <c r="D175" s="128" t="s">
        <v>842</v>
      </c>
      <c r="E175" s="129" t="s">
        <v>529</v>
      </c>
      <c r="F175" s="113">
        <v>1</v>
      </c>
      <c r="G175" s="130">
        <v>23</v>
      </c>
      <c r="H175" s="143"/>
      <c r="I175" s="131">
        <f t="shared" si="3"/>
        <v>0</v>
      </c>
      <c r="J175"/>
      <c r="K175"/>
      <c r="L175"/>
      <c r="M175"/>
    </row>
    <row r="176" spans="1:13" x14ac:dyDescent="0.2">
      <c r="A176" s="125" t="s">
        <v>453</v>
      </c>
      <c r="B176" s="126" t="s">
        <v>327</v>
      </c>
      <c r="C176" s="132">
        <v>20083</v>
      </c>
      <c r="D176" s="128" t="s">
        <v>882</v>
      </c>
      <c r="E176" s="129" t="s">
        <v>529</v>
      </c>
      <c r="F176" s="113">
        <v>9.11E-2</v>
      </c>
      <c r="G176" s="130">
        <v>2.0952999999999999</v>
      </c>
      <c r="H176" s="143"/>
      <c r="I176" s="131">
        <f t="shared" si="3"/>
        <v>0</v>
      </c>
      <c r="J176"/>
      <c r="K176"/>
      <c r="L176"/>
      <c r="M176"/>
    </row>
    <row r="177" spans="1:13" x14ac:dyDescent="0.2">
      <c r="A177" s="125" t="s">
        <v>454</v>
      </c>
      <c r="B177" s="126" t="s">
        <v>327</v>
      </c>
      <c r="C177" s="132">
        <v>38383</v>
      </c>
      <c r="D177" s="128" t="s">
        <v>854</v>
      </c>
      <c r="E177" s="129" t="s">
        <v>529</v>
      </c>
      <c r="F177" s="113">
        <v>0.1</v>
      </c>
      <c r="G177" s="130">
        <v>3.8000000000000003</v>
      </c>
      <c r="H177" s="143"/>
      <c r="I177" s="131">
        <f t="shared" si="3"/>
        <v>0</v>
      </c>
      <c r="J177"/>
      <c r="K177"/>
      <c r="L177"/>
      <c r="M177"/>
    </row>
    <row r="178" spans="1:13" x14ac:dyDescent="0.2">
      <c r="A178" s="125" t="s">
        <v>454</v>
      </c>
      <c r="B178" s="126" t="s">
        <v>327</v>
      </c>
      <c r="C178" s="132">
        <v>9835</v>
      </c>
      <c r="D178" s="128" t="s">
        <v>913</v>
      </c>
      <c r="E178" s="129" t="s">
        <v>770</v>
      </c>
      <c r="F178" s="113">
        <v>1.05</v>
      </c>
      <c r="G178" s="130">
        <v>39.9</v>
      </c>
      <c r="H178" s="143"/>
      <c r="I178" s="131">
        <f t="shared" si="3"/>
        <v>0</v>
      </c>
      <c r="J178"/>
      <c r="K178"/>
      <c r="L178"/>
      <c r="M178"/>
    </row>
    <row r="179" spans="1:13" x14ac:dyDescent="0.2">
      <c r="A179" s="125" t="s">
        <v>455</v>
      </c>
      <c r="B179" s="126" t="s">
        <v>327</v>
      </c>
      <c r="C179" s="132">
        <v>122</v>
      </c>
      <c r="D179" s="128" t="s">
        <v>773</v>
      </c>
      <c r="E179" s="129" t="s">
        <v>529</v>
      </c>
      <c r="F179" s="113">
        <v>3.5000000000000001E-3</v>
      </c>
      <c r="G179" s="130">
        <v>0.45150000000000001</v>
      </c>
      <c r="H179" s="143"/>
      <c r="I179" s="131">
        <f t="shared" si="3"/>
        <v>0</v>
      </c>
      <c r="J179"/>
      <c r="K179"/>
      <c r="L179"/>
      <c r="M179"/>
    </row>
    <row r="180" spans="1:13" x14ac:dyDescent="0.2">
      <c r="A180" s="125" t="s">
        <v>455</v>
      </c>
      <c r="B180" s="126" t="s">
        <v>327</v>
      </c>
      <c r="C180" s="132">
        <v>38383</v>
      </c>
      <c r="D180" s="128" t="s">
        <v>854</v>
      </c>
      <c r="E180" s="129" t="s">
        <v>529</v>
      </c>
      <c r="F180" s="113">
        <v>1.7000000000000001E-2</v>
      </c>
      <c r="G180" s="130">
        <v>2.1930000000000001</v>
      </c>
      <c r="H180" s="143"/>
      <c r="I180" s="131">
        <f t="shared" si="3"/>
        <v>0</v>
      </c>
      <c r="J180"/>
      <c r="K180"/>
      <c r="L180"/>
      <c r="M180"/>
    </row>
    <row r="181" spans="1:13" x14ac:dyDescent="0.2">
      <c r="A181" s="125" t="s">
        <v>455</v>
      </c>
      <c r="B181" s="126" t="s">
        <v>327</v>
      </c>
      <c r="C181" s="132">
        <v>20083</v>
      </c>
      <c r="D181" s="128" t="s">
        <v>882</v>
      </c>
      <c r="E181" s="129" t="s">
        <v>529</v>
      </c>
      <c r="F181" s="113">
        <v>4.7999999999999996E-3</v>
      </c>
      <c r="G181" s="130">
        <v>0.61919999999999997</v>
      </c>
      <c r="H181" s="143"/>
      <c r="I181" s="131">
        <f t="shared" si="3"/>
        <v>0</v>
      </c>
      <c r="J181"/>
      <c r="K181"/>
      <c r="L181"/>
      <c r="M181"/>
    </row>
    <row r="182" spans="1:13" x14ac:dyDescent="0.2">
      <c r="A182" s="125" t="s">
        <v>455</v>
      </c>
      <c r="B182" s="126" t="s">
        <v>327</v>
      </c>
      <c r="C182" s="132">
        <v>9838</v>
      </c>
      <c r="D182" s="128" t="s">
        <v>914</v>
      </c>
      <c r="E182" s="129" t="s">
        <v>770</v>
      </c>
      <c r="F182" s="113">
        <v>1.05</v>
      </c>
      <c r="G182" s="130">
        <v>135.45000000000002</v>
      </c>
      <c r="H182" s="143"/>
      <c r="I182" s="131">
        <f t="shared" si="3"/>
        <v>0</v>
      </c>
      <c r="J182"/>
      <c r="K182"/>
      <c r="L182"/>
      <c r="M182"/>
    </row>
    <row r="183" spans="1:13" x14ac:dyDescent="0.2">
      <c r="A183" s="125" t="s">
        <v>456</v>
      </c>
      <c r="B183" s="126" t="s">
        <v>327</v>
      </c>
      <c r="C183" s="132">
        <v>122</v>
      </c>
      <c r="D183" s="128" t="s">
        <v>773</v>
      </c>
      <c r="E183" s="129" t="s">
        <v>529</v>
      </c>
      <c r="F183" s="113">
        <v>8.0000000000000002E-3</v>
      </c>
      <c r="G183" s="130">
        <v>0.192</v>
      </c>
      <c r="H183" s="143"/>
      <c r="I183" s="131">
        <f t="shared" si="3"/>
        <v>0</v>
      </c>
      <c r="J183"/>
      <c r="K183"/>
      <c r="L183"/>
      <c r="M183"/>
    </row>
    <row r="184" spans="1:13" x14ac:dyDescent="0.2">
      <c r="A184" s="125" t="s">
        <v>456</v>
      </c>
      <c r="B184" s="126" t="s">
        <v>327</v>
      </c>
      <c r="C184" s="132">
        <v>38383</v>
      </c>
      <c r="D184" s="128" t="s">
        <v>854</v>
      </c>
      <c r="E184" s="129" t="s">
        <v>529</v>
      </c>
      <c r="F184" s="113">
        <v>3.6999999999999998E-2</v>
      </c>
      <c r="G184" s="130">
        <v>0.8879999999999999</v>
      </c>
      <c r="H184" s="143"/>
      <c r="I184" s="131">
        <f t="shared" si="3"/>
        <v>0</v>
      </c>
      <c r="J184"/>
      <c r="K184"/>
      <c r="L184"/>
      <c r="M184"/>
    </row>
    <row r="185" spans="1:13" x14ac:dyDescent="0.2">
      <c r="A185" s="125" t="s">
        <v>456</v>
      </c>
      <c r="B185" s="126" t="s">
        <v>327</v>
      </c>
      <c r="C185" s="132">
        <v>20083</v>
      </c>
      <c r="D185" s="128" t="s">
        <v>882</v>
      </c>
      <c r="E185" s="129" t="s">
        <v>529</v>
      </c>
      <c r="F185" s="113">
        <v>1.24E-2</v>
      </c>
      <c r="G185" s="130">
        <v>0.29759999999999998</v>
      </c>
      <c r="H185" s="143"/>
      <c r="I185" s="131">
        <f t="shared" si="3"/>
        <v>0</v>
      </c>
      <c r="J185"/>
      <c r="K185"/>
      <c r="L185"/>
      <c r="M185"/>
    </row>
    <row r="186" spans="1:13" x14ac:dyDescent="0.2">
      <c r="A186" s="125" t="s">
        <v>456</v>
      </c>
      <c r="B186" s="126" t="s">
        <v>327</v>
      </c>
      <c r="C186" s="132">
        <v>9837</v>
      </c>
      <c r="D186" s="128" t="s">
        <v>915</v>
      </c>
      <c r="E186" s="129" t="s">
        <v>770</v>
      </c>
      <c r="F186" s="113">
        <v>1.05</v>
      </c>
      <c r="G186" s="130">
        <v>25.200000000000003</v>
      </c>
      <c r="H186" s="143"/>
      <c r="I186" s="131">
        <f t="shared" si="3"/>
        <v>0</v>
      </c>
      <c r="J186"/>
      <c r="K186"/>
      <c r="L186"/>
      <c r="M186"/>
    </row>
    <row r="187" spans="1:13" x14ac:dyDescent="0.2">
      <c r="A187" s="125" t="s">
        <v>457</v>
      </c>
      <c r="B187" s="126" t="s">
        <v>327</v>
      </c>
      <c r="C187" s="132">
        <v>122</v>
      </c>
      <c r="D187" s="128" t="s">
        <v>773</v>
      </c>
      <c r="E187" s="129" t="s">
        <v>529</v>
      </c>
      <c r="F187" s="113">
        <v>1.17E-2</v>
      </c>
      <c r="G187" s="130">
        <v>2.0241000000000002</v>
      </c>
      <c r="H187" s="143"/>
      <c r="I187" s="131">
        <f t="shared" si="3"/>
        <v>0</v>
      </c>
      <c r="J187"/>
      <c r="K187"/>
      <c r="L187"/>
      <c r="M187"/>
    </row>
    <row r="188" spans="1:13" x14ac:dyDescent="0.2">
      <c r="A188" s="125" t="s">
        <v>457</v>
      </c>
      <c r="B188" s="126" t="s">
        <v>327</v>
      </c>
      <c r="C188" s="132">
        <v>38383</v>
      </c>
      <c r="D188" s="128" t="s">
        <v>854</v>
      </c>
      <c r="E188" s="129" t="s">
        <v>529</v>
      </c>
      <c r="F188" s="113">
        <v>5.2999999999999999E-2</v>
      </c>
      <c r="G188" s="130">
        <v>9.1690000000000005</v>
      </c>
      <c r="H188" s="143"/>
      <c r="I188" s="131">
        <f t="shared" si="3"/>
        <v>0</v>
      </c>
      <c r="J188"/>
      <c r="K188"/>
      <c r="L188"/>
      <c r="M188"/>
    </row>
    <row r="189" spans="1:13" x14ac:dyDescent="0.2">
      <c r="A189" s="125" t="s">
        <v>457</v>
      </c>
      <c r="B189" s="126" t="s">
        <v>327</v>
      </c>
      <c r="C189" s="132">
        <v>20083</v>
      </c>
      <c r="D189" s="128" t="s">
        <v>882</v>
      </c>
      <c r="E189" s="129" t="s">
        <v>529</v>
      </c>
      <c r="F189" s="113">
        <v>1.9099999999999999E-2</v>
      </c>
      <c r="G189" s="130">
        <v>3.3043</v>
      </c>
      <c r="H189" s="143"/>
      <c r="I189" s="131">
        <f t="shared" si="3"/>
        <v>0</v>
      </c>
      <c r="J189"/>
      <c r="K189"/>
      <c r="L189"/>
      <c r="M189"/>
    </row>
    <row r="190" spans="1:13" x14ac:dyDescent="0.2">
      <c r="A190" s="125" t="s">
        <v>457</v>
      </c>
      <c r="B190" s="126" t="s">
        <v>327</v>
      </c>
      <c r="C190" s="132">
        <v>9836</v>
      </c>
      <c r="D190" s="128" t="s">
        <v>912</v>
      </c>
      <c r="E190" s="129" t="s">
        <v>770</v>
      </c>
      <c r="F190" s="113">
        <v>1.05</v>
      </c>
      <c r="G190" s="130">
        <v>181.65</v>
      </c>
      <c r="H190" s="143"/>
      <c r="I190" s="131">
        <f t="shared" si="3"/>
        <v>0</v>
      </c>
      <c r="J190"/>
      <c r="K190"/>
      <c r="L190"/>
      <c r="M190"/>
    </row>
    <row r="191" spans="1:13" ht="22.5" x14ac:dyDescent="0.2">
      <c r="A191" s="125" t="s">
        <v>458</v>
      </c>
      <c r="B191" s="126" t="s">
        <v>327</v>
      </c>
      <c r="C191" s="132">
        <v>299</v>
      </c>
      <c r="D191" s="128" t="s">
        <v>778</v>
      </c>
      <c r="E191" s="129" t="s">
        <v>529</v>
      </c>
      <c r="F191" s="113">
        <v>0.33</v>
      </c>
      <c r="G191" s="130">
        <v>27.720000000000002</v>
      </c>
      <c r="H191" s="143"/>
      <c r="I191" s="131">
        <f t="shared" si="3"/>
        <v>0</v>
      </c>
      <c r="J191"/>
      <c r="K191"/>
      <c r="L191"/>
      <c r="M191"/>
    </row>
    <row r="192" spans="1:13" ht="22.5" x14ac:dyDescent="0.2">
      <c r="A192" s="125" t="s">
        <v>458</v>
      </c>
      <c r="B192" s="126" t="s">
        <v>327</v>
      </c>
      <c r="C192" s="132">
        <v>9841</v>
      </c>
      <c r="D192" s="128" t="s">
        <v>916</v>
      </c>
      <c r="E192" s="129" t="s">
        <v>770</v>
      </c>
      <c r="F192" s="113">
        <v>1.1000000000000001</v>
      </c>
      <c r="G192" s="130">
        <v>92.4</v>
      </c>
      <c r="H192" s="143"/>
      <c r="I192" s="131">
        <f t="shared" si="3"/>
        <v>0</v>
      </c>
      <c r="J192"/>
      <c r="K192"/>
      <c r="L192"/>
      <c r="M192"/>
    </row>
    <row r="193" spans="1:13" x14ac:dyDescent="0.2">
      <c r="A193" s="133" t="s">
        <v>459</v>
      </c>
      <c r="B193" s="126" t="s">
        <v>327</v>
      </c>
      <c r="C193" s="132">
        <v>3146</v>
      </c>
      <c r="D193" s="128" t="s">
        <v>820</v>
      </c>
      <c r="E193" s="129" t="s">
        <v>529</v>
      </c>
      <c r="F193" s="113">
        <v>3.32E-2</v>
      </c>
      <c r="G193" s="130">
        <v>1.1177333333333335</v>
      </c>
      <c r="H193" s="143"/>
      <c r="I193" s="131">
        <f t="shared" si="3"/>
        <v>0</v>
      </c>
      <c r="J193"/>
      <c r="K193"/>
      <c r="L193"/>
      <c r="M193"/>
    </row>
    <row r="194" spans="1:13" x14ac:dyDescent="0.2">
      <c r="A194" s="133" t="s">
        <v>459</v>
      </c>
      <c r="B194" s="126" t="s">
        <v>327</v>
      </c>
      <c r="C194" s="132">
        <v>6148</v>
      </c>
      <c r="D194" s="128" t="e">
        <v>#N/A</v>
      </c>
      <c r="E194" s="129" t="e">
        <v>#N/A</v>
      </c>
      <c r="F194" s="113">
        <v>1</v>
      </c>
      <c r="G194" s="130">
        <v>33.666666666666671</v>
      </c>
      <c r="H194" s="143"/>
      <c r="I194" s="131">
        <f t="shared" si="3"/>
        <v>0</v>
      </c>
      <c r="J194"/>
      <c r="K194"/>
      <c r="L194"/>
      <c r="M194"/>
    </row>
    <row r="195" spans="1:13" x14ac:dyDescent="0.2">
      <c r="A195" s="133" t="s">
        <v>460</v>
      </c>
      <c r="B195" s="126" t="s">
        <v>327</v>
      </c>
      <c r="C195" s="132">
        <v>3146</v>
      </c>
      <c r="D195" s="128" t="s">
        <v>820</v>
      </c>
      <c r="E195" s="129" t="s">
        <v>529</v>
      </c>
      <c r="F195" s="113">
        <v>3.32E-2</v>
      </c>
      <c r="G195" s="130">
        <v>0.55886666666666673</v>
      </c>
      <c r="H195" s="143"/>
      <c r="I195" s="131">
        <f t="shared" ref="I195:I258" si="4">IFERROR(H195*G195,"")</f>
        <v>0</v>
      </c>
      <c r="J195"/>
      <c r="K195"/>
      <c r="L195"/>
      <c r="M195"/>
    </row>
    <row r="196" spans="1:13" s="116" customFormat="1" ht="12.75" x14ac:dyDescent="0.2">
      <c r="A196" s="133" t="s">
        <v>460</v>
      </c>
      <c r="B196" s="126" t="s">
        <v>327</v>
      </c>
      <c r="C196" s="132">
        <v>6136</v>
      </c>
      <c r="D196" s="128" t="s">
        <v>881</v>
      </c>
      <c r="E196" s="129" t="s">
        <v>529</v>
      </c>
      <c r="F196" s="113">
        <v>1</v>
      </c>
      <c r="G196" s="130">
        <v>16.833333333333336</v>
      </c>
      <c r="H196" s="143"/>
      <c r="I196" s="131">
        <f t="shared" si="4"/>
        <v>0</v>
      </c>
    </row>
    <row r="197" spans="1:13" x14ac:dyDescent="0.2">
      <c r="A197" s="125" t="s">
        <v>461</v>
      </c>
      <c r="B197" s="126" t="s">
        <v>327</v>
      </c>
      <c r="C197" s="132">
        <v>34653</v>
      </c>
      <c r="D197" s="128" t="s">
        <v>808</v>
      </c>
      <c r="E197" s="129" t="s">
        <v>529</v>
      </c>
      <c r="F197" s="113">
        <v>1</v>
      </c>
      <c r="G197" s="130">
        <v>31.895160000000001</v>
      </c>
      <c r="H197" s="143"/>
      <c r="I197" s="131">
        <f t="shared" si="4"/>
        <v>0</v>
      </c>
      <c r="J197"/>
      <c r="K197"/>
      <c r="L197"/>
      <c r="M197"/>
    </row>
    <row r="198" spans="1:13" ht="22.5" x14ac:dyDescent="0.2">
      <c r="A198" s="125" t="s">
        <v>461</v>
      </c>
      <c r="B198" s="126" t="s">
        <v>327</v>
      </c>
      <c r="C198" s="132">
        <v>1570</v>
      </c>
      <c r="D198" s="128" t="s">
        <v>900</v>
      </c>
      <c r="E198" s="129" t="s">
        <v>529</v>
      </c>
      <c r="F198" s="113">
        <v>1</v>
      </c>
      <c r="G198" s="130">
        <v>31.895160000000001</v>
      </c>
      <c r="H198" s="143"/>
      <c r="I198" s="131">
        <f t="shared" si="4"/>
        <v>0</v>
      </c>
      <c r="J198"/>
      <c r="K198"/>
      <c r="L198"/>
      <c r="M198"/>
    </row>
    <row r="199" spans="1:13" x14ac:dyDescent="0.2">
      <c r="A199" s="125" t="s">
        <v>462</v>
      </c>
      <c r="B199" s="126" t="s">
        <v>327</v>
      </c>
      <c r="C199" s="132">
        <v>34653</v>
      </c>
      <c r="D199" s="128" t="s">
        <v>808</v>
      </c>
      <c r="E199" s="129" t="s">
        <v>529</v>
      </c>
      <c r="F199" s="113">
        <v>1</v>
      </c>
      <c r="G199" s="130">
        <v>0</v>
      </c>
      <c r="H199" s="143"/>
      <c r="I199" s="131">
        <f t="shared" si="4"/>
        <v>0</v>
      </c>
      <c r="J199"/>
      <c r="K199"/>
      <c r="L199"/>
      <c r="M199"/>
    </row>
    <row r="200" spans="1:13" ht="22.5" x14ac:dyDescent="0.2">
      <c r="A200" s="125" t="s">
        <v>462</v>
      </c>
      <c r="B200" s="126" t="s">
        <v>327</v>
      </c>
      <c r="C200" s="132">
        <v>1571</v>
      </c>
      <c r="D200" s="128" t="s">
        <v>902</v>
      </c>
      <c r="E200" s="129" t="s">
        <v>529</v>
      </c>
      <c r="F200" s="113">
        <v>1</v>
      </c>
      <c r="G200" s="130">
        <v>0</v>
      </c>
      <c r="H200" s="143"/>
      <c r="I200" s="131">
        <f t="shared" si="4"/>
        <v>0</v>
      </c>
      <c r="J200"/>
      <c r="K200"/>
      <c r="L200"/>
      <c r="M200"/>
    </row>
    <row r="201" spans="1:13" x14ac:dyDescent="0.2">
      <c r="A201" s="125" t="s">
        <v>463</v>
      </c>
      <c r="B201" s="126" t="s">
        <v>327</v>
      </c>
      <c r="C201" s="132">
        <v>34653</v>
      </c>
      <c r="D201" s="128" t="s">
        <v>808</v>
      </c>
      <c r="E201" s="129" t="s">
        <v>529</v>
      </c>
      <c r="F201" s="113">
        <v>1</v>
      </c>
      <c r="G201" s="130">
        <v>0</v>
      </c>
      <c r="H201" s="143"/>
      <c r="I201" s="131">
        <f t="shared" si="4"/>
        <v>0</v>
      </c>
      <c r="J201"/>
      <c r="K201"/>
      <c r="L201"/>
      <c r="M201"/>
    </row>
    <row r="202" spans="1:13" ht="22.5" x14ac:dyDescent="0.2">
      <c r="A202" s="125" t="s">
        <v>463</v>
      </c>
      <c r="B202" s="126" t="s">
        <v>327</v>
      </c>
      <c r="C202" s="132">
        <v>1573</v>
      </c>
      <c r="D202" s="128" t="s">
        <v>903</v>
      </c>
      <c r="E202" s="129" t="s">
        <v>529</v>
      </c>
      <c r="F202" s="113">
        <v>1</v>
      </c>
      <c r="G202" s="130">
        <v>0</v>
      </c>
      <c r="H202" s="143"/>
      <c r="I202" s="131">
        <f t="shared" si="4"/>
        <v>0</v>
      </c>
      <c r="J202"/>
      <c r="K202"/>
      <c r="L202"/>
      <c r="M202"/>
    </row>
    <row r="203" spans="1:13" x14ac:dyDescent="0.2">
      <c r="A203" s="125" t="s">
        <v>464</v>
      </c>
      <c r="B203" s="126" t="s">
        <v>327</v>
      </c>
      <c r="C203" s="132">
        <v>34686</v>
      </c>
      <c r="D203" s="128" t="s">
        <v>807</v>
      </c>
      <c r="E203" s="129" t="s">
        <v>529</v>
      </c>
      <c r="F203" s="113">
        <v>1</v>
      </c>
      <c r="G203" s="130">
        <v>0</v>
      </c>
      <c r="H203" s="143"/>
      <c r="I203" s="131">
        <f t="shared" si="4"/>
        <v>0</v>
      </c>
      <c r="J203"/>
      <c r="K203"/>
      <c r="L203"/>
      <c r="M203"/>
    </row>
    <row r="204" spans="1:13" ht="22.5" x14ac:dyDescent="0.2">
      <c r="A204" s="125" t="s">
        <v>464</v>
      </c>
      <c r="B204" s="126" t="s">
        <v>327</v>
      </c>
      <c r="C204" s="132">
        <v>1574</v>
      </c>
      <c r="D204" s="128" t="s">
        <v>898</v>
      </c>
      <c r="E204" s="129" t="s">
        <v>529</v>
      </c>
      <c r="F204" s="113">
        <v>1</v>
      </c>
      <c r="G204" s="130">
        <v>0</v>
      </c>
      <c r="H204" s="143"/>
      <c r="I204" s="131">
        <f t="shared" si="4"/>
        <v>0</v>
      </c>
      <c r="J204"/>
      <c r="K204"/>
      <c r="L204"/>
      <c r="M204"/>
    </row>
    <row r="205" spans="1:13" x14ac:dyDescent="0.2">
      <c r="A205" s="125" t="s">
        <v>465</v>
      </c>
      <c r="B205" s="126" t="s">
        <v>327</v>
      </c>
      <c r="C205" s="132">
        <v>2388</v>
      </c>
      <c r="D205" s="128" t="s">
        <v>809</v>
      </c>
      <c r="E205" s="129" t="s">
        <v>529</v>
      </c>
      <c r="F205" s="113">
        <v>1</v>
      </c>
      <c r="G205" s="130">
        <v>29.869440000000001</v>
      </c>
      <c r="H205" s="143"/>
      <c r="I205" s="131">
        <f t="shared" si="4"/>
        <v>0</v>
      </c>
      <c r="J205"/>
      <c r="K205"/>
      <c r="L205"/>
      <c r="M205"/>
    </row>
    <row r="206" spans="1:13" ht="22.5" x14ac:dyDescent="0.2">
      <c r="A206" s="125" t="s">
        <v>465</v>
      </c>
      <c r="B206" s="126" t="s">
        <v>327</v>
      </c>
      <c r="C206" s="132">
        <v>1571</v>
      </c>
      <c r="D206" s="128" t="s">
        <v>902</v>
      </c>
      <c r="E206" s="129" t="s">
        <v>529</v>
      </c>
      <c r="F206" s="113">
        <v>2</v>
      </c>
      <c r="G206" s="130">
        <v>59.738880000000002</v>
      </c>
      <c r="H206" s="143"/>
      <c r="I206" s="131">
        <f t="shared" si="4"/>
        <v>0</v>
      </c>
      <c r="J206"/>
      <c r="K206"/>
      <c r="L206"/>
      <c r="M206"/>
    </row>
    <row r="207" spans="1:13" x14ac:dyDescent="0.2">
      <c r="A207" s="125" t="s">
        <v>466</v>
      </c>
      <c r="B207" s="126" t="s">
        <v>327</v>
      </c>
      <c r="C207" s="132">
        <v>2373</v>
      </c>
      <c r="D207" s="128" t="s">
        <v>810</v>
      </c>
      <c r="E207" s="129" t="s">
        <v>529</v>
      </c>
      <c r="F207" s="113">
        <v>1</v>
      </c>
      <c r="G207" s="130">
        <v>8.7251599999999989</v>
      </c>
      <c r="H207" s="143"/>
      <c r="I207" s="131">
        <f t="shared" si="4"/>
        <v>0</v>
      </c>
      <c r="J207"/>
      <c r="K207"/>
      <c r="L207"/>
      <c r="M207"/>
    </row>
    <row r="208" spans="1:13" ht="22.5" x14ac:dyDescent="0.2">
      <c r="A208" s="125" t="s">
        <v>466</v>
      </c>
      <c r="B208" s="126" t="s">
        <v>327</v>
      </c>
      <c r="C208" s="132">
        <v>1576</v>
      </c>
      <c r="D208" s="128" t="s">
        <v>901</v>
      </c>
      <c r="E208" s="129" t="s">
        <v>529</v>
      </c>
      <c r="F208" s="113">
        <v>3</v>
      </c>
      <c r="G208" s="130">
        <v>26.175479999999997</v>
      </c>
      <c r="H208" s="143"/>
      <c r="I208" s="131">
        <f t="shared" si="4"/>
        <v>0</v>
      </c>
      <c r="J208"/>
      <c r="K208"/>
      <c r="L208"/>
      <c r="M208"/>
    </row>
    <row r="209" spans="1:13" ht="22.5" x14ac:dyDescent="0.2">
      <c r="A209" s="125" t="s">
        <v>467</v>
      </c>
      <c r="B209" s="126" t="s">
        <v>327</v>
      </c>
      <c r="C209" s="132">
        <v>2377</v>
      </c>
      <c r="D209" s="128" t="s">
        <v>806</v>
      </c>
      <c r="E209" s="129" t="s">
        <v>529</v>
      </c>
      <c r="F209" s="113">
        <v>1</v>
      </c>
      <c r="G209" s="130">
        <v>1.50936</v>
      </c>
      <c r="H209" s="143"/>
      <c r="I209" s="131">
        <f t="shared" si="4"/>
        <v>0</v>
      </c>
      <c r="J209"/>
      <c r="K209"/>
      <c r="L209"/>
      <c r="M209"/>
    </row>
    <row r="210" spans="1:13" ht="22.5" x14ac:dyDescent="0.2">
      <c r="A210" s="125" t="s">
        <v>467</v>
      </c>
      <c r="B210" s="126" t="s">
        <v>327</v>
      </c>
      <c r="C210" s="132">
        <v>1580</v>
      </c>
      <c r="D210" s="128" t="s">
        <v>904</v>
      </c>
      <c r="E210" s="129" t="s">
        <v>529</v>
      </c>
      <c r="F210" s="113">
        <v>3</v>
      </c>
      <c r="G210" s="130">
        <v>4.5280800000000001</v>
      </c>
      <c r="H210" s="143"/>
      <c r="I210" s="131">
        <f t="shared" si="4"/>
        <v>0</v>
      </c>
      <c r="J210"/>
      <c r="K210"/>
      <c r="L210"/>
      <c r="M210"/>
    </row>
    <row r="211" spans="1:13" ht="22.5" x14ac:dyDescent="0.2">
      <c r="A211" s="125" t="s">
        <v>468</v>
      </c>
      <c r="B211" s="126" t="s">
        <v>327</v>
      </c>
      <c r="C211" s="132">
        <v>38780</v>
      </c>
      <c r="D211" s="128" t="s">
        <v>845</v>
      </c>
      <c r="E211" s="129" t="s">
        <v>529</v>
      </c>
      <c r="F211" s="113">
        <v>1</v>
      </c>
      <c r="G211" s="130">
        <v>0</v>
      </c>
      <c r="H211" s="143"/>
      <c r="I211" s="131">
        <f t="shared" si="4"/>
        <v>0</v>
      </c>
      <c r="J211" s="23" t="s">
        <v>469</v>
      </c>
      <c r="K211" s="23" t="s">
        <v>470</v>
      </c>
      <c r="L211"/>
      <c r="M211"/>
    </row>
    <row r="212" spans="1:13" x14ac:dyDescent="0.2">
      <c r="A212" s="125" t="s">
        <v>468</v>
      </c>
      <c r="B212" s="126" t="s">
        <v>327</v>
      </c>
      <c r="C212" s="132">
        <v>12295</v>
      </c>
      <c r="D212" s="128" t="s">
        <v>883</v>
      </c>
      <c r="E212" s="129" t="s">
        <v>529</v>
      </c>
      <c r="F212" s="113">
        <v>0.1</v>
      </c>
      <c r="G212" s="130">
        <v>0</v>
      </c>
      <c r="H212" s="143"/>
      <c r="I212" s="131">
        <f t="shared" si="4"/>
        <v>0</v>
      </c>
      <c r="J212" s="23">
        <v>1</v>
      </c>
      <c r="K212" s="23">
        <v>0.1</v>
      </c>
      <c r="L212"/>
      <c r="M212"/>
    </row>
    <row r="213" spans="1:13" x14ac:dyDescent="0.2">
      <c r="A213" s="125" t="s">
        <v>471</v>
      </c>
      <c r="B213" s="126" t="s">
        <v>327</v>
      </c>
      <c r="C213" s="132">
        <v>3753</v>
      </c>
      <c r="D213" s="128" t="s">
        <v>846</v>
      </c>
      <c r="E213" s="129" t="s">
        <v>529</v>
      </c>
      <c r="F213" s="113">
        <v>1</v>
      </c>
      <c r="G213" s="130">
        <v>0</v>
      </c>
      <c r="H213" s="143"/>
      <c r="I213" s="131">
        <f t="shared" si="4"/>
        <v>0</v>
      </c>
      <c r="J213" s="134">
        <v>1</v>
      </c>
      <c r="K213"/>
      <c r="L213"/>
      <c r="M213"/>
    </row>
    <row r="214" spans="1:13" s="116" customFormat="1" ht="12.75" x14ac:dyDescent="0.2">
      <c r="A214" s="125" t="s">
        <v>471</v>
      </c>
      <c r="B214" s="126" t="s">
        <v>327</v>
      </c>
      <c r="C214" s="132">
        <v>1087</v>
      </c>
      <c r="D214" s="128" t="s">
        <v>874</v>
      </c>
      <c r="E214" s="129" t="s">
        <v>529</v>
      </c>
      <c r="F214" s="113">
        <v>0.2</v>
      </c>
      <c r="G214" s="130">
        <v>0</v>
      </c>
      <c r="H214" s="143"/>
      <c r="I214" s="131">
        <f t="shared" si="4"/>
        <v>0</v>
      </c>
      <c r="J214" s="113">
        <v>1</v>
      </c>
      <c r="K214" s="116">
        <v>0.2</v>
      </c>
    </row>
    <row r="215" spans="1:13" s="116" customFormat="1" ht="12.75" x14ac:dyDescent="0.2">
      <c r="A215" s="125" t="s">
        <v>471</v>
      </c>
      <c r="B215" s="126" t="s">
        <v>327</v>
      </c>
      <c r="C215" s="132">
        <v>12295</v>
      </c>
      <c r="D215" s="128" t="s">
        <v>883</v>
      </c>
      <c r="E215" s="129" t="s">
        <v>529</v>
      </c>
      <c r="F215" s="113">
        <v>0.2</v>
      </c>
      <c r="G215" s="130">
        <v>0</v>
      </c>
      <c r="H215" s="143"/>
      <c r="I215" s="131">
        <f t="shared" si="4"/>
        <v>0</v>
      </c>
      <c r="J215" s="113">
        <v>2</v>
      </c>
      <c r="K215" s="116">
        <v>0.1</v>
      </c>
    </row>
    <row r="216" spans="1:13" s="116" customFormat="1" ht="12.75" x14ac:dyDescent="0.2">
      <c r="A216" s="125" t="s">
        <v>472</v>
      </c>
      <c r="B216" s="126" t="s">
        <v>327</v>
      </c>
      <c r="C216" s="132">
        <v>38779</v>
      </c>
      <c r="D216" s="128" t="s">
        <v>848</v>
      </c>
      <c r="E216" s="129" t="s">
        <v>529</v>
      </c>
      <c r="F216" s="113">
        <v>1</v>
      </c>
      <c r="G216" s="130">
        <v>0</v>
      </c>
      <c r="H216" s="143"/>
      <c r="I216" s="131">
        <f t="shared" si="4"/>
        <v>0</v>
      </c>
      <c r="J216" s="113">
        <v>1</v>
      </c>
    </row>
    <row r="217" spans="1:13" s="116" customFormat="1" ht="12.75" x14ac:dyDescent="0.2">
      <c r="A217" s="125" t="s">
        <v>472</v>
      </c>
      <c r="B217" s="126" t="s">
        <v>327</v>
      </c>
      <c r="C217" s="132">
        <v>1087</v>
      </c>
      <c r="D217" s="128" t="s">
        <v>874</v>
      </c>
      <c r="E217" s="129" t="s">
        <v>529</v>
      </c>
      <c r="F217" s="113">
        <v>0.2</v>
      </c>
      <c r="G217" s="130">
        <v>0</v>
      </c>
      <c r="H217" s="143"/>
      <c r="I217" s="131">
        <f t="shared" si="4"/>
        <v>0</v>
      </c>
      <c r="J217" s="135">
        <v>1</v>
      </c>
      <c r="K217" s="116">
        <v>0.2</v>
      </c>
      <c r="L217" s="116">
        <v>1088</v>
      </c>
      <c r="M217" s="116" t="s">
        <v>473</v>
      </c>
    </row>
    <row r="218" spans="1:13" s="116" customFormat="1" ht="12.75" x14ac:dyDescent="0.2">
      <c r="A218" s="125" t="s">
        <v>472</v>
      </c>
      <c r="B218" s="126" t="s">
        <v>327</v>
      </c>
      <c r="C218" s="132">
        <v>12295</v>
      </c>
      <c r="D218" s="128" t="s">
        <v>883</v>
      </c>
      <c r="E218" s="129" t="s">
        <v>529</v>
      </c>
      <c r="F218" s="113">
        <v>0.2</v>
      </c>
      <c r="G218" s="130">
        <v>0</v>
      </c>
      <c r="H218" s="143"/>
      <c r="I218" s="131">
        <f t="shared" si="4"/>
        <v>0</v>
      </c>
      <c r="J218" s="135">
        <v>2</v>
      </c>
      <c r="K218" s="116">
        <v>0.1</v>
      </c>
      <c r="L218" s="116">
        <v>1079</v>
      </c>
      <c r="M218" s="116" t="s">
        <v>474</v>
      </c>
    </row>
    <row r="219" spans="1:13" s="116" customFormat="1" ht="12.75" x14ac:dyDescent="0.2">
      <c r="A219" s="125" t="s">
        <v>475</v>
      </c>
      <c r="B219" s="126" t="s">
        <v>327</v>
      </c>
      <c r="C219" s="132">
        <v>38778</v>
      </c>
      <c r="D219" s="128" t="s">
        <v>847</v>
      </c>
      <c r="E219" s="129" t="s">
        <v>529</v>
      </c>
      <c r="F219" s="113">
        <v>1</v>
      </c>
      <c r="G219" s="130">
        <v>0</v>
      </c>
      <c r="H219" s="143"/>
      <c r="I219" s="131">
        <f t="shared" si="4"/>
        <v>0</v>
      </c>
      <c r="J219" s="113">
        <v>1</v>
      </c>
      <c r="L219" s="116">
        <v>1086</v>
      </c>
      <c r="M219" s="116" t="s">
        <v>476</v>
      </c>
    </row>
    <row r="220" spans="1:13" s="116" customFormat="1" ht="12.75" x14ac:dyDescent="0.2">
      <c r="A220" s="125" t="s">
        <v>475</v>
      </c>
      <c r="B220" s="126" t="s">
        <v>327</v>
      </c>
      <c r="C220" s="132">
        <v>1088</v>
      </c>
      <c r="D220" s="128" t="s">
        <v>873</v>
      </c>
      <c r="E220" s="129" t="s">
        <v>529</v>
      </c>
      <c r="F220" s="113">
        <v>0.2</v>
      </c>
      <c r="G220" s="130">
        <v>0</v>
      </c>
      <c r="H220" s="143"/>
      <c r="I220" s="131">
        <f t="shared" si="4"/>
        <v>0</v>
      </c>
      <c r="J220" s="113">
        <v>1</v>
      </c>
      <c r="K220" s="116">
        <v>0.2</v>
      </c>
    </row>
    <row r="221" spans="1:13" s="116" customFormat="1" ht="12.75" x14ac:dyDescent="0.2">
      <c r="A221" s="125" t="s">
        <v>475</v>
      </c>
      <c r="B221" s="126" t="s">
        <v>327</v>
      </c>
      <c r="C221" s="132">
        <v>12295</v>
      </c>
      <c r="D221" s="128" t="s">
        <v>883</v>
      </c>
      <c r="E221" s="129" t="s">
        <v>529</v>
      </c>
      <c r="F221" s="113">
        <v>0.2</v>
      </c>
      <c r="G221" s="130">
        <v>0</v>
      </c>
      <c r="H221" s="143"/>
      <c r="I221" s="131">
        <f t="shared" si="4"/>
        <v>0</v>
      </c>
      <c r="J221" s="113">
        <v>2</v>
      </c>
      <c r="K221" s="116">
        <v>0.1</v>
      </c>
    </row>
    <row r="222" spans="1:13" s="116" customFormat="1" ht="12.75" x14ac:dyDescent="0.2">
      <c r="A222" s="125" t="s">
        <v>477</v>
      </c>
      <c r="B222" s="126" t="s">
        <v>327</v>
      </c>
      <c r="C222" s="132">
        <v>39386</v>
      </c>
      <c r="D222" s="128" t="s">
        <v>850</v>
      </c>
      <c r="E222" s="129" t="s">
        <v>529</v>
      </c>
      <c r="F222" s="113">
        <v>1</v>
      </c>
      <c r="G222" s="130">
        <v>1617.8400000000001</v>
      </c>
      <c r="H222" s="143"/>
      <c r="I222" s="131">
        <f t="shared" si="4"/>
        <v>0</v>
      </c>
      <c r="J222" s="113">
        <v>1</v>
      </c>
    </row>
    <row r="223" spans="1:13" s="116" customFormat="1" ht="12.75" x14ac:dyDescent="0.2">
      <c r="A223" s="125" t="s">
        <v>477</v>
      </c>
      <c r="B223" s="126" t="s">
        <v>327</v>
      </c>
      <c r="C223" s="132">
        <v>12295</v>
      </c>
      <c r="D223" s="128" t="s">
        <v>883</v>
      </c>
      <c r="E223" s="129" t="s">
        <v>529</v>
      </c>
      <c r="F223" s="113">
        <v>0.2</v>
      </c>
      <c r="G223" s="130">
        <v>323.56800000000004</v>
      </c>
      <c r="H223" s="143"/>
      <c r="I223" s="131">
        <f t="shared" si="4"/>
        <v>0</v>
      </c>
      <c r="J223" s="113">
        <v>2</v>
      </c>
      <c r="K223" s="116">
        <v>0.1</v>
      </c>
    </row>
    <row r="224" spans="1:13" s="116" customFormat="1" ht="12.75" x14ac:dyDescent="0.2">
      <c r="A224" s="125" t="s">
        <v>478</v>
      </c>
      <c r="B224" s="126" t="s">
        <v>327</v>
      </c>
      <c r="C224" s="132">
        <v>39387</v>
      </c>
      <c r="D224" s="128" t="s">
        <v>849</v>
      </c>
      <c r="E224" s="129" t="s">
        <v>529</v>
      </c>
      <c r="F224" s="113">
        <v>1</v>
      </c>
      <c r="G224" s="130">
        <v>1617.8400000000001</v>
      </c>
      <c r="H224" s="143"/>
      <c r="I224" s="131">
        <f t="shared" si="4"/>
        <v>0</v>
      </c>
      <c r="J224" s="113">
        <v>1</v>
      </c>
    </row>
    <row r="225" spans="1:13" s="116" customFormat="1" ht="12.75" x14ac:dyDescent="0.2">
      <c r="A225" s="125" t="s">
        <v>478</v>
      </c>
      <c r="B225" s="126" t="s">
        <v>327</v>
      </c>
      <c r="C225" s="132">
        <v>12295</v>
      </c>
      <c r="D225" s="128" t="s">
        <v>883</v>
      </c>
      <c r="E225" s="129" t="s">
        <v>529</v>
      </c>
      <c r="F225" s="113">
        <v>0.2</v>
      </c>
      <c r="G225" s="130">
        <v>323.56800000000004</v>
      </c>
      <c r="H225" s="143"/>
      <c r="I225" s="131">
        <f t="shared" si="4"/>
        <v>0</v>
      </c>
      <c r="J225" s="113">
        <v>2</v>
      </c>
      <c r="K225" s="116">
        <v>0.1</v>
      </c>
    </row>
    <row r="226" spans="1:13" s="116" customFormat="1" ht="23.25" customHeight="1" x14ac:dyDescent="0.2">
      <c r="A226" s="125" t="s">
        <v>479</v>
      </c>
      <c r="B226" s="126" t="s">
        <v>327</v>
      </c>
      <c r="C226" s="132">
        <v>38193</v>
      </c>
      <c r="D226" s="128" t="s">
        <v>852</v>
      </c>
      <c r="E226" s="129" t="s">
        <v>529</v>
      </c>
      <c r="F226" s="113">
        <v>1</v>
      </c>
      <c r="G226" s="130">
        <v>404.46000000000004</v>
      </c>
      <c r="H226" s="143"/>
      <c r="I226" s="131">
        <f t="shared" si="4"/>
        <v>0</v>
      </c>
      <c r="J226" s="113">
        <v>1</v>
      </c>
    </row>
    <row r="227" spans="1:13" s="116" customFormat="1" ht="12.75" x14ac:dyDescent="0.2">
      <c r="A227" s="125" t="s">
        <v>479</v>
      </c>
      <c r="B227" s="126" t="s">
        <v>327</v>
      </c>
      <c r="C227" s="132">
        <v>12295</v>
      </c>
      <c r="D227" s="128" t="s">
        <v>883</v>
      </c>
      <c r="E227" s="129" t="s">
        <v>529</v>
      </c>
      <c r="F227" s="113">
        <v>0.1</v>
      </c>
      <c r="G227" s="130">
        <v>40.446000000000005</v>
      </c>
      <c r="H227" s="143"/>
      <c r="I227" s="131">
        <f t="shared" si="4"/>
        <v>0</v>
      </c>
      <c r="J227" s="135">
        <v>1</v>
      </c>
      <c r="K227" s="116">
        <v>0.1</v>
      </c>
    </row>
    <row r="228" spans="1:13" s="116" customFormat="1" ht="29.25" customHeight="1" x14ac:dyDescent="0.2">
      <c r="A228" s="125" t="s">
        <v>480</v>
      </c>
      <c r="B228" s="126" t="s">
        <v>327</v>
      </c>
      <c r="C228" s="132">
        <v>38194</v>
      </c>
      <c r="D228" s="128" t="s">
        <v>851</v>
      </c>
      <c r="E228" s="129" t="s">
        <v>529</v>
      </c>
      <c r="F228" s="113">
        <v>1</v>
      </c>
      <c r="G228" s="130">
        <v>404.46000000000004</v>
      </c>
      <c r="H228" s="143"/>
      <c r="I228" s="131">
        <f t="shared" si="4"/>
        <v>0</v>
      </c>
      <c r="J228" s="113">
        <v>1</v>
      </c>
    </row>
    <row r="229" spans="1:13" s="116" customFormat="1" ht="12.75" x14ac:dyDescent="0.2">
      <c r="A229" s="125" t="s">
        <v>480</v>
      </c>
      <c r="B229" s="126" t="s">
        <v>327</v>
      </c>
      <c r="C229" s="132">
        <v>12295</v>
      </c>
      <c r="D229" s="128" t="s">
        <v>883</v>
      </c>
      <c r="E229" s="129" t="s">
        <v>529</v>
      </c>
      <c r="F229" s="113">
        <v>0.1</v>
      </c>
      <c r="G229" s="130">
        <v>40.446000000000005</v>
      </c>
      <c r="H229" s="143"/>
      <c r="I229" s="131">
        <f t="shared" si="4"/>
        <v>0</v>
      </c>
      <c r="J229" s="135">
        <v>1</v>
      </c>
      <c r="K229" s="116">
        <v>0.1</v>
      </c>
    </row>
    <row r="230" spans="1:13" s="116" customFormat="1" ht="21" customHeight="1" x14ac:dyDescent="0.2">
      <c r="A230" s="125" t="s">
        <v>481</v>
      </c>
      <c r="B230" s="126" t="s">
        <v>327</v>
      </c>
      <c r="C230" s="132">
        <v>3749</v>
      </c>
      <c r="D230" s="128" t="s">
        <v>853</v>
      </c>
      <c r="E230" s="129" t="s">
        <v>529</v>
      </c>
      <c r="F230" s="113">
        <v>1</v>
      </c>
      <c r="G230" s="130">
        <v>1</v>
      </c>
      <c r="H230" s="143"/>
      <c r="I230" s="131">
        <f t="shared" si="4"/>
        <v>0</v>
      </c>
      <c r="J230" s="113">
        <v>1</v>
      </c>
    </row>
    <row r="231" spans="1:13" ht="45" x14ac:dyDescent="0.2">
      <c r="A231" s="125" t="s">
        <v>481</v>
      </c>
      <c r="B231" s="126" t="s">
        <v>327</v>
      </c>
      <c r="C231" s="132">
        <v>13390</v>
      </c>
      <c r="D231" s="128" t="s">
        <v>880</v>
      </c>
      <c r="E231" s="129" t="s">
        <v>529</v>
      </c>
      <c r="F231" s="113">
        <v>1</v>
      </c>
      <c r="G231" s="130">
        <v>1</v>
      </c>
      <c r="H231" s="143"/>
      <c r="I231" s="131">
        <f t="shared" si="4"/>
        <v>0</v>
      </c>
      <c r="J231"/>
      <c r="K231"/>
      <c r="L231"/>
      <c r="M231"/>
    </row>
    <row r="232" spans="1:13" ht="22.5" x14ac:dyDescent="0.2">
      <c r="A232" s="125" t="s">
        <v>481</v>
      </c>
      <c r="B232" s="126" t="s">
        <v>327</v>
      </c>
      <c r="C232" s="132">
        <v>39374</v>
      </c>
      <c r="D232" s="128" t="s">
        <v>877</v>
      </c>
      <c r="E232" s="129" t="s">
        <v>529</v>
      </c>
      <c r="F232" s="113">
        <v>1</v>
      </c>
      <c r="G232" s="130">
        <v>1</v>
      </c>
      <c r="H232" s="143"/>
      <c r="I232" s="131">
        <f t="shared" si="4"/>
        <v>0</v>
      </c>
      <c r="J232"/>
      <c r="K232"/>
      <c r="L232"/>
      <c r="M232"/>
    </row>
    <row r="233" spans="1:13" ht="33.75" x14ac:dyDescent="0.2">
      <c r="A233" s="125" t="s">
        <v>482</v>
      </c>
      <c r="B233" s="126" t="s">
        <v>327</v>
      </c>
      <c r="C233" s="132">
        <v>38775</v>
      </c>
      <c r="D233" s="128" t="s">
        <v>863</v>
      </c>
      <c r="E233" s="129" t="s">
        <v>529</v>
      </c>
      <c r="F233" s="113">
        <v>1</v>
      </c>
      <c r="G233" s="130">
        <v>12.699000000000002</v>
      </c>
      <c r="H233" s="143"/>
      <c r="I233" s="131">
        <f t="shared" si="4"/>
        <v>0</v>
      </c>
      <c r="J233"/>
      <c r="K233"/>
      <c r="L233"/>
      <c r="M233"/>
    </row>
    <row r="234" spans="1:13" ht="24" customHeight="1" x14ac:dyDescent="0.2">
      <c r="A234" s="125" t="s">
        <v>482</v>
      </c>
      <c r="B234" s="126" t="s">
        <v>327</v>
      </c>
      <c r="C234" s="132">
        <v>38193</v>
      </c>
      <c r="D234" s="128" t="s">
        <v>852</v>
      </c>
      <c r="E234" s="129" t="s">
        <v>529</v>
      </c>
      <c r="F234" s="113">
        <v>1</v>
      </c>
      <c r="G234" s="130">
        <v>12.699000000000002</v>
      </c>
      <c r="H234" s="143"/>
      <c r="I234" s="131">
        <f t="shared" si="4"/>
        <v>0</v>
      </c>
      <c r="J234"/>
      <c r="K234"/>
      <c r="L234"/>
      <c r="M234"/>
    </row>
    <row r="235" spans="1:13" ht="22.5" x14ac:dyDescent="0.2">
      <c r="A235" s="125" t="s">
        <v>483</v>
      </c>
      <c r="B235" s="126" t="s">
        <v>327</v>
      </c>
      <c r="C235" s="132">
        <v>21127</v>
      </c>
      <c r="D235" s="128" t="s">
        <v>819</v>
      </c>
      <c r="E235" s="129" t="s">
        <v>529</v>
      </c>
      <c r="F235" s="113">
        <v>2.8000000000000001E-2</v>
      </c>
      <c r="G235" s="130">
        <v>2.8000000000000001E-2</v>
      </c>
      <c r="H235" s="143"/>
      <c r="I235" s="131">
        <f t="shared" si="4"/>
        <v>0</v>
      </c>
      <c r="J235"/>
      <c r="K235"/>
      <c r="L235"/>
      <c r="M235"/>
    </row>
    <row r="236" spans="1:13" x14ac:dyDescent="0.2">
      <c r="A236" s="125" t="s">
        <v>483</v>
      </c>
      <c r="B236" s="126" t="s">
        <v>327</v>
      </c>
      <c r="C236" s="132">
        <v>12317</v>
      </c>
      <c r="D236" s="128" t="s">
        <v>878</v>
      </c>
      <c r="E236" s="129" t="s">
        <v>529</v>
      </c>
      <c r="F236" s="113">
        <v>1</v>
      </c>
      <c r="G236" s="130">
        <v>1</v>
      </c>
      <c r="H236" s="143"/>
      <c r="I236" s="131">
        <f t="shared" si="4"/>
        <v>0</v>
      </c>
      <c r="J236"/>
      <c r="K236"/>
      <c r="L236"/>
      <c r="M236"/>
    </row>
    <row r="237" spans="1:13" ht="22.5" x14ac:dyDescent="0.2">
      <c r="A237" s="125" t="s">
        <v>484</v>
      </c>
      <c r="B237" s="126" t="s">
        <v>327</v>
      </c>
      <c r="C237" s="132">
        <v>38094</v>
      </c>
      <c r="D237" s="128" t="s">
        <v>817</v>
      </c>
      <c r="E237" s="129" t="s">
        <v>529</v>
      </c>
      <c r="F237" s="113">
        <v>1</v>
      </c>
      <c r="G237" s="130">
        <v>5.5575999999999999</v>
      </c>
      <c r="H237" s="143"/>
      <c r="I237" s="131">
        <f t="shared" si="4"/>
        <v>0</v>
      </c>
      <c r="J237"/>
      <c r="K237"/>
      <c r="L237"/>
      <c r="M237"/>
    </row>
    <row r="238" spans="1:13" ht="22.5" x14ac:dyDescent="0.2">
      <c r="A238" s="125" t="s">
        <v>484</v>
      </c>
      <c r="B238" s="126" t="s">
        <v>327</v>
      </c>
      <c r="C238" s="132">
        <v>38099</v>
      </c>
      <c r="D238" s="128" t="s">
        <v>884</v>
      </c>
      <c r="E238" s="129" t="s">
        <v>529</v>
      </c>
      <c r="F238" s="113">
        <v>1</v>
      </c>
      <c r="G238" s="130">
        <v>5.5575999999999999</v>
      </c>
      <c r="H238" s="143"/>
      <c r="I238" s="131">
        <f t="shared" si="4"/>
        <v>0</v>
      </c>
      <c r="J238"/>
      <c r="K238"/>
      <c r="L238"/>
      <c r="M238"/>
    </row>
    <row r="239" spans="1:13" x14ac:dyDescent="0.2">
      <c r="A239" s="125" t="s">
        <v>484</v>
      </c>
      <c r="B239" s="126" t="s">
        <v>327</v>
      </c>
      <c r="C239" s="132">
        <v>38112</v>
      </c>
      <c r="D239" s="128" t="s">
        <v>823</v>
      </c>
      <c r="E239" s="129" t="s">
        <v>529</v>
      </c>
      <c r="F239" s="113">
        <v>1</v>
      </c>
      <c r="G239" s="130">
        <v>5.5575999999999999</v>
      </c>
      <c r="H239" s="143"/>
      <c r="I239" s="131">
        <f t="shared" si="4"/>
        <v>0</v>
      </c>
      <c r="J239"/>
      <c r="K239"/>
      <c r="L239"/>
      <c r="M239"/>
    </row>
    <row r="240" spans="1:13" ht="22.5" x14ac:dyDescent="0.2">
      <c r="A240" s="125" t="s">
        <v>485</v>
      </c>
      <c r="B240" s="126" t="s">
        <v>327</v>
      </c>
      <c r="C240" s="132">
        <v>38094</v>
      </c>
      <c r="D240" s="128" t="s">
        <v>817</v>
      </c>
      <c r="E240" s="129" t="s">
        <v>529</v>
      </c>
      <c r="F240" s="113">
        <v>1</v>
      </c>
      <c r="G240" s="130">
        <v>0.76600000000000001</v>
      </c>
      <c r="H240" s="143"/>
      <c r="I240" s="131">
        <f t="shared" si="4"/>
        <v>0</v>
      </c>
      <c r="J240"/>
      <c r="K240"/>
      <c r="L240"/>
      <c r="M240"/>
    </row>
    <row r="241" spans="1:13" ht="22.5" x14ac:dyDescent="0.2">
      <c r="A241" s="125" t="s">
        <v>485</v>
      </c>
      <c r="B241" s="126" t="s">
        <v>327</v>
      </c>
      <c r="C241" s="132">
        <v>38099</v>
      </c>
      <c r="D241" s="128" t="s">
        <v>884</v>
      </c>
      <c r="E241" s="129" t="s">
        <v>529</v>
      </c>
      <c r="F241" s="113">
        <v>1</v>
      </c>
      <c r="G241" s="130">
        <v>0.76600000000000001</v>
      </c>
      <c r="H241" s="143"/>
      <c r="I241" s="131">
        <f t="shared" si="4"/>
        <v>0</v>
      </c>
      <c r="J241"/>
      <c r="K241"/>
      <c r="L241"/>
      <c r="M241"/>
    </row>
    <row r="242" spans="1:13" x14ac:dyDescent="0.2">
      <c r="A242" s="125" t="s">
        <v>485</v>
      </c>
      <c r="B242" s="126" t="s">
        <v>327</v>
      </c>
      <c r="C242" s="132">
        <v>38112</v>
      </c>
      <c r="D242" s="128" t="s">
        <v>823</v>
      </c>
      <c r="E242" s="129" t="s">
        <v>529</v>
      </c>
      <c r="F242" s="113">
        <v>1</v>
      </c>
      <c r="G242" s="130">
        <v>0.76600000000000001</v>
      </c>
      <c r="H242" s="143"/>
      <c r="I242" s="131">
        <f t="shared" si="4"/>
        <v>0</v>
      </c>
      <c r="J242"/>
      <c r="K242"/>
      <c r="L242"/>
      <c r="M242"/>
    </row>
    <row r="243" spans="1:13" x14ac:dyDescent="0.2">
      <c r="A243" s="125" t="s">
        <v>485</v>
      </c>
      <c r="B243" s="126" t="s">
        <v>327</v>
      </c>
      <c r="C243" s="132">
        <v>38101</v>
      </c>
      <c r="D243" s="128" t="s">
        <v>908</v>
      </c>
      <c r="E243" s="129" t="s">
        <v>529</v>
      </c>
      <c r="F243" s="113">
        <v>1</v>
      </c>
      <c r="G243" s="130">
        <v>0.76600000000000001</v>
      </c>
      <c r="H243" s="143"/>
      <c r="I243" s="131">
        <f t="shared" si="4"/>
        <v>0</v>
      </c>
      <c r="J243"/>
      <c r="K243"/>
      <c r="L243"/>
      <c r="M243"/>
    </row>
    <row r="244" spans="1:13" ht="22.5" x14ac:dyDescent="0.2">
      <c r="A244" s="125" t="s">
        <v>486</v>
      </c>
      <c r="B244" s="126" t="s">
        <v>327</v>
      </c>
      <c r="C244" s="132">
        <v>38094</v>
      </c>
      <c r="D244" s="128" t="s">
        <v>817</v>
      </c>
      <c r="E244" s="129" t="s">
        <v>529</v>
      </c>
      <c r="F244" s="113">
        <v>1</v>
      </c>
      <c r="G244" s="130">
        <v>1.0875999999999999</v>
      </c>
      <c r="H244" s="143"/>
      <c r="I244" s="131">
        <f t="shared" si="4"/>
        <v>0</v>
      </c>
      <c r="J244"/>
      <c r="K244"/>
      <c r="L244"/>
      <c r="M244"/>
    </row>
    <row r="245" spans="1:13" ht="22.5" x14ac:dyDescent="0.2">
      <c r="A245" s="125" t="s">
        <v>486</v>
      </c>
      <c r="B245" s="126" t="s">
        <v>327</v>
      </c>
      <c r="C245" s="132">
        <v>38099</v>
      </c>
      <c r="D245" s="128" t="s">
        <v>884</v>
      </c>
      <c r="E245" s="129" t="s">
        <v>529</v>
      </c>
      <c r="F245" s="113">
        <v>1</v>
      </c>
      <c r="G245" s="130">
        <v>1.0875999999999999</v>
      </c>
      <c r="H245" s="143"/>
      <c r="I245" s="131">
        <f t="shared" si="4"/>
        <v>0</v>
      </c>
      <c r="J245"/>
      <c r="K245"/>
      <c r="L245"/>
      <c r="M245"/>
    </row>
    <row r="246" spans="1:13" x14ac:dyDescent="0.2">
      <c r="A246" s="125" t="s">
        <v>486</v>
      </c>
      <c r="B246" s="126" t="s">
        <v>327</v>
      </c>
      <c r="C246" s="132">
        <v>38101</v>
      </c>
      <c r="D246" s="128" t="s">
        <v>908</v>
      </c>
      <c r="E246" s="129" t="s">
        <v>529</v>
      </c>
      <c r="F246" s="113">
        <v>1</v>
      </c>
      <c r="G246" s="130">
        <v>1.0875999999999999</v>
      </c>
      <c r="H246" s="143"/>
      <c r="I246" s="131">
        <f t="shared" si="4"/>
        <v>0</v>
      </c>
      <c r="J246"/>
      <c r="K246"/>
      <c r="L246"/>
      <c r="M246"/>
    </row>
    <row r="247" spans="1:13" ht="22.5" x14ac:dyDescent="0.2">
      <c r="A247" s="125" t="s">
        <v>487</v>
      </c>
      <c r="B247" s="126" t="s">
        <v>327</v>
      </c>
      <c r="C247" s="132">
        <v>38094</v>
      </c>
      <c r="D247" s="128" t="s">
        <v>817</v>
      </c>
      <c r="E247" s="129" t="s">
        <v>529</v>
      </c>
      <c r="F247" s="113">
        <v>1</v>
      </c>
      <c r="G247" s="130">
        <v>1.5288000000000002</v>
      </c>
      <c r="H247" s="143"/>
      <c r="I247" s="131">
        <f t="shared" si="4"/>
        <v>0</v>
      </c>
      <c r="J247"/>
      <c r="K247"/>
      <c r="L247"/>
      <c r="M247"/>
    </row>
    <row r="248" spans="1:13" ht="22.5" x14ac:dyDescent="0.2">
      <c r="A248" s="125" t="s">
        <v>487</v>
      </c>
      <c r="B248" s="126" t="s">
        <v>327</v>
      </c>
      <c r="C248" s="132">
        <v>38099</v>
      </c>
      <c r="D248" s="128" t="s">
        <v>884</v>
      </c>
      <c r="E248" s="129" t="s">
        <v>529</v>
      </c>
      <c r="F248" s="113">
        <v>1</v>
      </c>
      <c r="G248" s="130">
        <v>1.5288000000000002</v>
      </c>
      <c r="H248" s="143"/>
      <c r="I248" s="131">
        <f t="shared" si="4"/>
        <v>0</v>
      </c>
      <c r="J248"/>
      <c r="K248"/>
      <c r="L248"/>
      <c r="M248"/>
    </row>
    <row r="249" spans="1:13" x14ac:dyDescent="0.2">
      <c r="A249" s="125" t="s">
        <v>487</v>
      </c>
      <c r="B249" s="126" t="s">
        <v>327</v>
      </c>
      <c r="C249" s="132">
        <v>38102</v>
      </c>
      <c r="D249" s="128" t="s">
        <v>911</v>
      </c>
      <c r="E249" s="129" t="s">
        <v>529</v>
      </c>
      <c r="F249" s="113">
        <v>1</v>
      </c>
      <c r="G249" s="130">
        <v>1.5288000000000002</v>
      </c>
      <c r="H249" s="143"/>
      <c r="I249" s="131">
        <f t="shared" si="4"/>
        <v>0</v>
      </c>
      <c r="J249"/>
      <c r="K249"/>
      <c r="L249"/>
      <c r="M249"/>
    </row>
    <row r="250" spans="1:13" ht="22.5" x14ac:dyDescent="0.2">
      <c r="A250" s="125" t="s">
        <v>488</v>
      </c>
      <c r="B250" s="126" t="s">
        <v>327</v>
      </c>
      <c r="C250" s="132">
        <v>38062</v>
      </c>
      <c r="D250" s="128" t="s">
        <v>824</v>
      </c>
      <c r="E250" s="129" t="s">
        <v>529</v>
      </c>
      <c r="F250" s="113">
        <v>1</v>
      </c>
      <c r="G250" s="130">
        <v>5.5575999999999999</v>
      </c>
      <c r="H250" s="143"/>
      <c r="I250" s="131">
        <f t="shared" si="4"/>
        <v>0</v>
      </c>
      <c r="J250"/>
      <c r="K250"/>
      <c r="L250"/>
      <c r="M250"/>
    </row>
    <row r="251" spans="1:13" ht="22.5" x14ac:dyDescent="0.2">
      <c r="A251" s="125" t="s">
        <v>489</v>
      </c>
      <c r="B251" s="126" t="s">
        <v>327</v>
      </c>
      <c r="C251" s="132">
        <v>38077</v>
      </c>
      <c r="D251" s="128" t="s">
        <v>822</v>
      </c>
      <c r="E251" s="129" t="s">
        <v>529</v>
      </c>
      <c r="F251" s="113">
        <v>1</v>
      </c>
      <c r="G251" s="130">
        <v>0.76600000000000001</v>
      </c>
      <c r="H251" s="143"/>
      <c r="I251" s="131">
        <f t="shared" si="4"/>
        <v>0</v>
      </c>
      <c r="J251"/>
      <c r="K251"/>
      <c r="L251"/>
      <c r="M251"/>
    </row>
    <row r="252" spans="1:13" ht="22.5" x14ac:dyDescent="0.2">
      <c r="A252" s="125" t="s">
        <v>490</v>
      </c>
      <c r="B252" s="126" t="s">
        <v>327</v>
      </c>
      <c r="C252" s="132">
        <v>12128</v>
      </c>
      <c r="D252" s="128" t="s">
        <v>825</v>
      </c>
      <c r="E252" s="129" t="s">
        <v>529</v>
      </c>
      <c r="F252" s="113">
        <v>1</v>
      </c>
      <c r="G252" s="130">
        <v>5.5575999999999999</v>
      </c>
      <c r="H252" s="143"/>
      <c r="I252" s="131">
        <f t="shared" si="4"/>
        <v>0</v>
      </c>
      <c r="J252"/>
      <c r="K252"/>
      <c r="L252"/>
      <c r="M252"/>
    </row>
    <row r="253" spans="1:13" ht="22.5" x14ac:dyDescent="0.2">
      <c r="A253" s="125" t="s">
        <v>491</v>
      </c>
      <c r="B253" s="126" t="s">
        <v>327</v>
      </c>
      <c r="C253" s="132">
        <v>38095</v>
      </c>
      <c r="D253" s="128" t="s">
        <v>816</v>
      </c>
      <c r="E253" s="129" t="s">
        <v>529</v>
      </c>
      <c r="F253" s="113">
        <v>1</v>
      </c>
      <c r="G253" s="130">
        <v>6.6452</v>
      </c>
      <c r="H253" s="143"/>
      <c r="I253" s="131">
        <f t="shared" si="4"/>
        <v>0</v>
      </c>
      <c r="J253"/>
      <c r="K253"/>
      <c r="L253"/>
      <c r="M253"/>
    </row>
    <row r="254" spans="1:13" ht="22.5" x14ac:dyDescent="0.2">
      <c r="A254" s="125" t="s">
        <v>492</v>
      </c>
      <c r="B254" s="126" t="s">
        <v>327</v>
      </c>
      <c r="C254" s="132">
        <v>38091</v>
      </c>
      <c r="D254" s="128" t="s">
        <v>815</v>
      </c>
      <c r="E254" s="129" t="s">
        <v>529</v>
      </c>
      <c r="F254" s="113">
        <v>1</v>
      </c>
      <c r="G254" s="130">
        <v>6.6452</v>
      </c>
      <c r="H254" s="143"/>
      <c r="I254" s="131">
        <f t="shared" si="4"/>
        <v>0</v>
      </c>
      <c r="J254"/>
      <c r="K254"/>
      <c r="L254"/>
      <c r="M254"/>
    </row>
    <row r="255" spans="1:13" ht="22.5" x14ac:dyDescent="0.2">
      <c r="A255" s="125" t="s">
        <v>493</v>
      </c>
      <c r="B255" s="126" t="s">
        <v>327</v>
      </c>
      <c r="C255" s="132">
        <v>12147</v>
      </c>
      <c r="D255" s="128" t="s">
        <v>910</v>
      </c>
      <c r="E255" s="129" t="s">
        <v>529</v>
      </c>
      <c r="F255" s="113">
        <v>1</v>
      </c>
      <c r="G255" s="130">
        <v>1.0875999999999999</v>
      </c>
      <c r="H255" s="143"/>
      <c r="I255" s="131">
        <f t="shared" si="4"/>
        <v>0</v>
      </c>
      <c r="J255"/>
      <c r="K255"/>
      <c r="L255"/>
      <c r="M255"/>
    </row>
    <row r="256" spans="1:13" ht="22.5" x14ac:dyDescent="0.2">
      <c r="A256" s="125" t="s">
        <v>494</v>
      </c>
      <c r="B256" s="126" t="s">
        <v>327</v>
      </c>
      <c r="C256" s="132">
        <v>7528</v>
      </c>
      <c r="D256" s="128" t="s">
        <v>909</v>
      </c>
      <c r="E256" s="129" t="s">
        <v>529</v>
      </c>
      <c r="F256" s="113">
        <v>1</v>
      </c>
      <c r="G256" s="130">
        <v>1.0875999999999999</v>
      </c>
      <c r="H256" s="143"/>
      <c r="I256" s="131">
        <f t="shared" si="4"/>
        <v>0</v>
      </c>
      <c r="J256"/>
      <c r="K256"/>
      <c r="L256"/>
      <c r="M256"/>
    </row>
    <row r="257" spans="1:13" ht="22.5" x14ac:dyDescent="0.2">
      <c r="A257" s="125" t="s">
        <v>495</v>
      </c>
      <c r="B257" s="126" t="s">
        <v>327</v>
      </c>
      <c r="C257" s="132">
        <v>38774</v>
      </c>
      <c r="D257" s="128" t="s">
        <v>855</v>
      </c>
      <c r="E257" s="129" t="s">
        <v>529</v>
      </c>
      <c r="F257" s="113">
        <v>1</v>
      </c>
      <c r="G257" s="130">
        <v>88.893000000000001</v>
      </c>
      <c r="H257" s="143"/>
      <c r="I257" s="131">
        <f t="shared" si="4"/>
        <v>0</v>
      </c>
      <c r="J257"/>
      <c r="K257"/>
      <c r="L257"/>
      <c r="M257"/>
    </row>
    <row r="258" spans="1:13" ht="33.75" x14ac:dyDescent="0.2">
      <c r="A258" s="125" t="s">
        <v>496</v>
      </c>
      <c r="B258" s="126" t="s">
        <v>327</v>
      </c>
      <c r="C258" s="132">
        <v>3788</v>
      </c>
      <c r="D258" s="128" t="s">
        <v>856</v>
      </c>
      <c r="E258" s="129" t="s">
        <v>529</v>
      </c>
      <c r="F258" s="113">
        <v>1</v>
      </c>
      <c r="G258" s="130">
        <v>12.699000000000002</v>
      </c>
      <c r="H258" s="143"/>
      <c r="I258" s="131">
        <f t="shared" si="4"/>
        <v>0</v>
      </c>
      <c r="J258"/>
      <c r="K258"/>
      <c r="L258"/>
      <c r="M258"/>
    </row>
    <row r="259" spans="1:13" ht="33.75" x14ac:dyDescent="0.2">
      <c r="A259" s="125" t="s">
        <v>497</v>
      </c>
      <c r="B259" s="126" t="s">
        <v>327</v>
      </c>
      <c r="C259" s="132">
        <v>3780</v>
      </c>
      <c r="D259" s="128" t="s">
        <v>857</v>
      </c>
      <c r="E259" s="129" t="s">
        <v>529</v>
      </c>
      <c r="F259" s="113">
        <v>1</v>
      </c>
      <c r="G259" s="130">
        <v>12.699000000000002</v>
      </c>
      <c r="H259" s="143"/>
      <c r="I259" s="131">
        <f t="shared" ref="I259:I320" si="5">IFERROR(H259*G259,"")</f>
        <v>0</v>
      </c>
      <c r="J259"/>
      <c r="K259"/>
      <c r="L259"/>
      <c r="M259"/>
    </row>
    <row r="260" spans="1:13" ht="33.75" x14ac:dyDescent="0.2">
      <c r="A260" s="125" t="s">
        <v>498</v>
      </c>
      <c r="B260" s="126" t="s">
        <v>327</v>
      </c>
      <c r="C260" s="132">
        <v>3811</v>
      </c>
      <c r="D260" s="128" t="s">
        <v>858</v>
      </c>
      <c r="E260" s="129" t="s">
        <v>529</v>
      </c>
      <c r="F260" s="113">
        <v>1</v>
      </c>
      <c r="G260" s="130">
        <v>25.398000000000003</v>
      </c>
      <c r="H260" s="143"/>
      <c r="I260" s="131">
        <f t="shared" si="5"/>
        <v>0</v>
      </c>
      <c r="J260"/>
      <c r="K260"/>
      <c r="L260"/>
      <c r="M260"/>
    </row>
    <row r="261" spans="1:13" ht="33.75" x14ac:dyDescent="0.2">
      <c r="A261" s="125" t="s">
        <v>499</v>
      </c>
      <c r="B261" s="126" t="s">
        <v>327</v>
      </c>
      <c r="C261" s="132">
        <v>3799</v>
      </c>
      <c r="D261" s="128" t="s">
        <v>859</v>
      </c>
      <c r="E261" s="129" t="s">
        <v>529</v>
      </c>
      <c r="F261" s="113">
        <v>1</v>
      </c>
      <c r="G261" s="130">
        <v>25.398000000000003</v>
      </c>
      <c r="H261" s="143"/>
      <c r="I261" s="131">
        <f t="shared" si="5"/>
        <v>0</v>
      </c>
      <c r="J261"/>
      <c r="K261"/>
      <c r="L261"/>
      <c r="M261"/>
    </row>
    <row r="262" spans="1:13" ht="22.5" x14ac:dyDescent="0.2">
      <c r="A262" s="125" t="s">
        <v>500</v>
      </c>
      <c r="B262" s="126" t="s">
        <v>327</v>
      </c>
      <c r="C262" s="132">
        <v>39385</v>
      </c>
      <c r="D262" s="128" t="s">
        <v>860</v>
      </c>
      <c r="E262" s="129" t="s">
        <v>529</v>
      </c>
      <c r="F262" s="113">
        <v>1</v>
      </c>
      <c r="G262" s="130">
        <v>0.69200000000000006</v>
      </c>
      <c r="H262" s="143"/>
      <c r="I262" s="131">
        <f t="shared" si="5"/>
        <v>0</v>
      </c>
      <c r="J262"/>
      <c r="K262"/>
      <c r="L262"/>
      <c r="M262"/>
    </row>
    <row r="263" spans="1:13" x14ac:dyDescent="0.2">
      <c r="A263" s="125" t="s">
        <v>501</v>
      </c>
      <c r="B263" s="126" t="s">
        <v>327</v>
      </c>
      <c r="C263" s="132">
        <v>39390</v>
      </c>
      <c r="D263" s="128" t="s">
        <v>861</v>
      </c>
      <c r="E263" s="129" t="s">
        <v>529</v>
      </c>
      <c r="F263" s="113">
        <v>1</v>
      </c>
      <c r="G263" s="130">
        <v>0.26400000000000001</v>
      </c>
      <c r="H263" s="143"/>
      <c r="I263" s="131">
        <f t="shared" si="5"/>
        <v>0</v>
      </c>
      <c r="J263"/>
      <c r="K263"/>
      <c r="L263"/>
      <c r="M263"/>
    </row>
    <row r="264" spans="1:13" x14ac:dyDescent="0.2">
      <c r="A264" s="125" t="s">
        <v>502</v>
      </c>
      <c r="B264" s="126" t="s">
        <v>327</v>
      </c>
      <c r="C264" s="132">
        <v>39391</v>
      </c>
      <c r="D264" s="128" t="s">
        <v>862</v>
      </c>
      <c r="E264" s="129" t="s">
        <v>529</v>
      </c>
      <c r="F264" s="113">
        <v>1</v>
      </c>
      <c r="G264" s="130">
        <v>0.26400000000000001</v>
      </c>
      <c r="H264" s="143"/>
      <c r="I264" s="131">
        <f t="shared" si="5"/>
        <v>0</v>
      </c>
      <c r="J264"/>
      <c r="K264"/>
      <c r="L264"/>
      <c r="M264"/>
    </row>
    <row r="265" spans="1:13" x14ac:dyDescent="0.2">
      <c r="A265" s="125" t="s">
        <v>503</v>
      </c>
      <c r="B265" s="126" t="s">
        <v>327</v>
      </c>
      <c r="C265" s="132">
        <v>1088</v>
      </c>
      <c r="D265" s="128" t="s">
        <v>873</v>
      </c>
      <c r="E265" s="129" t="s">
        <v>529</v>
      </c>
      <c r="F265" s="113">
        <v>0.15</v>
      </c>
      <c r="G265" s="130">
        <v>0</v>
      </c>
      <c r="H265" s="143"/>
      <c r="I265" s="131">
        <f t="shared" si="5"/>
        <v>0</v>
      </c>
      <c r="J265" s="135">
        <v>1</v>
      </c>
      <c r="K265" s="135">
        <v>0.15</v>
      </c>
      <c r="L265"/>
      <c r="M265"/>
    </row>
    <row r="266" spans="1:13" ht="22.5" x14ac:dyDescent="0.2">
      <c r="A266" s="125" t="s">
        <v>504</v>
      </c>
      <c r="B266" s="126" t="s">
        <v>327</v>
      </c>
      <c r="C266" s="132">
        <v>1079</v>
      </c>
      <c r="D266" s="128" t="s">
        <v>876</v>
      </c>
      <c r="E266" s="129" t="s">
        <v>529</v>
      </c>
      <c r="F266" s="113">
        <v>0.15</v>
      </c>
      <c r="G266" s="130">
        <v>0</v>
      </c>
      <c r="H266" s="143"/>
      <c r="I266" s="131">
        <f t="shared" si="5"/>
        <v>0</v>
      </c>
      <c r="J266" s="135">
        <v>1</v>
      </c>
      <c r="K266" s="135">
        <v>0.15</v>
      </c>
      <c r="L266"/>
      <c r="M266"/>
    </row>
    <row r="267" spans="1:13" ht="22.5" x14ac:dyDescent="0.2">
      <c r="A267" s="125" t="s">
        <v>505</v>
      </c>
      <c r="B267" s="126" t="s">
        <v>327</v>
      </c>
      <c r="C267" s="132">
        <v>1086</v>
      </c>
      <c r="D267" s="128" t="s">
        <v>875</v>
      </c>
      <c r="E267" s="129" t="s">
        <v>529</v>
      </c>
      <c r="F267" s="113">
        <v>0.15</v>
      </c>
      <c r="G267" s="130">
        <v>0</v>
      </c>
      <c r="H267" s="143"/>
      <c r="I267" s="131">
        <f t="shared" si="5"/>
        <v>0</v>
      </c>
      <c r="J267" s="135">
        <v>1</v>
      </c>
      <c r="K267" s="135">
        <v>0.15</v>
      </c>
      <c r="L267"/>
      <c r="M267"/>
    </row>
    <row r="268" spans="1:13" ht="22.5" x14ac:dyDescent="0.2">
      <c r="A268" s="125" t="s">
        <v>506</v>
      </c>
      <c r="B268" s="126" t="s">
        <v>327</v>
      </c>
      <c r="C268" s="132">
        <v>392</v>
      </c>
      <c r="D268" s="128" t="s">
        <v>769</v>
      </c>
      <c r="E268" s="129" t="s">
        <v>529</v>
      </c>
      <c r="F268" s="113">
        <v>0.65</v>
      </c>
      <c r="G268" s="130">
        <v>8.4500000000000011</v>
      </c>
      <c r="H268" s="143"/>
      <c r="I268" s="131">
        <f t="shared" si="5"/>
        <v>0</v>
      </c>
      <c r="J268"/>
      <c r="K268"/>
      <c r="L268"/>
      <c r="M268"/>
    </row>
    <row r="269" spans="1:13" x14ac:dyDescent="0.2">
      <c r="A269" s="125"/>
      <c r="B269" s="126" t="s">
        <v>327</v>
      </c>
      <c r="C269" s="132">
        <v>2684</v>
      </c>
      <c r="D269" s="128" t="s">
        <v>811</v>
      </c>
      <c r="E269" s="129" t="s">
        <v>770</v>
      </c>
      <c r="F269" s="113">
        <v>1.0169999999999999</v>
      </c>
      <c r="G269" s="130" t="s">
        <v>923</v>
      </c>
      <c r="H269" s="143"/>
      <c r="I269" s="131" t="str">
        <f t="shared" si="5"/>
        <v/>
      </c>
      <c r="J269"/>
      <c r="K269"/>
      <c r="L269"/>
      <c r="M269"/>
    </row>
    <row r="270" spans="1:13" x14ac:dyDescent="0.2">
      <c r="A270" s="125" t="s">
        <v>507</v>
      </c>
      <c r="B270" s="126" t="s">
        <v>327</v>
      </c>
      <c r="C270" s="132">
        <v>2682</v>
      </c>
      <c r="D270" s="128" t="s">
        <v>812</v>
      </c>
      <c r="E270" s="129" t="s">
        <v>770</v>
      </c>
      <c r="F270" s="113">
        <v>1.1000000000000001</v>
      </c>
      <c r="G270" s="130">
        <v>26.400000000000002</v>
      </c>
      <c r="H270" s="143"/>
      <c r="I270" s="131">
        <f t="shared" si="5"/>
        <v>0</v>
      </c>
      <c r="J270"/>
      <c r="K270"/>
      <c r="L270"/>
      <c r="M270"/>
    </row>
    <row r="271" spans="1:13" ht="22.5" x14ac:dyDescent="0.2">
      <c r="A271" s="125" t="s">
        <v>508</v>
      </c>
      <c r="B271" s="126" t="s">
        <v>327</v>
      </c>
      <c r="C271" s="132">
        <v>2637</v>
      </c>
      <c r="D271" s="128" t="s">
        <v>868</v>
      </c>
      <c r="E271" s="129" t="s">
        <v>529</v>
      </c>
      <c r="F271" s="113">
        <v>1</v>
      </c>
      <c r="G271" s="130">
        <v>46</v>
      </c>
      <c r="H271" s="143"/>
      <c r="I271" s="131">
        <f t="shared" si="5"/>
        <v>0</v>
      </c>
      <c r="J271"/>
      <c r="K271"/>
      <c r="L271"/>
      <c r="M271"/>
    </row>
    <row r="272" spans="1:13" ht="22.5" x14ac:dyDescent="0.2">
      <c r="A272" s="125" t="s">
        <v>508</v>
      </c>
      <c r="B272" s="126" t="s">
        <v>327</v>
      </c>
      <c r="C272" s="132">
        <v>392</v>
      </c>
      <c r="D272" s="128" t="s">
        <v>769</v>
      </c>
      <c r="E272" s="129" t="s">
        <v>529</v>
      </c>
      <c r="F272" s="113">
        <v>0.33300000000000002</v>
      </c>
      <c r="G272" s="130">
        <v>15.318000000000001</v>
      </c>
      <c r="H272" s="143"/>
      <c r="I272" s="131">
        <f t="shared" si="5"/>
        <v>0</v>
      </c>
      <c r="J272"/>
      <c r="K272"/>
      <c r="L272"/>
      <c r="M272"/>
    </row>
    <row r="273" spans="1:13" ht="22.5" x14ac:dyDescent="0.2">
      <c r="A273" s="125" t="s">
        <v>508</v>
      </c>
      <c r="B273" s="126" t="s">
        <v>327</v>
      </c>
      <c r="C273" s="132">
        <v>21128</v>
      </c>
      <c r="D273" s="128" t="s">
        <v>814</v>
      </c>
      <c r="E273" s="129" t="s">
        <v>770</v>
      </c>
      <c r="F273" s="113">
        <v>1</v>
      </c>
      <c r="G273" s="130">
        <v>46</v>
      </c>
      <c r="H273" s="143"/>
      <c r="I273" s="131">
        <f t="shared" si="5"/>
        <v>0</v>
      </c>
      <c r="J273"/>
      <c r="K273"/>
      <c r="L273"/>
      <c r="M273"/>
    </row>
    <row r="274" spans="1:13" ht="22.5" x14ac:dyDescent="0.2">
      <c r="A274" s="125" t="s">
        <v>509</v>
      </c>
      <c r="B274" s="126" t="s">
        <v>327</v>
      </c>
      <c r="C274" s="132">
        <v>392</v>
      </c>
      <c r="D274" s="128" t="s">
        <v>769</v>
      </c>
      <c r="E274" s="129" t="s">
        <v>529</v>
      </c>
      <c r="F274" s="113">
        <v>0.33300000000000002</v>
      </c>
      <c r="G274" s="130">
        <v>93.906000000000006</v>
      </c>
      <c r="H274" s="143"/>
      <c r="I274" s="131">
        <f t="shared" si="5"/>
        <v>0</v>
      </c>
      <c r="J274"/>
      <c r="K274"/>
      <c r="L274"/>
      <c r="M274"/>
    </row>
    <row r="275" spans="1:13" x14ac:dyDescent="0.2">
      <c r="A275" s="125" t="s">
        <v>509</v>
      </c>
      <c r="B275" s="126" t="s">
        <v>327</v>
      </c>
      <c r="C275" s="132">
        <v>2678</v>
      </c>
      <c r="D275" s="128" t="s">
        <v>813</v>
      </c>
      <c r="E275" s="129" t="s">
        <v>770</v>
      </c>
      <c r="F275" s="113">
        <v>1.048</v>
      </c>
      <c r="G275" s="130">
        <v>295.536</v>
      </c>
      <c r="H275" s="143"/>
      <c r="I275" s="131">
        <f t="shared" si="5"/>
        <v>0</v>
      </c>
      <c r="J275"/>
      <c r="K275"/>
      <c r="L275"/>
      <c r="M275"/>
    </row>
    <row r="276" spans="1:13" ht="22.5" x14ac:dyDescent="0.2">
      <c r="A276" s="125" t="s">
        <v>510</v>
      </c>
      <c r="B276" s="126" t="s">
        <v>327</v>
      </c>
      <c r="C276" s="132">
        <v>11950</v>
      </c>
      <c r="D276" s="128" t="s">
        <v>781</v>
      </c>
      <c r="E276" s="129" t="s">
        <v>529</v>
      </c>
      <c r="F276" s="113">
        <v>2</v>
      </c>
      <c r="G276" s="130">
        <v>44</v>
      </c>
      <c r="H276" s="143"/>
      <c r="I276" s="131">
        <f t="shared" si="5"/>
        <v>0</v>
      </c>
      <c r="J276"/>
      <c r="K276"/>
      <c r="L276"/>
      <c r="M276"/>
    </row>
    <row r="277" spans="1:13" x14ac:dyDescent="0.2">
      <c r="A277" s="125" t="s">
        <v>510</v>
      </c>
      <c r="B277" s="126" t="s">
        <v>327</v>
      </c>
      <c r="C277" s="132">
        <v>12020</v>
      </c>
      <c r="D277" s="128" t="s">
        <v>803</v>
      </c>
      <c r="E277" s="129" t="s">
        <v>529</v>
      </c>
      <c r="F277" s="113">
        <v>1</v>
      </c>
      <c r="G277" s="130">
        <v>22</v>
      </c>
      <c r="H277" s="143"/>
      <c r="I277" s="131">
        <f t="shared" si="5"/>
        <v>0</v>
      </c>
      <c r="J277"/>
      <c r="K277"/>
      <c r="L277"/>
      <c r="M277"/>
    </row>
    <row r="278" spans="1:13" ht="22.5" x14ac:dyDescent="0.2">
      <c r="A278" s="125" t="s">
        <v>511</v>
      </c>
      <c r="B278" s="126" t="s">
        <v>327</v>
      </c>
      <c r="C278" s="132">
        <v>11950</v>
      </c>
      <c r="D278" s="128" t="s">
        <v>781</v>
      </c>
      <c r="E278" s="129" t="s">
        <v>529</v>
      </c>
      <c r="F278" s="113">
        <v>2</v>
      </c>
      <c r="G278" s="130">
        <v>80</v>
      </c>
      <c r="H278" s="143"/>
      <c r="I278" s="131">
        <f t="shared" si="5"/>
        <v>0</v>
      </c>
      <c r="J278"/>
      <c r="K278"/>
      <c r="L278"/>
      <c r="M278"/>
    </row>
    <row r="279" spans="1:13" ht="22.5" x14ac:dyDescent="0.2">
      <c r="A279" s="125" t="s">
        <v>511</v>
      </c>
      <c r="B279" s="126" t="s">
        <v>327</v>
      </c>
      <c r="C279" s="132">
        <v>2586</v>
      </c>
      <c r="D279" s="128" t="s">
        <v>801</v>
      </c>
      <c r="E279" s="129" t="s">
        <v>529</v>
      </c>
      <c r="F279" s="113">
        <v>1</v>
      </c>
      <c r="G279" s="130">
        <v>40</v>
      </c>
      <c r="H279" s="143"/>
      <c r="I279" s="131">
        <f t="shared" si="5"/>
        <v>0</v>
      </c>
      <c r="J279"/>
      <c r="K279"/>
      <c r="L279"/>
      <c r="M279"/>
    </row>
    <row r="280" spans="1:13" x14ac:dyDescent="0.2">
      <c r="A280" s="125" t="s">
        <v>512</v>
      </c>
      <c r="B280" s="126" t="s">
        <v>327</v>
      </c>
      <c r="C280" s="132">
        <v>12016</v>
      </c>
      <c r="D280" s="128" t="s">
        <v>802</v>
      </c>
      <c r="E280" s="129" t="s">
        <v>529</v>
      </c>
      <c r="F280" s="113">
        <v>1</v>
      </c>
      <c r="G280" s="130">
        <v>5</v>
      </c>
      <c r="H280" s="143"/>
      <c r="I280" s="131">
        <f t="shared" si="5"/>
        <v>0</v>
      </c>
      <c r="J280"/>
      <c r="K280"/>
      <c r="L280"/>
      <c r="M280"/>
    </row>
    <row r="281" spans="1:13" ht="22.5" x14ac:dyDescent="0.2">
      <c r="A281" s="125" t="s">
        <v>513</v>
      </c>
      <c r="B281" s="126" t="s">
        <v>327</v>
      </c>
      <c r="C281" s="132">
        <v>11950</v>
      </c>
      <c r="D281" s="128" t="s">
        <v>781</v>
      </c>
      <c r="E281" s="129" t="s">
        <v>529</v>
      </c>
      <c r="F281" s="113">
        <v>2</v>
      </c>
      <c r="G281" s="130">
        <v>114</v>
      </c>
      <c r="H281" s="143"/>
      <c r="I281" s="131">
        <f t="shared" si="5"/>
        <v>0</v>
      </c>
      <c r="J281"/>
      <c r="K281"/>
      <c r="L281"/>
      <c r="M281"/>
    </row>
    <row r="282" spans="1:13" ht="22.5" x14ac:dyDescent="0.2">
      <c r="A282" s="125" t="s">
        <v>513</v>
      </c>
      <c r="B282" s="126" t="s">
        <v>327</v>
      </c>
      <c r="C282" s="132">
        <v>2559</v>
      </c>
      <c r="D282" s="128" t="s">
        <v>800</v>
      </c>
      <c r="E282" s="129" t="s">
        <v>529</v>
      </c>
      <c r="F282" s="113">
        <v>1</v>
      </c>
      <c r="G282" s="130">
        <v>57</v>
      </c>
      <c r="H282" s="143"/>
      <c r="I282" s="131">
        <f t="shared" si="5"/>
        <v>0</v>
      </c>
      <c r="J282"/>
      <c r="K282"/>
      <c r="L282"/>
      <c r="M282"/>
    </row>
    <row r="283" spans="1:13" ht="34.5" customHeight="1" x14ac:dyDescent="0.2">
      <c r="A283" s="125" t="s">
        <v>514</v>
      </c>
      <c r="B283" s="126" t="s">
        <v>327</v>
      </c>
      <c r="C283" s="132">
        <v>1014</v>
      </c>
      <c r="D283" s="128" t="s">
        <v>787</v>
      </c>
      <c r="E283" s="129" t="s">
        <v>770</v>
      </c>
      <c r="F283" s="113">
        <v>1.19</v>
      </c>
      <c r="G283" s="130">
        <v>2682.2599999999998</v>
      </c>
      <c r="H283" s="143"/>
      <c r="I283" s="131">
        <f t="shared" si="5"/>
        <v>0</v>
      </c>
      <c r="J283"/>
      <c r="K283"/>
      <c r="L283"/>
      <c r="M283"/>
    </row>
    <row r="284" spans="1:13" ht="22.5" x14ac:dyDescent="0.2">
      <c r="A284" s="125" t="s">
        <v>514</v>
      </c>
      <c r="B284" s="126" t="s">
        <v>327</v>
      </c>
      <c r="C284" s="132">
        <v>21127</v>
      </c>
      <c r="D284" s="128" t="s">
        <v>819</v>
      </c>
      <c r="E284" s="129" t="s">
        <v>529</v>
      </c>
      <c r="F284" s="113">
        <v>8.9999999999999993E-3</v>
      </c>
      <c r="G284" s="130">
        <v>20.285999999999998</v>
      </c>
      <c r="H284" s="143"/>
      <c r="I284" s="131">
        <f t="shared" si="5"/>
        <v>0</v>
      </c>
      <c r="J284"/>
      <c r="K284"/>
      <c r="L284"/>
      <c r="M284"/>
    </row>
    <row r="285" spans="1:13" ht="22.5" x14ac:dyDescent="0.2">
      <c r="A285" s="125" t="s">
        <v>515</v>
      </c>
      <c r="B285" s="126" t="s">
        <v>327</v>
      </c>
      <c r="C285" s="132">
        <v>981</v>
      </c>
      <c r="D285" s="128" t="s">
        <v>789</v>
      </c>
      <c r="E285" s="129" t="s">
        <v>770</v>
      </c>
      <c r="F285" s="113">
        <v>1.19</v>
      </c>
      <c r="G285" s="130">
        <v>205.87</v>
      </c>
      <c r="H285" s="143"/>
      <c r="I285" s="131">
        <f t="shared" si="5"/>
        <v>0</v>
      </c>
      <c r="J285"/>
      <c r="K285"/>
      <c r="L285"/>
      <c r="M285"/>
    </row>
    <row r="286" spans="1:13" ht="22.5" x14ac:dyDescent="0.2">
      <c r="A286" s="125" t="s">
        <v>515</v>
      </c>
      <c r="B286" s="126" t="s">
        <v>327</v>
      </c>
      <c r="C286" s="132">
        <v>21127</v>
      </c>
      <c r="D286" s="128" t="s">
        <v>819</v>
      </c>
      <c r="E286" s="129" t="s">
        <v>529</v>
      </c>
      <c r="F286" s="113">
        <v>8.9999999999999993E-3</v>
      </c>
      <c r="G286" s="130">
        <v>1.5569999999999999</v>
      </c>
      <c r="H286" s="143"/>
      <c r="I286" s="131">
        <f t="shared" si="5"/>
        <v>0</v>
      </c>
      <c r="J286"/>
      <c r="K286"/>
      <c r="L286"/>
      <c r="M286"/>
    </row>
    <row r="287" spans="1:13" ht="22.5" x14ac:dyDescent="0.2">
      <c r="A287" s="125" t="s">
        <v>516</v>
      </c>
      <c r="B287" s="126" t="s">
        <v>327</v>
      </c>
      <c r="C287" s="132">
        <v>982</v>
      </c>
      <c r="D287" s="128" t="s">
        <v>791</v>
      </c>
      <c r="E287" s="129" t="s">
        <v>770</v>
      </c>
      <c r="F287" s="113">
        <v>1.19</v>
      </c>
      <c r="G287" s="130">
        <v>71.399999999999991</v>
      </c>
      <c r="H287" s="143"/>
      <c r="I287" s="131">
        <f t="shared" si="5"/>
        <v>0</v>
      </c>
      <c r="J287"/>
      <c r="K287"/>
      <c r="L287"/>
      <c r="M287"/>
    </row>
    <row r="288" spans="1:13" ht="22.5" x14ac:dyDescent="0.2">
      <c r="A288" s="125" t="s">
        <v>516</v>
      </c>
      <c r="B288" s="126" t="s">
        <v>327</v>
      </c>
      <c r="C288" s="132">
        <v>21127</v>
      </c>
      <c r="D288" s="128" t="s">
        <v>819</v>
      </c>
      <c r="E288" s="129" t="s">
        <v>529</v>
      </c>
      <c r="F288" s="113">
        <v>8.9999999999999993E-3</v>
      </c>
      <c r="G288" s="130">
        <v>0.53999999999999992</v>
      </c>
      <c r="H288" s="143"/>
      <c r="I288" s="131">
        <f t="shared" si="5"/>
        <v>0</v>
      </c>
      <c r="J288"/>
      <c r="K288"/>
      <c r="L288"/>
      <c r="M288"/>
    </row>
    <row r="289" spans="1:13" ht="33.75" x14ac:dyDescent="0.2">
      <c r="A289" s="125" t="s">
        <v>517</v>
      </c>
      <c r="B289" s="126" t="s">
        <v>327</v>
      </c>
      <c r="C289" s="132">
        <v>1020</v>
      </c>
      <c r="D289" s="128" t="s">
        <v>783</v>
      </c>
      <c r="E289" s="129" t="s">
        <v>770</v>
      </c>
      <c r="F289" s="113">
        <v>1.19</v>
      </c>
      <c r="G289" s="130">
        <v>14.28</v>
      </c>
      <c r="H289" s="143"/>
      <c r="I289" s="131">
        <f t="shared" si="5"/>
        <v>0</v>
      </c>
      <c r="J289"/>
      <c r="K289"/>
      <c r="L289"/>
      <c r="M289"/>
    </row>
    <row r="290" spans="1:13" ht="22.5" x14ac:dyDescent="0.2">
      <c r="A290" s="125" t="s">
        <v>517</v>
      </c>
      <c r="B290" s="126" t="s">
        <v>327</v>
      </c>
      <c r="C290" s="132">
        <v>21127</v>
      </c>
      <c r="D290" s="128" t="s">
        <v>819</v>
      </c>
      <c r="E290" s="129" t="s">
        <v>529</v>
      </c>
      <c r="F290" s="113">
        <v>8.9999999999999993E-3</v>
      </c>
      <c r="G290" s="130">
        <v>0.10799999999999998</v>
      </c>
      <c r="H290" s="143"/>
      <c r="I290" s="131">
        <f t="shared" si="5"/>
        <v>0</v>
      </c>
      <c r="J290"/>
      <c r="K290"/>
      <c r="L290"/>
      <c r="M290"/>
    </row>
    <row r="291" spans="1:13" ht="33.75" x14ac:dyDescent="0.2">
      <c r="A291" s="125" t="s">
        <v>518</v>
      </c>
      <c r="B291" s="126" t="s">
        <v>327</v>
      </c>
      <c r="C291" s="132">
        <v>995</v>
      </c>
      <c r="D291" s="128" t="s">
        <v>784</v>
      </c>
      <c r="E291" s="129" t="s">
        <v>770</v>
      </c>
      <c r="F291" s="113">
        <v>1.19</v>
      </c>
      <c r="G291" s="130">
        <v>20.23</v>
      </c>
      <c r="H291" s="143"/>
      <c r="I291" s="131">
        <f t="shared" si="5"/>
        <v>0</v>
      </c>
      <c r="J291"/>
      <c r="K291"/>
      <c r="L291"/>
      <c r="M291"/>
    </row>
    <row r="292" spans="1:13" ht="22.5" x14ac:dyDescent="0.2">
      <c r="A292" s="125" t="s">
        <v>518</v>
      </c>
      <c r="B292" s="126" t="s">
        <v>327</v>
      </c>
      <c r="C292" s="132">
        <v>21127</v>
      </c>
      <c r="D292" s="128" t="s">
        <v>819</v>
      </c>
      <c r="E292" s="129" t="s">
        <v>529</v>
      </c>
      <c r="F292" s="113">
        <v>8.9999999999999993E-3</v>
      </c>
      <c r="G292" s="130">
        <v>0.153</v>
      </c>
      <c r="H292" s="143"/>
      <c r="I292" s="131">
        <f t="shared" si="5"/>
        <v>0</v>
      </c>
      <c r="J292"/>
      <c r="K292"/>
      <c r="L292"/>
      <c r="M292"/>
    </row>
    <row r="293" spans="1:13" ht="22.5" x14ac:dyDescent="0.2">
      <c r="A293" s="125" t="s">
        <v>519</v>
      </c>
      <c r="B293" s="126" t="s">
        <v>327</v>
      </c>
      <c r="C293" s="132">
        <v>39232</v>
      </c>
      <c r="D293" s="128" t="s">
        <v>788</v>
      </c>
      <c r="E293" s="129" t="s">
        <v>770</v>
      </c>
      <c r="F293" s="113">
        <v>1.0149999999999999</v>
      </c>
      <c r="G293" s="130">
        <v>34.51</v>
      </c>
      <c r="H293" s="143"/>
      <c r="I293" s="131">
        <f t="shared" si="5"/>
        <v>0</v>
      </c>
      <c r="J293"/>
      <c r="K293"/>
      <c r="L293"/>
      <c r="M293"/>
    </row>
    <row r="294" spans="1:13" ht="22.5" x14ac:dyDescent="0.2">
      <c r="A294" s="125" t="s">
        <v>519</v>
      </c>
      <c r="B294" s="126" t="s">
        <v>327</v>
      </c>
      <c r="C294" s="132">
        <v>21127</v>
      </c>
      <c r="D294" s="128" t="s">
        <v>819</v>
      </c>
      <c r="E294" s="129" t="s">
        <v>529</v>
      </c>
      <c r="F294" s="113">
        <v>8.9999999999999993E-3</v>
      </c>
      <c r="G294" s="130">
        <v>0.30599999999999999</v>
      </c>
      <c r="H294" s="143"/>
      <c r="I294" s="131">
        <f t="shared" si="5"/>
        <v>0</v>
      </c>
      <c r="J294"/>
      <c r="K294"/>
      <c r="L294"/>
      <c r="M294"/>
    </row>
    <row r="295" spans="1:13" ht="22.5" x14ac:dyDescent="0.2">
      <c r="A295" s="125" t="s">
        <v>520</v>
      </c>
      <c r="B295" s="126" t="s">
        <v>327</v>
      </c>
      <c r="C295" s="132">
        <v>39234</v>
      </c>
      <c r="D295" s="128" t="s">
        <v>790</v>
      </c>
      <c r="E295" s="129" t="s">
        <v>770</v>
      </c>
      <c r="F295" s="113">
        <v>1.0149999999999999</v>
      </c>
      <c r="G295" s="130">
        <v>23.344999999999999</v>
      </c>
      <c r="H295" s="143"/>
      <c r="I295" s="131">
        <f t="shared" si="5"/>
        <v>0</v>
      </c>
      <c r="J295"/>
      <c r="K295"/>
      <c r="L295"/>
      <c r="M295"/>
    </row>
    <row r="296" spans="1:13" ht="22.5" x14ac:dyDescent="0.2">
      <c r="A296" s="125" t="s">
        <v>520</v>
      </c>
      <c r="B296" s="126" t="s">
        <v>327</v>
      </c>
      <c r="C296" s="132">
        <v>21127</v>
      </c>
      <c r="D296" s="128" t="s">
        <v>819</v>
      </c>
      <c r="E296" s="129" t="s">
        <v>529</v>
      </c>
      <c r="F296" s="113">
        <v>8.9999999999999993E-3</v>
      </c>
      <c r="G296" s="130">
        <v>0.20699999999999999</v>
      </c>
      <c r="H296" s="143"/>
      <c r="I296" s="131">
        <f t="shared" si="5"/>
        <v>0</v>
      </c>
      <c r="J296"/>
      <c r="K296"/>
      <c r="L296"/>
      <c r="M296"/>
    </row>
    <row r="297" spans="1:13" ht="33.75" x14ac:dyDescent="0.2">
      <c r="A297" s="125" t="s">
        <v>521</v>
      </c>
      <c r="B297" s="126" t="s">
        <v>327</v>
      </c>
      <c r="C297" s="132">
        <v>1018</v>
      </c>
      <c r="D297" s="128" t="s">
        <v>785</v>
      </c>
      <c r="E297" s="129" t="s">
        <v>770</v>
      </c>
      <c r="F297" s="113">
        <v>1.0149999999999999</v>
      </c>
      <c r="G297" s="130">
        <v>21.314999999999998</v>
      </c>
      <c r="H297" s="143"/>
      <c r="I297" s="131">
        <f t="shared" si="5"/>
        <v>0</v>
      </c>
      <c r="J297"/>
      <c r="K297"/>
      <c r="L297"/>
      <c r="M297"/>
    </row>
    <row r="298" spans="1:13" ht="22.5" x14ac:dyDescent="0.2">
      <c r="A298" s="125" t="s">
        <v>521</v>
      </c>
      <c r="B298" s="126" t="s">
        <v>327</v>
      </c>
      <c r="C298" s="132">
        <v>21127</v>
      </c>
      <c r="D298" s="128" t="s">
        <v>819</v>
      </c>
      <c r="E298" s="129" t="s">
        <v>529</v>
      </c>
      <c r="F298" s="113">
        <v>8.9999999999999993E-3</v>
      </c>
      <c r="G298" s="130">
        <v>0.18899999999999997</v>
      </c>
      <c r="H298" s="143"/>
      <c r="I298" s="131">
        <f t="shared" si="5"/>
        <v>0</v>
      </c>
      <c r="J298"/>
      <c r="K298"/>
      <c r="L298"/>
      <c r="M298"/>
    </row>
    <row r="299" spans="1:13" ht="37.5" customHeight="1" x14ac:dyDescent="0.2">
      <c r="A299" s="125" t="s">
        <v>522</v>
      </c>
      <c r="B299" s="126" t="s">
        <v>327</v>
      </c>
      <c r="C299" s="132">
        <v>998</v>
      </c>
      <c r="D299" s="128" t="s">
        <v>786</v>
      </c>
      <c r="E299" s="129" t="s">
        <v>770</v>
      </c>
      <c r="F299" s="113">
        <v>1.0149999999999999</v>
      </c>
      <c r="G299" s="130">
        <v>86.274999999999991</v>
      </c>
      <c r="H299" s="143"/>
      <c r="I299" s="131">
        <f t="shared" si="5"/>
        <v>0</v>
      </c>
      <c r="J299" s="136"/>
      <c r="K299"/>
      <c r="L299"/>
      <c r="M299"/>
    </row>
    <row r="300" spans="1:13" ht="22.5" x14ac:dyDescent="0.2">
      <c r="A300" s="125" t="s">
        <v>522</v>
      </c>
      <c r="B300" s="126" t="s">
        <v>327</v>
      </c>
      <c r="C300" s="132">
        <v>21127</v>
      </c>
      <c r="D300" s="128" t="s">
        <v>819</v>
      </c>
      <c r="E300" s="129" t="s">
        <v>529</v>
      </c>
      <c r="F300" s="113">
        <v>8.9999999999999993E-3</v>
      </c>
      <c r="G300" s="130">
        <v>0.7649999999999999</v>
      </c>
      <c r="H300" s="143"/>
      <c r="I300" s="131">
        <f t="shared" si="5"/>
        <v>0</v>
      </c>
      <c r="J300"/>
      <c r="K300"/>
      <c r="L300"/>
      <c r="M300"/>
    </row>
    <row r="301" spans="1:13" ht="22.5" x14ac:dyDescent="0.2">
      <c r="A301" s="125" t="s">
        <v>523</v>
      </c>
      <c r="B301" s="126" t="s">
        <v>327</v>
      </c>
      <c r="C301" s="132">
        <v>4356</v>
      </c>
      <c r="D301" s="128" t="s">
        <v>870</v>
      </c>
      <c r="E301" s="129" t="s">
        <v>529</v>
      </c>
      <c r="F301" s="113">
        <v>1</v>
      </c>
      <c r="G301" s="130">
        <v>12</v>
      </c>
      <c r="H301" s="143"/>
      <c r="I301" s="131">
        <f t="shared" si="5"/>
        <v>0</v>
      </c>
      <c r="J301"/>
      <c r="K301"/>
      <c r="L301"/>
      <c r="M301"/>
    </row>
    <row r="302" spans="1:13" ht="22.5" x14ac:dyDescent="0.2">
      <c r="A302" s="125" t="s">
        <v>523</v>
      </c>
      <c r="B302" s="126" t="s">
        <v>327</v>
      </c>
      <c r="C302" s="132">
        <v>7572</v>
      </c>
      <c r="D302" s="128" t="s">
        <v>885</v>
      </c>
      <c r="E302" s="129" t="s">
        <v>529</v>
      </c>
      <c r="F302" s="113">
        <v>1</v>
      </c>
      <c r="G302" s="130">
        <v>12</v>
      </c>
      <c r="H302" s="143"/>
      <c r="I302" s="131">
        <f t="shared" si="5"/>
        <v>0</v>
      </c>
      <c r="J302"/>
      <c r="K302"/>
      <c r="L302"/>
      <c r="M302"/>
    </row>
    <row r="303" spans="1:13" x14ac:dyDescent="0.2">
      <c r="A303" s="125" t="s">
        <v>523</v>
      </c>
      <c r="B303" s="126" t="s">
        <v>327</v>
      </c>
      <c r="C303" s="132">
        <v>867</v>
      </c>
      <c r="D303" s="128" t="s">
        <v>782</v>
      </c>
      <c r="E303" s="129" t="s">
        <v>770</v>
      </c>
      <c r="F303" s="113">
        <v>1.05</v>
      </c>
      <c r="G303" s="130">
        <v>12.600000000000001</v>
      </c>
      <c r="H303" s="143"/>
      <c r="I303" s="131">
        <f t="shared" si="5"/>
        <v>0</v>
      </c>
      <c r="J303"/>
      <c r="K303"/>
      <c r="L303"/>
      <c r="M303"/>
    </row>
    <row r="304" spans="1:13" ht="22.5" x14ac:dyDescent="0.2">
      <c r="A304" s="125" t="s">
        <v>524</v>
      </c>
      <c r="B304" s="126" t="s">
        <v>327</v>
      </c>
      <c r="C304" s="132">
        <v>1586</v>
      </c>
      <c r="D304" s="128" t="s">
        <v>905</v>
      </c>
      <c r="E304" s="129" t="s">
        <v>529</v>
      </c>
      <c r="F304" s="113">
        <v>1</v>
      </c>
      <c r="G304" s="130">
        <v>1</v>
      </c>
      <c r="H304" s="143"/>
      <c r="I304" s="131">
        <f t="shared" si="5"/>
        <v>0</v>
      </c>
      <c r="J304"/>
      <c r="K304"/>
      <c r="L304"/>
      <c r="M304"/>
    </row>
    <row r="305" spans="1:13" x14ac:dyDescent="0.2">
      <c r="A305" s="125" t="s">
        <v>525</v>
      </c>
      <c r="B305" s="126" t="s">
        <v>327</v>
      </c>
      <c r="C305" s="132">
        <v>34686</v>
      </c>
      <c r="D305" s="128" t="s">
        <v>807</v>
      </c>
      <c r="E305" s="129" t="s">
        <v>529</v>
      </c>
      <c r="F305" s="113">
        <v>1</v>
      </c>
      <c r="G305" s="130">
        <v>0</v>
      </c>
      <c r="H305" s="143"/>
      <c r="I305" s="131">
        <f t="shared" si="5"/>
        <v>0</v>
      </c>
      <c r="J305"/>
      <c r="K305"/>
      <c r="L305"/>
      <c r="M305"/>
    </row>
    <row r="306" spans="1:13" ht="22.5" x14ac:dyDescent="0.2">
      <c r="A306" s="125" t="s">
        <v>525</v>
      </c>
      <c r="B306" s="126" t="s">
        <v>327</v>
      </c>
      <c r="C306" s="132">
        <v>1575</v>
      </c>
      <c r="D306" s="128" t="s">
        <v>899</v>
      </c>
      <c r="E306" s="129" t="s">
        <v>529</v>
      </c>
      <c r="F306" s="113">
        <v>1</v>
      </c>
      <c r="G306" s="130">
        <v>0</v>
      </c>
      <c r="H306" s="143"/>
      <c r="I306" s="131">
        <f t="shared" si="5"/>
        <v>0</v>
      </c>
      <c r="J306"/>
      <c r="K306"/>
      <c r="L306"/>
      <c r="M306"/>
    </row>
    <row r="307" spans="1:13" ht="22.5" x14ac:dyDescent="0.2">
      <c r="A307" s="125">
        <v>276</v>
      </c>
      <c r="B307" s="61" t="s">
        <v>357</v>
      </c>
      <c r="C307" s="61">
        <v>1</v>
      </c>
      <c r="D307" s="128" t="s">
        <v>924</v>
      </c>
      <c r="E307" s="113" t="s">
        <v>925</v>
      </c>
      <c r="F307" s="113">
        <v>1</v>
      </c>
      <c r="G307" s="130">
        <v>111</v>
      </c>
      <c r="H307" s="143"/>
      <c r="I307" s="131">
        <f t="shared" si="5"/>
        <v>0</v>
      </c>
      <c r="J307"/>
      <c r="K307"/>
      <c r="L307"/>
      <c r="M307"/>
    </row>
    <row r="308" spans="1:13" ht="22.5" x14ac:dyDescent="0.2">
      <c r="A308" s="125">
        <v>277</v>
      </c>
      <c r="B308" s="61" t="s">
        <v>357</v>
      </c>
      <c r="C308" s="61">
        <v>2</v>
      </c>
      <c r="D308" s="128" t="s">
        <v>926</v>
      </c>
      <c r="E308" s="113" t="s">
        <v>925</v>
      </c>
      <c r="F308" s="113">
        <v>1</v>
      </c>
      <c r="G308" s="130">
        <v>0</v>
      </c>
      <c r="H308" s="143"/>
      <c r="I308" s="131">
        <f t="shared" si="5"/>
        <v>0</v>
      </c>
      <c r="J308"/>
      <c r="K308"/>
      <c r="L308"/>
      <c r="M308"/>
    </row>
    <row r="309" spans="1:13" ht="30.75" customHeight="1" x14ac:dyDescent="0.2">
      <c r="A309" s="125">
        <v>278</v>
      </c>
      <c r="B309" s="61" t="s">
        <v>357</v>
      </c>
      <c r="C309" s="61">
        <v>3</v>
      </c>
      <c r="D309" s="128" t="s">
        <v>927</v>
      </c>
      <c r="E309" s="113" t="s">
        <v>925</v>
      </c>
      <c r="F309" s="113">
        <v>1</v>
      </c>
      <c r="G309" s="130">
        <v>0</v>
      </c>
      <c r="H309" s="143"/>
      <c r="I309" s="131">
        <f t="shared" si="5"/>
        <v>0</v>
      </c>
      <c r="J309"/>
      <c r="K309"/>
      <c r="L309"/>
      <c r="M309"/>
    </row>
    <row r="310" spans="1:13" ht="25.5" customHeight="1" x14ac:dyDescent="0.2">
      <c r="A310" s="125">
        <v>279</v>
      </c>
      <c r="B310" s="61" t="s">
        <v>357</v>
      </c>
      <c r="C310" s="61">
        <v>4</v>
      </c>
      <c r="D310" s="128" t="s">
        <v>928</v>
      </c>
      <c r="E310" s="113" t="s">
        <v>925</v>
      </c>
      <c r="F310" s="113">
        <v>1</v>
      </c>
      <c r="G310" s="130">
        <v>0</v>
      </c>
      <c r="H310" s="143"/>
      <c r="I310" s="131">
        <f t="shared" si="5"/>
        <v>0</v>
      </c>
      <c r="J310"/>
      <c r="K310"/>
      <c r="L310"/>
      <c r="M310"/>
    </row>
    <row r="311" spans="1:13" ht="24.75" customHeight="1" x14ac:dyDescent="0.2">
      <c r="A311" s="125">
        <v>280</v>
      </c>
      <c r="B311" s="61" t="s">
        <v>357</v>
      </c>
      <c r="C311" s="61">
        <v>5</v>
      </c>
      <c r="D311" s="128" t="s">
        <v>929</v>
      </c>
      <c r="E311" s="113" t="s">
        <v>925</v>
      </c>
      <c r="F311" s="113">
        <v>1</v>
      </c>
      <c r="G311" s="130">
        <v>0</v>
      </c>
      <c r="H311" s="143"/>
      <c r="I311" s="131">
        <f t="shared" si="5"/>
        <v>0</v>
      </c>
      <c r="J311"/>
      <c r="K311"/>
      <c r="L311"/>
      <c r="M311"/>
    </row>
    <row r="312" spans="1:13" ht="30" customHeight="1" x14ac:dyDescent="0.2">
      <c r="A312" s="125">
        <v>281</v>
      </c>
      <c r="B312" s="61" t="s">
        <v>357</v>
      </c>
      <c r="C312" s="61">
        <v>6</v>
      </c>
      <c r="D312" s="128" t="s">
        <v>930</v>
      </c>
      <c r="E312" s="113" t="s">
        <v>925</v>
      </c>
      <c r="F312" s="113">
        <v>1</v>
      </c>
      <c r="G312" s="130">
        <v>0</v>
      </c>
      <c r="H312" s="143"/>
      <c r="I312" s="131">
        <f t="shared" si="5"/>
        <v>0</v>
      </c>
      <c r="J312"/>
      <c r="K312"/>
      <c r="L312"/>
      <c r="M312"/>
    </row>
    <row r="313" spans="1:13" ht="30" customHeight="1" x14ac:dyDescent="0.2">
      <c r="A313" s="125">
        <v>282</v>
      </c>
      <c r="B313" s="61" t="s">
        <v>357</v>
      </c>
      <c r="C313" s="61">
        <v>7</v>
      </c>
      <c r="D313" s="128" t="s">
        <v>931</v>
      </c>
      <c r="E313" s="113" t="s">
        <v>925</v>
      </c>
      <c r="F313" s="113">
        <v>1</v>
      </c>
      <c r="G313" s="130">
        <v>0</v>
      </c>
      <c r="H313" s="143"/>
      <c r="I313" s="131">
        <f t="shared" si="5"/>
        <v>0</v>
      </c>
      <c r="J313"/>
      <c r="K313"/>
      <c r="L313"/>
      <c r="M313"/>
    </row>
    <row r="314" spans="1:13" ht="30" customHeight="1" x14ac:dyDescent="0.2">
      <c r="A314" s="125">
        <v>283</v>
      </c>
      <c r="B314" s="61" t="s">
        <v>357</v>
      </c>
      <c r="C314" s="61">
        <v>8</v>
      </c>
      <c r="D314" s="128" t="s">
        <v>932</v>
      </c>
      <c r="E314" s="113" t="s">
        <v>925</v>
      </c>
      <c r="F314" s="113">
        <v>1</v>
      </c>
      <c r="G314" s="130">
        <v>0</v>
      </c>
      <c r="H314" s="143"/>
      <c r="I314" s="131">
        <f t="shared" si="5"/>
        <v>0</v>
      </c>
      <c r="J314"/>
      <c r="K314"/>
      <c r="L314"/>
      <c r="M314"/>
    </row>
    <row r="315" spans="1:13" ht="30" customHeight="1" x14ac:dyDescent="0.2">
      <c r="A315" s="125">
        <v>284</v>
      </c>
      <c r="B315" s="61" t="s">
        <v>357</v>
      </c>
      <c r="C315" s="61">
        <v>9</v>
      </c>
      <c r="D315" s="128" t="s">
        <v>933</v>
      </c>
      <c r="E315" s="113" t="s">
        <v>925</v>
      </c>
      <c r="F315" s="113">
        <v>1</v>
      </c>
      <c r="G315" s="130">
        <v>310</v>
      </c>
      <c r="H315" s="143"/>
      <c r="I315" s="131">
        <f t="shared" si="5"/>
        <v>0</v>
      </c>
      <c r="J315"/>
      <c r="K315"/>
      <c r="L315"/>
      <c r="M315"/>
    </row>
    <row r="316" spans="1:13" ht="22.5" x14ac:dyDescent="0.2">
      <c r="A316" s="125">
        <v>285</v>
      </c>
      <c r="B316" s="61" t="s">
        <v>357</v>
      </c>
      <c r="C316" s="61">
        <v>10</v>
      </c>
      <c r="D316" s="128" t="s">
        <v>934</v>
      </c>
      <c r="E316" s="113" t="s">
        <v>925</v>
      </c>
      <c r="F316" s="113">
        <v>1</v>
      </c>
      <c r="G316" s="130">
        <v>0</v>
      </c>
      <c r="H316" s="143"/>
      <c r="I316" s="131">
        <f t="shared" si="5"/>
        <v>0</v>
      </c>
      <c r="J316"/>
      <c r="K316"/>
      <c r="L316"/>
      <c r="M316"/>
    </row>
    <row r="317" spans="1:13" ht="22.5" x14ac:dyDescent="0.2">
      <c r="A317" s="125">
        <v>286</v>
      </c>
      <c r="B317" s="61" t="s">
        <v>357</v>
      </c>
      <c r="C317" s="61">
        <v>11</v>
      </c>
      <c r="D317" s="128" t="s">
        <v>935</v>
      </c>
      <c r="E317" s="113" t="s">
        <v>925</v>
      </c>
      <c r="F317" s="113">
        <v>1</v>
      </c>
      <c r="G317" s="130">
        <v>0</v>
      </c>
      <c r="H317" s="143"/>
      <c r="I317" s="131">
        <f t="shared" si="5"/>
        <v>0</v>
      </c>
      <c r="J317"/>
      <c r="K317"/>
      <c r="L317"/>
      <c r="M317"/>
    </row>
    <row r="318" spans="1:13" ht="22.5" x14ac:dyDescent="0.2">
      <c r="A318" s="125">
        <v>287</v>
      </c>
      <c r="B318" s="61" t="s">
        <v>357</v>
      </c>
      <c r="C318" s="61">
        <v>12</v>
      </c>
      <c r="D318" s="128" t="s">
        <v>936</v>
      </c>
      <c r="E318" s="113" t="s">
        <v>925</v>
      </c>
      <c r="F318" s="113">
        <v>1</v>
      </c>
      <c r="G318" s="130">
        <v>0</v>
      </c>
      <c r="H318" s="143"/>
      <c r="I318" s="131">
        <f t="shared" si="5"/>
        <v>0</v>
      </c>
      <c r="J318"/>
      <c r="K318"/>
      <c r="L318"/>
      <c r="M318"/>
    </row>
    <row r="319" spans="1:13" ht="22.5" x14ac:dyDescent="0.2">
      <c r="A319" s="125">
        <v>288</v>
      </c>
      <c r="B319" s="61" t="s">
        <v>357</v>
      </c>
      <c r="C319" s="61">
        <v>13</v>
      </c>
      <c r="D319" s="128" t="s">
        <v>937</v>
      </c>
      <c r="E319" s="113" t="s">
        <v>925</v>
      </c>
      <c r="F319" s="113">
        <v>1</v>
      </c>
      <c r="G319" s="130">
        <v>111</v>
      </c>
      <c r="H319" s="143"/>
      <c r="I319" s="131">
        <f t="shared" si="5"/>
        <v>0</v>
      </c>
      <c r="J319"/>
      <c r="K319"/>
      <c r="L319"/>
      <c r="M319"/>
    </row>
    <row r="320" spans="1:13" ht="22.5" x14ac:dyDescent="0.2">
      <c r="A320" s="125">
        <v>289</v>
      </c>
      <c r="B320" s="61" t="s">
        <v>357</v>
      </c>
      <c r="C320" s="61">
        <v>14</v>
      </c>
      <c r="D320" s="128" t="s">
        <v>938</v>
      </c>
      <c r="E320" s="113" t="s">
        <v>925</v>
      </c>
      <c r="F320" s="113">
        <v>1</v>
      </c>
      <c r="G320" s="130">
        <v>19</v>
      </c>
      <c r="H320" s="143"/>
      <c r="I320" s="131">
        <f t="shared" si="5"/>
        <v>0</v>
      </c>
      <c r="J320"/>
      <c r="K320"/>
      <c r="L320"/>
      <c r="M320"/>
    </row>
    <row r="321" spans="1:9" x14ac:dyDescent="0.2">
      <c r="A321" s="125"/>
      <c r="B321" s="61"/>
      <c r="C321" s="61"/>
      <c r="D321" s="128"/>
      <c r="E321" s="113"/>
      <c r="F321" s="113"/>
      <c r="G321" s="130"/>
      <c r="H321" s="131"/>
      <c r="I321" s="131"/>
    </row>
    <row r="322" spans="1:9" x14ac:dyDescent="0.2">
      <c r="A322"/>
      <c r="B322"/>
      <c r="C322"/>
      <c r="D322"/>
      <c r="E322"/>
      <c r="F322"/>
      <c r="G322"/>
      <c r="H322" s="137"/>
      <c r="I322" s="137"/>
    </row>
    <row r="323" spans="1:9" x14ac:dyDescent="0.2">
      <c r="A323" s="395" t="s">
        <v>526</v>
      </c>
      <c r="B323" s="395"/>
      <c r="C323" s="395"/>
      <c r="D323" s="395"/>
      <c r="E323" s="395"/>
      <c r="F323" s="395"/>
      <c r="G323" s="395"/>
      <c r="H323" s="395"/>
      <c r="I323" s="138">
        <f>SUM(I4:I321)</f>
        <v>0</v>
      </c>
    </row>
    <row r="324" spans="1:9" s="23" customFormat="1" ht="11.25" x14ac:dyDescent="0.2">
      <c r="A324" s="139"/>
      <c r="B324" s="139"/>
      <c r="C324" s="139"/>
      <c r="D324" s="140"/>
      <c r="E324" s="139"/>
      <c r="F324" s="139"/>
      <c r="G324" s="139"/>
      <c r="H324" s="139"/>
      <c r="I324" s="141"/>
    </row>
    <row r="325" spans="1:9" x14ac:dyDescent="0.2">
      <c r="A325" s="395" t="s">
        <v>527</v>
      </c>
      <c r="B325" s="395"/>
      <c r="C325" s="395"/>
      <c r="D325" s="395"/>
      <c r="E325" s="395"/>
      <c r="F325" s="395"/>
      <c r="G325" s="395"/>
      <c r="H325" s="395"/>
      <c r="I325" s="138">
        <f>I323/12</f>
        <v>0</v>
      </c>
    </row>
    <row r="326" spans="1:9" x14ac:dyDescent="0.2">
      <c r="A326"/>
      <c r="B326"/>
      <c r="C326"/>
      <c r="D326"/>
      <c r="E326"/>
      <c r="F326"/>
      <c r="G326"/>
      <c r="H326"/>
      <c r="I326"/>
    </row>
    <row r="327" spans="1:9" x14ac:dyDescent="0.2">
      <c r="A327" s="395" t="s">
        <v>362</v>
      </c>
      <c r="B327" s="395"/>
      <c r="C327" s="395"/>
      <c r="D327" s="395"/>
      <c r="E327" s="395"/>
      <c r="F327" s="395"/>
      <c r="G327" s="395"/>
      <c r="H327" s="395"/>
      <c r="I327" s="142">
        <f>'V - BDI'!C18</f>
        <v>4.7120418848167533E-2</v>
      </c>
    </row>
    <row r="328" spans="1:9" x14ac:dyDescent="0.2">
      <c r="A328"/>
      <c r="B328"/>
      <c r="C328"/>
      <c r="D328"/>
      <c r="E328"/>
      <c r="F328"/>
      <c r="G328"/>
      <c r="H328"/>
      <c r="I328"/>
    </row>
    <row r="329" spans="1:9" x14ac:dyDescent="0.2">
      <c r="A329" s="395" t="s">
        <v>528</v>
      </c>
      <c r="B329" s="395"/>
      <c r="C329" s="395"/>
      <c r="D329" s="395"/>
      <c r="E329" s="395"/>
      <c r="F329" s="395"/>
      <c r="G329" s="395"/>
      <c r="H329" s="395"/>
      <c r="I329" s="143">
        <f>I325*(1+I327)</f>
        <v>0</v>
      </c>
    </row>
  </sheetData>
  <mergeCells count="6">
    <mergeCell ref="A329:H329"/>
    <mergeCell ref="A1:I1"/>
    <mergeCell ref="H2:I2"/>
    <mergeCell ref="A323:H323"/>
    <mergeCell ref="A325:H325"/>
    <mergeCell ref="A327:H327"/>
  </mergeCells>
  <printOptions horizontalCentered="1"/>
  <pageMargins left="0.39370078740157483" right="0.39370078740157483" top="0.59055118110236227" bottom="0.39370078740157483" header="0" footer="0"/>
  <pageSetup paperSize="9" scale="66" firstPageNumber="0" fitToHeight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BCBC00BE725B408C196D063545436B" ma:contentTypeVersion="12" ma:contentTypeDescription="Crie um novo documento." ma:contentTypeScope="" ma:versionID="207bc0c7eba588e29572c968fd09e7ae">
  <xsd:schema xmlns:xsd="http://www.w3.org/2001/XMLSchema" xmlns:xs="http://www.w3.org/2001/XMLSchema" xmlns:p="http://schemas.microsoft.com/office/2006/metadata/properties" xmlns:ns2="4ebcde11-4a9e-423a-9d88-69bed67db18b" xmlns:ns3="dc1d20c7-c41c-4f96-83d3-d97c3c4339c4" targetNamespace="http://schemas.microsoft.com/office/2006/metadata/properties" ma:root="true" ma:fieldsID="38c95dcdcbddfd7473658e26cbf91027" ns2:_="" ns3:_="">
    <xsd:import namespace="4ebcde11-4a9e-423a-9d88-69bed67db18b"/>
    <xsd:import namespace="dc1d20c7-c41c-4f96-83d3-d97c3c433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cde11-4a9e-423a-9d88-69bed67db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20c7-c41c-4f96-83d3-d97c3c433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696b778-463f-45e5-bf83-7cf851063c74}" ma:internalName="TaxCatchAll" ma:showField="CatchAllData" ma:web="dc1d20c7-c41c-4f96-83d3-d97c3c433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20c7-c41c-4f96-83d3-d97c3c4339c4" xsi:nil="true"/>
    <lcf76f155ced4ddcb4097134ff3c332f xmlns="4ebcde11-4a9e-423a-9d88-69bed67db1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623E4E-6D7E-45F0-96D6-7ED435C11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29FC6-762A-4005-9EB0-AE9CF6285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cde11-4a9e-423a-9d88-69bed67db18b"/>
    <ds:schemaRef ds:uri="dc1d20c7-c41c-4f96-83d3-d97c3c433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48DB83-2215-48F5-8393-A9E8C23A1C03}">
  <ds:schemaRefs>
    <ds:schemaRef ds:uri="http://purl.org/dc/terms/"/>
    <ds:schemaRef ds:uri="http://schemas.microsoft.com/office/infopath/2007/PartnerControls"/>
    <ds:schemaRef ds:uri="dc1d20c7-c41c-4f96-83d3-d97c3c4339c4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4ebcde11-4a9e-423a-9d88-69bed67db18b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8</vt:i4>
      </vt:variant>
    </vt:vector>
  </HeadingPairs>
  <TitlesOfParts>
    <vt:vector size="19" baseType="lpstr">
      <vt:lpstr>Orientações</vt:lpstr>
      <vt:lpstr>II - Planilha Consolidada</vt:lpstr>
      <vt:lpstr>III - Parcela Fixa</vt:lpstr>
      <vt:lpstr>III-A - Mão de Obra (CCT)</vt:lpstr>
      <vt:lpstr>CCT E VT</vt:lpstr>
      <vt:lpstr>III-A.1 - Memorial de Cálculo</vt:lpstr>
      <vt:lpstr>III-A.2 - Uniforme, EPI e Equip</vt:lpstr>
      <vt:lpstr>III-C - Desloc e Pern</vt:lpstr>
      <vt:lpstr>III-E - Materiais de Consumo</vt:lpstr>
      <vt:lpstr>V - BDI</vt:lpstr>
      <vt:lpstr>V-A - ISS</vt:lpstr>
      <vt:lpstr>'CCT E VT'!Area_de_impressao</vt:lpstr>
      <vt:lpstr>'II - Planilha Consolidada'!Area_de_impressao</vt:lpstr>
      <vt:lpstr>'III - Parcela Fixa'!Area_de_impressao</vt:lpstr>
      <vt:lpstr>'III-A - Mão de Obra (CCT)'!Area_de_impressao</vt:lpstr>
      <vt:lpstr>'III-A.1 - Memorial de Cálculo'!Area_de_impressao</vt:lpstr>
      <vt:lpstr>'III-C - Desloc e Pern'!Area_de_impressao</vt:lpstr>
      <vt:lpstr>'III-E - Materiais de Consumo'!Area_de_impressao</vt:lpstr>
      <vt:lpstr>'V-A - ISS'!Area_de_impressao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Martins D`Albuquerque</dc:creator>
  <cp:keywords/>
  <dc:description/>
  <cp:lastModifiedBy>Taili Arima Leite</cp:lastModifiedBy>
  <cp:revision>127</cp:revision>
  <cp:lastPrinted>2023-06-07T18:44:23Z</cp:lastPrinted>
  <dcterms:created xsi:type="dcterms:W3CDTF">2021-07-21T17:15:42Z</dcterms:created>
  <dcterms:modified xsi:type="dcterms:W3CDTF">2023-06-07T19:45:24Z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0x010100ECBCBC00BE725B408C196D063545436B</vt:lpwstr>
  </property>
  <property fmtid="{D5CDD505-2E9C-101B-9397-08002B2CF9AE}" pid="9" name="MediaServiceImageTags">
    <vt:lpwstr/>
  </property>
</Properties>
</file>