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Downloads\ESTIVA - NOVA CONTRATAÇÃO - Copia\Goiânia\"/>
    </mc:Choice>
  </mc:AlternateContent>
  <xr:revisionPtr revIDLastSave="0" documentId="13_ncr:1_{2B840363-7CB5-40D2-94F3-5339324DB3DD}" xr6:coauthVersionLast="47" xr6:coauthVersionMax="47" xr10:uidLastSave="{00000000-0000-0000-0000-000000000000}"/>
  <bookViews>
    <workbookView xWindow="-120" yWindow="-120" windowWidth="20730" windowHeight="11040" tabRatio="990" xr2:uid="{00000000-000D-0000-FFFF-FFFF00000000}"/>
  </bookViews>
  <sheets>
    <sheet name="Planilha Estimativa" sheetId="1" r:id="rId1"/>
    <sheet name="Estimativa Afastamentos" sheetId="4" r:id="rId2"/>
    <sheet name="Benefícios" sheetId="2" r:id="rId3"/>
    <sheet name="Insumos" sheetId="3" r:id="rId4"/>
  </sheets>
  <definedNames>
    <definedName name="__shared_7_0_0">"SUM([.A1:.A8])"</definedName>
    <definedName name="__shared_7_11_0">"[.A1]*[.$J$28]"</definedName>
    <definedName name="__shared_7_12_0">"[.A1]*[.$K$28]"</definedName>
    <definedName name="__shared_7_13_0">"[.A1]*[.$L$28]"</definedName>
    <definedName name="__shared_7_15_0">"[.A1]*[.$J$28]"</definedName>
    <definedName name="__shared_7_16_0">"[.A1]*[.$K$28]"</definedName>
    <definedName name="__shared_7_17_0">"[.A1]*[.$L$28]"</definedName>
    <definedName name="__shared_7_26_0">"SUM([.A1:.A4])"</definedName>
    <definedName name="__shared_7_3_0">"[.A1]*[.$J$28]"</definedName>
    <definedName name="__shared_7_4_0">"[.A1]*[.$K$28]"</definedName>
    <definedName name="__shared_7_5_0">"[.A1]*[.$L$28]"</definedName>
    <definedName name="__shared_7_7_0">"SUM([.A1:.A9])"</definedName>
    <definedName name="__shared_7_9_0">"[.A1]+[.A2]+[.A3]"</definedName>
    <definedName name="_xlnm.Print_Area" localSheetId="1">'Estimativa Afastamentos'!$A$1:$D$30</definedName>
    <definedName name="_xlnm.Print_Area" localSheetId="0">'Planilha Estimativa'!$A$1:$C$147</definedName>
    <definedName name="Print_Area_0" localSheetId="0">'Planilha Estimativa'!$A$31:$C$147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1" l="1"/>
  <c r="E24" i="3"/>
  <c r="B144" i="1"/>
  <c r="C63" i="1"/>
  <c r="B19" i="2" l="1"/>
  <c r="C19" i="2" s="1"/>
  <c r="E19" i="2" s="1"/>
  <c r="C13" i="2"/>
  <c r="D13" i="2" s="1"/>
  <c r="B25" i="1"/>
  <c r="E5" i="3" l="1"/>
  <c r="B147" i="1"/>
  <c r="C133" i="1" l="1"/>
  <c r="C131" i="1"/>
  <c r="E12" i="3"/>
  <c r="E13" i="3"/>
  <c r="B96" i="1"/>
  <c r="B88" i="1" l="1"/>
  <c r="B87" i="1"/>
  <c r="B86" i="1"/>
  <c r="B85" i="1"/>
  <c r="B84" i="1"/>
  <c r="B79" i="1"/>
  <c r="B77" i="1"/>
  <c r="B74" i="1"/>
  <c r="B76" i="1" s="1"/>
  <c r="E7" i="2"/>
  <c r="B45" i="1"/>
  <c r="B46" i="1" s="1"/>
  <c r="B75" i="1" l="1"/>
  <c r="E8" i="2" l="1"/>
  <c r="C14" i="4" l="1"/>
  <c r="E13" i="2" l="1"/>
  <c r="C60" i="1" s="1"/>
  <c r="E22" i="3"/>
  <c r="E21" i="3"/>
  <c r="E20" i="3"/>
  <c r="E19" i="3"/>
  <c r="E18" i="3"/>
  <c r="E15" i="3"/>
  <c r="E14" i="3"/>
  <c r="E11" i="3"/>
  <c r="E10" i="3"/>
  <c r="E7" i="3"/>
  <c r="E6" i="3"/>
  <c r="B111" i="1"/>
  <c r="B110" i="1" s="1"/>
  <c r="C93" i="1"/>
  <c r="C96" i="1" s="1"/>
  <c r="C62" i="1"/>
  <c r="B57" i="1"/>
  <c r="C41" i="1"/>
  <c r="E23" i="3" l="1"/>
  <c r="E16" i="3"/>
  <c r="C102" i="1" s="1"/>
  <c r="E8" i="3"/>
  <c r="B78" i="1"/>
  <c r="C78" i="1" s="1"/>
  <c r="C74" i="1"/>
  <c r="C77" i="1"/>
  <c r="C79" i="1"/>
  <c r="C76" i="1"/>
  <c r="C75" i="1"/>
  <c r="C45" i="1"/>
  <c r="C46" i="1"/>
  <c r="C134" i="1"/>
  <c r="C139" i="1" s="1"/>
  <c r="E9" i="2"/>
  <c r="C120" i="1"/>
  <c r="B47" i="1"/>
  <c r="B67" i="1" s="1"/>
  <c r="B68" i="1"/>
  <c r="B90" i="1"/>
  <c r="B95" i="1" s="1"/>
  <c r="E25" i="3" l="1"/>
  <c r="C101" i="1"/>
  <c r="C80" i="1"/>
  <c r="C47" i="1"/>
  <c r="C51" i="1" s="1"/>
  <c r="C59" i="1"/>
  <c r="C65" i="1" s="1"/>
  <c r="C69" i="1" s="1"/>
  <c r="B80" i="1"/>
  <c r="E27" i="3" l="1"/>
  <c r="C103" i="1"/>
  <c r="C104" i="1" s="1"/>
  <c r="C124" i="1" s="1"/>
  <c r="C54" i="1"/>
  <c r="C49" i="1"/>
  <c r="C56" i="1"/>
  <c r="C67" i="1"/>
  <c r="C50" i="1"/>
  <c r="C55" i="1"/>
  <c r="C52" i="1"/>
  <c r="C53" i="1"/>
  <c r="C122" i="1"/>
  <c r="C57" i="1" l="1"/>
  <c r="C68" i="1" s="1"/>
  <c r="C70" i="1" s="1"/>
  <c r="C84" i="1" l="1"/>
  <c r="C121" i="1"/>
  <c r="C89" i="1"/>
  <c r="C85" i="1"/>
  <c r="C86" i="1"/>
  <c r="C87" i="1"/>
  <c r="C88" i="1"/>
  <c r="C90" i="1" l="1"/>
  <c r="C95" i="1" s="1"/>
  <c r="C97" i="1" s="1"/>
  <c r="C123" i="1" l="1"/>
  <c r="C125" i="1" s="1"/>
  <c r="C108" i="1"/>
  <c r="C109" i="1" l="1"/>
  <c r="C110" i="1" s="1"/>
  <c r="C115" i="1" s="1"/>
  <c r="C126" i="1" s="1"/>
  <c r="C127" i="1" s="1"/>
  <c r="C138" i="1" s="1"/>
  <c r="C140" i="1" l="1"/>
  <c r="C144" i="1" s="1"/>
  <c r="C147" i="1" s="1"/>
  <c r="C113" i="1"/>
  <c r="C111" i="1"/>
</calcChain>
</file>

<file path=xl/sharedStrings.xml><?xml version="1.0" encoding="utf-8"?>
<sst xmlns="http://schemas.openxmlformats.org/spreadsheetml/2006/main" count="233" uniqueCount="203">
  <si>
    <t>PREÇO FIXO (PF)</t>
  </si>
  <si>
    <t>Percentuais e Valores de Referência</t>
  </si>
  <si>
    <t>Carregador</t>
  </si>
  <si>
    <t>MÓDULO 1: COMPOSIÇÃO DA REMUNERAÇÃO</t>
  </si>
  <si>
    <t>1 - Composição da Remuneração</t>
  </si>
  <si>
    <t>Valor (R$)</t>
  </si>
  <si>
    <t>B - Adicional de Periculosidade</t>
  </si>
  <si>
    <t>C - Adicional de Insalubridade</t>
  </si>
  <si>
    <t>D - Adicional Noturno (incluindo a Hora Noturna Reduzida)</t>
  </si>
  <si>
    <t>E - Adicional de Hora Noturna Reduzida</t>
  </si>
  <si>
    <t>F - Outros (especificar)</t>
  </si>
  <si>
    <t>Total</t>
  </si>
  <si>
    <t>MÓDULO 2: ENCARGOS E BENEFÍCIOS ANUAIS, MENSAIS E DIÁRIOS</t>
  </si>
  <si>
    <t>2.1 - 13º Salário e Adicional de Férias</t>
  </si>
  <si>
    <t>Percentuais</t>
  </si>
  <si>
    <t>A - 13º salário</t>
  </si>
  <si>
    <t>Total</t>
  </si>
  <si>
    <t>2.3 - Benefícios Mensais e Diários</t>
  </si>
  <si>
    <t>2 - Encargos e Benefícios Anuais, Mensais e Diários</t>
  </si>
  <si>
    <t>MÓDULO 3: PROVISÃO PARA RESCISÃO</t>
  </si>
  <si>
    <t>3 - Provisão para Rescisão</t>
  </si>
  <si>
    <t>MÓDULO 4: CUSTO DE REPOSIÇÃO DO PROFISSIONAL AUSENTE</t>
  </si>
  <si>
    <t>4.1 - Substituto nas Ausências Legais</t>
  </si>
  <si>
    <t>-</t>
  </si>
  <si>
    <t>4.2 - Substituto na Intrajornada</t>
  </si>
  <si>
    <t>A - Intrajornada Indenizada</t>
  </si>
  <si>
    <t>4 - Custo de Reposição do Profissional Ausente</t>
  </si>
  <si>
    <t>MÓDULO 5: INSUMOS DIVERSOS</t>
  </si>
  <si>
    <t>5 - Insumos Diversos</t>
  </si>
  <si>
    <t>A - Uniformes</t>
  </si>
  <si>
    <t>B – EPI’s</t>
  </si>
  <si>
    <t>C – Equipamentos</t>
  </si>
  <si>
    <t>MÓDULO 6: CUSTOS INDIRETOS, TRIBUTOS E LUCRO SOBRE O PREÇO FIXO</t>
  </si>
  <si>
    <t>6 - Custos Indiretos, Tributos e Lucro</t>
  </si>
  <si>
    <t>A - Custos Indiretos</t>
  </si>
  <si>
    <t>B - Lucro</t>
  </si>
  <si>
    <t>C - Tributos</t>
  </si>
  <si>
    <t>C.1 - Tributos Federais (PIS e COFINS)</t>
  </si>
  <si>
    <t>C.2 - Tributos Estaduais (especificar)</t>
  </si>
  <si>
    <t>C.3 - Tributos Municipais (especificar)</t>
  </si>
  <si>
    <t>C.4 - Outros Tributos (especificar)</t>
  </si>
  <si>
    <t>QUADRO RESUMO DO PREÇO FIXO</t>
  </si>
  <si>
    <t>Mão-de-obra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</si>
  <si>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</si>
  <si>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</si>
  <si>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</si>
  <si>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</si>
  <si>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</si>
  <si>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</si>
  <si>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</t>
  </si>
  <si>
    <t>TOTAL PREÇO FIXO</t>
  </si>
  <si>
    <t>MÓDULO 7: CUSTOS COM PERNOITES EM OUTRO MUNICÍPIO E DESLOCAMENTOS</t>
  </si>
  <si>
    <t>Custos com Pernoites e Deslocamentos</t>
  </si>
  <si>
    <t>VALOR UNITÁRIO POR POSTO DE SERVIÇO</t>
  </si>
  <si>
    <t>ITEM</t>
  </si>
  <si>
    <t>TOTAL DO PREÇO FIXO (Mão-de-obra, equipamentos e insumos vinculados à execução contratual)</t>
  </si>
  <si>
    <t>TOTAL DOS PREÇOS VARIÁVEIS (pernoites e deslocamentos)</t>
  </si>
  <si>
    <t>TOTAL DO POSTO DE SERVIÇO (PREÇO FIXO + PREÇO VARIÁVEL)</t>
  </si>
  <si>
    <t>QUANTIDADE DE POSTOS</t>
  </si>
  <si>
    <t>PREÇO MENSAL UNITÁRIO</t>
  </si>
  <si>
    <t>PREÇO MENSAL DOS POSTOS DE SERVIÇO DE CARREGADOR</t>
  </si>
  <si>
    <t>PREÇO TOTAL MENSAL</t>
  </si>
  <si>
    <t>BENEFÍCIOS MENSAIS E DIÁRIOS</t>
  </si>
  <si>
    <t>Memória de Cálculo</t>
  </si>
  <si>
    <t>AUXÍLIO TRANSPORTE</t>
  </si>
  <si>
    <t>BILHETES</t>
  </si>
  <si>
    <t>DIAS</t>
  </si>
  <si>
    <t>VALOR DA TARIFA</t>
  </si>
  <si>
    <t>VALOR MENSAL</t>
  </si>
  <si>
    <t>Quantidade de viagens/mês (2 bilhetes * 22 dias)</t>
  </si>
  <si>
    <t>Parcela do empregado (6% salário base mensal)</t>
  </si>
  <si>
    <t>Custo Mensal</t>
  </si>
  <si>
    <t>AUXÍLIO ALIMENTAÇÃO</t>
  </si>
  <si>
    <t>VALOR UNITÁRIO</t>
  </si>
  <si>
    <t>EMPREGADO (ESTIPULADO NA CCT)</t>
  </si>
  <si>
    <t>UTILIZAÇÃO (MESES)</t>
  </si>
  <si>
    <t>QTD</t>
  </si>
  <si>
    <t>UNIFORMES</t>
  </si>
  <si>
    <t>TOTAL UNIFORMES</t>
  </si>
  <si>
    <t>EPI’s</t>
  </si>
  <si>
    <t>TOTAL EPI’S</t>
  </si>
  <si>
    <t>EQUIPAMENTOS</t>
  </si>
  <si>
    <t>TOTAL EQUIPAMENTOS</t>
  </si>
  <si>
    <t>CUSTO MENSAL INSUMOS DIVERSOS</t>
  </si>
  <si>
    <t>Média de faltas anuais por  motivos legais</t>
  </si>
  <si>
    <t>Ausência justificada</t>
  </si>
  <si>
    <t>Afastamento por doença</t>
  </si>
  <si>
    <t>Consulta médica filho</t>
  </si>
  <si>
    <t>Curso de reciclagem</t>
  </si>
  <si>
    <t>Óbitos na família</t>
  </si>
  <si>
    <t>Casamento</t>
  </si>
  <si>
    <t>Doação de sangue</t>
  </si>
  <si>
    <t>Testemunho</t>
  </si>
  <si>
    <t>Consulta pré-natal</t>
  </si>
  <si>
    <t>Licença Paternidade</t>
  </si>
  <si>
    <t>Percentual de Homens:</t>
  </si>
  <si>
    <t>Expectativa anual de nascimento de filhos dos trabalhadores (IBGE):</t>
  </si>
  <si>
    <t>Percentual de homens no serviço:</t>
  </si>
  <si>
    <t>Duração da Licença Paternidade (em dias)</t>
  </si>
  <si>
    <t>Ausências por acidente de trabalho</t>
  </si>
  <si>
    <t>Média de faltas anuais por  acidente de trabalho:</t>
  </si>
  <si>
    <t>Afastamento Maternidade</t>
  </si>
  <si>
    <t>Percentual de Mulheres:</t>
  </si>
  <si>
    <t>Expectativa mensal Afastastamento Maternidade(Censo IBGE):</t>
  </si>
  <si>
    <t>Planilha Estimativa de Custos e Formação de Preços</t>
  </si>
  <si>
    <t xml:space="preserve">PREGÃO ELETRÔNICO Nº </t>
  </si>
  <si>
    <t>PROCESSO:</t>
  </si>
  <si>
    <t xml:space="preserve">DATA E HORA DA ABERTURA: </t>
  </si>
  <si>
    <t>Dia ____/___/____ às ____: ____ horas</t>
  </si>
  <si>
    <t>1 - OBJETO</t>
  </si>
  <si>
    <t>2 - CONDIÇÕES GERAIS</t>
  </si>
  <si>
    <t>Discriminação dos Serviços (dados referentes à contratação)</t>
  </si>
  <si>
    <t>Mão de obra vinculada à execução contratual</t>
  </si>
  <si>
    <t>Dados para composição dos custos referente à mão de obra</t>
  </si>
  <si>
    <t>ESTIVA</t>
  </si>
  <si>
    <t>ESTIVADOR/CARREGADOR</t>
  </si>
  <si>
    <r>
      <t xml:space="preserve">A – </t>
    </r>
    <r>
      <rPr>
        <sz val="10"/>
        <rFont val="Arial"/>
        <family val="2"/>
      </rPr>
      <t>Data de apresentação da proposta (dia/mês/ano)</t>
    </r>
  </si>
  <si>
    <r>
      <t xml:space="preserve">B – </t>
    </r>
    <r>
      <rPr>
        <sz val="10"/>
        <rFont val="Arial"/>
        <family val="2"/>
      </rPr>
      <t>Município/UF</t>
    </r>
  </si>
  <si>
    <r>
      <t xml:space="preserve">C – </t>
    </r>
    <r>
      <rPr>
        <sz val="10"/>
        <rFont val="Arial"/>
        <family val="2"/>
      </rPr>
      <t>Ano Acordo, Convenção ou Sentença Normativa em Dissídio Coletivo</t>
    </r>
  </si>
  <si>
    <r>
      <t xml:space="preserve">D – </t>
    </r>
    <r>
      <rPr>
        <sz val="10"/>
        <rFont val="Arial"/>
        <family val="2"/>
      </rPr>
      <t>Nº de meses de execução contratual</t>
    </r>
  </si>
  <si>
    <r>
      <t xml:space="preserve">1 – </t>
    </r>
    <r>
      <rPr>
        <sz val="10"/>
        <rFont val="Arial"/>
        <family val="2"/>
      </rPr>
      <t>Tipo de serviço (mesmo serviço com características distintas)</t>
    </r>
  </si>
  <si>
    <r>
      <t xml:space="preserve">2 – </t>
    </r>
    <r>
      <rPr>
        <sz val="10"/>
        <rFont val="Arial"/>
        <family val="2"/>
      </rPr>
      <t>Classificação Brasileira de Ocupações (CBO)</t>
    </r>
  </si>
  <si>
    <r>
      <t xml:space="preserve">3 – </t>
    </r>
    <r>
      <rPr>
        <sz val="10"/>
        <rFont val="Arial"/>
        <family val="2"/>
      </rPr>
      <t>Salário Normativo da Categoria Profissional</t>
    </r>
  </si>
  <si>
    <t>7832/10</t>
  </si>
  <si>
    <t>B - Férias e Adicional de Férias (O custo com o valor pago ao substituto durante as férias do empregado consta na letra "A" do submódulo 4.1), (custo não renovável conforme Observação em nota de rodapé).</t>
  </si>
  <si>
    <t>2.2 - GPS, FGTS e outras contribuições (Incide sobre os Módulos 1 e 2.1)</t>
  </si>
  <si>
    <t xml:space="preserve">    A - INSS</t>
  </si>
  <si>
    <t xml:space="preserve">    B - Salário Educação</t>
  </si>
  <si>
    <t xml:space="preserve">    C - SAT (Utilizar o RAT Ajustado conforme GFIP: RAT x FAP)</t>
  </si>
  <si>
    <t xml:space="preserve">    D - SESI ou SESC</t>
  </si>
  <si>
    <t xml:space="preserve">    E - SENAI ou SENAC</t>
  </si>
  <si>
    <t xml:space="preserve">    F - SEBRAE</t>
  </si>
  <si>
    <t xml:space="preserve">    G - INCRA</t>
  </si>
  <si>
    <t xml:space="preserve">    F - FGTS</t>
  </si>
  <si>
    <t>A - Salário-Base (Cláusula 3ª)</t>
  </si>
  <si>
    <t xml:space="preserve">    C - Assistência Médica e Familiar</t>
  </si>
  <si>
    <t xml:space="preserve">    F – Outros</t>
  </si>
  <si>
    <t>SEGURO DE VIDA</t>
  </si>
  <si>
    <t>Custo Anual por Empregado</t>
  </si>
  <si>
    <t>Valores/ Percentuais</t>
  </si>
  <si>
    <t>Parte do Empregado</t>
  </si>
  <si>
    <t xml:space="preserve">    2.1 - 13º Salário, Férias e Adicional de Férias</t>
  </si>
  <si>
    <t xml:space="preserve">    2.2 - GPS, FGTS e outras contribuições</t>
  </si>
  <si>
    <t xml:space="preserve">    2.3 - Benefícios Mensais e Diários</t>
  </si>
  <si>
    <t xml:space="preserve">    A - Aviso Prévio Indenizado (Esta parcela deverá ser reduzida após o primeiro ano da contratação para o percentual máximo de 0,042%: Acórdão 1.186/2017-P)</t>
  </si>
  <si>
    <t xml:space="preserve">    B - Incidência do FGTS sobre Aviso Prévio Indenizado</t>
  </si>
  <si>
    <t xml:space="preserve">    C - Multa do FGTS e contribuições sociais sobre o Aviso Prévio Indenizado</t>
  </si>
  <si>
    <t xml:space="preserve">    D - Aviso Prévio Trabalhado (Esta parcela deverá ser reduzida após o primeiro ano da contratação para o percentual máximo de 0,194%: Acórdão 1.186/2017-P)</t>
  </si>
  <si>
    <t xml:space="preserve">    E - Incidência de GPS, FGTS e outras contribuições (submódulo 2.2) sobre o Aviso Prévio Trabalhado</t>
  </si>
  <si>
    <t xml:space="preserve">    F - Multa do FGTS sobre o Aviso Prévio Trabalhado (Recisões sem justa causa)</t>
  </si>
  <si>
    <t xml:space="preserve">    A – Substituto na cobertura de Férias</t>
  </si>
  <si>
    <t xml:space="preserve">    B – Substituto na cobertura de ausências Legais</t>
  </si>
  <si>
    <t xml:space="preserve">    C - Substituto na cobertura na licença-Paternidade</t>
  </si>
  <si>
    <t xml:space="preserve">    D - Substituto na cobertura na ausências por acidente de trabalho</t>
  </si>
  <si>
    <t xml:space="preserve">    E - Substituto na cobertura de afastamento maternidade</t>
  </si>
  <si>
    <t xml:space="preserve">    F - Substituto na cobertura de outras ausências (especificar)</t>
  </si>
  <si>
    <t xml:space="preserve">    4.1 - Substituto nas ausências Legais</t>
  </si>
  <si>
    <t xml:space="preserve">    4.2 - Intrajornada indenizada</t>
  </si>
  <si>
    <t>Jaleco de brim pesado profissional, manga curta.  resistência à rasgos e abrasões em geral.</t>
  </si>
  <si>
    <t xml:space="preserve">A Calça confeccionada em brim. Quatros bolsos chapados e passante para o cinto. Resistência a rasgos e abrasões em geral. </t>
  </si>
  <si>
    <t xml:space="preserve">Meia tipo soquete comum. Confeccionada em Algodão. Com formato anatômico no calcanhar. </t>
  </si>
  <si>
    <t>Cinto segurança, protetor de coluna lombar com suspensório proteção da coluna vertebral, cinta do tipo lombar, para movimentação manual de cargas. Confeccionada em elástico resistente, fechos e ajuste em velcro, barbatanas e suspensório regulável</t>
  </si>
  <si>
    <t>Luva de segurança, confeccionada em vaqueta, palma em vaqueta, com reforço. Indicada para uso nas áreas de carga e descarga de materiais, construção
civil, indústria moveleira, mineração, montagem de estruturas metálicas e trabalhos de manutenção em geral.</t>
  </si>
  <si>
    <t xml:space="preserve">Óculos de proteção com lentes em policarbonato com tratamento anti-riscos. Abas laterais de proteção. Resistente a impactos e choques físicos de materiais sólidos e líquidos como: fragmentos de madeira, ferro, respingos de produtos ácidos, cáusticos, entre outros.Proteção contra raios UVA e UVB. </t>
  </si>
  <si>
    <t>Botina de couro - bico de aço, aprovado para proteção dos pés do usuário contra impactos de quedas de objetos sobre os artelhos e contra agentes abrasivos e escoriantes.observação:ensaiado para proteção contra impacto no nível de energia de no mínimo 200 j e contra a carga de compressão de no mínimo 15 kn.</t>
  </si>
  <si>
    <t>Máscara de proteção contra pó cx c/100 - respirador de classe PFF-1 testado conforme norma NBR 13698 para Peças Semi Faciais Filtrante.</t>
  </si>
  <si>
    <t>Capacete - para uso na indústria, Tipo II, injetado em polietileno de alta densidade, com carneira em polietileno de baixa densidade, tira absorvente de suor, ajuste da suspensão através de pinos. proteger a cabeça contra impactos e Perfurações.</t>
  </si>
  <si>
    <t>Carro plataforma em estrutura metálica, assoalho de chapa metálica, aba frontal fixa. Com rodas maciças. Material: Aço carbono. Capacidade mínima 300 kg.</t>
  </si>
  <si>
    <t>Carro de armazém - fabricado em aço carbono. Quantidade de Rodas 2 roda(s). Tipo de Roda: Maciça Material das Rodas Metal. Uso Indicado Para para cargas e descargas em comércios e obras.</t>
  </si>
  <si>
    <t>Jogo de chave phillips e fenda com haste em cromo vanádio e acabamento niquelado e polido, com ponta magnética. Alta resistência a impactos, cabo fabricado em PVC rígido injetado diretamente sob a lâmina.</t>
  </si>
  <si>
    <t>Jogo composto por chaves combinada em milimetros (mm)
- Composição do Jogo: 6; 7; 8; 9; 10; 11; 12; 13; 14; 15; 16; 17; 18; 19; 20; 21; 22 mm. - Fabricadas conforme normas DIN 3113 forma A, ISO 3318 e ISO 7738. Aço cromo vanádio</t>
  </si>
  <si>
    <t>Comprimento total do alicate: 8'' - 203 mm. Material do corpo do alicate: Aço cromo vanádio. Acabamento do alicate: Polido. Tipo do cabo do alicate.: Cabo isolado 1000 V</t>
  </si>
  <si>
    <t>Quantidade de diárias estimados por posto</t>
  </si>
  <si>
    <t>B - Estimativa de custos com deslocamente em passagem aérea, fluvial ou terrestre</t>
  </si>
  <si>
    <t>VALOR TOTAL (R$)</t>
  </si>
  <si>
    <t>TOTAL ESTIMADO DOS CUSTOS COM PERNOITES DESLOCAMENTOS (CUSTO VARIÁVEL)</t>
  </si>
  <si>
    <t>VALOR GLOBAL - COM A DISPONIBILIZAÇÃO DOS POSTOS DE SERVIÇOS</t>
  </si>
  <si>
    <t>Nº de meses de execução contratual</t>
  </si>
  <si>
    <t>PREÇO GLOBAL ESTIMADO</t>
  </si>
  <si>
    <r>
      <t xml:space="preserve">E – </t>
    </r>
    <r>
      <rPr>
        <sz val="10"/>
        <rFont val="Arial"/>
        <family val="2"/>
      </rPr>
      <t>Nº de postos</t>
    </r>
  </si>
  <si>
    <t>Estimativa Afastamentos</t>
  </si>
  <si>
    <t>INSUMOS</t>
  </si>
  <si>
    <t>CUSTO MENSAL (R$)</t>
  </si>
  <si>
    <t>CUSTO UNITÁRIO (R$)</t>
  </si>
  <si>
    <t>Nº DE POSTOS</t>
  </si>
  <si>
    <t>Conforme Termo de Referência</t>
  </si>
  <si>
    <t>Contratação dos serviços de movimentação, manuseio, carga e descarga de bens móveis duráveis ou de consumo (estiva), de forma contínua, conforme especificações e quantitativos estabelecidos no instrumento convocatório.</t>
  </si>
  <si>
    <t>2022/2024</t>
  </si>
  <si>
    <t>GO000091/2022</t>
  </si>
  <si>
    <t>01 de março</t>
  </si>
  <si>
    <t xml:space="preserve">    B - Auxílio Alimentação (Cláusula 13ª)</t>
  </si>
  <si>
    <t xml:space="preserve">    D – Outros (Seguro de Vida - Cláusula 17ª)</t>
  </si>
  <si>
    <t xml:space="preserve">    E – Outros (Amparo Familiar - Cláusula 18ª)</t>
  </si>
  <si>
    <t>Valor definido CCT</t>
  </si>
  <si>
    <t>AMPARO FAMILIAR</t>
  </si>
  <si>
    <t>INSS - GERÊNCIA EXECUTIVA EM GOIÂNIA/GO</t>
  </si>
  <si>
    <t>Goiânia/GO</t>
  </si>
  <si>
    <r>
      <t xml:space="preserve">4 - </t>
    </r>
    <r>
      <rPr>
        <sz val="10"/>
        <color rgb="FF000000"/>
        <rFont val="Arial"/>
        <family val="2"/>
      </rPr>
      <t>Salário Mínimo Nacional</t>
    </r>
  </si>
  <si>
    <r>
      <t xml:space="preserve">5 – </t>
    </r>
    <r>
      <rPr>
        <sz val="10"/>
        <rFont val="Arial"/>
        <family val="2"/>
      </rPr>
      <t>Categoria profissional (vinculada à execução contratual)</t>
    </r>
  </si>
  <si>
    <r>
      <t xml:space="preserve">6 – </t>
    </r>
    <r>
      <rPr>
        <sz val="10"/>
        <rFont val="Arial"/>
        <family val="2"/>
      </rPr>
      <t>Data base da categoria (dia/mês/ano)</t>
    </r>
  </si>
  <si>
    <r>
      <t xml:space="preserve">7 – </t>
    </r>
    <r>
      <rPr>
        <sz val="10"/>
        <rFont val="Arial"/>
        <family val="2"/>
      </rPr>
      <t>Numero de registro da convenção coletiva no MTE:</t>
    </r>
  </si>
  <si>
    <t xml:space="preserve">    A - Auxílio Transporte (Cláusula 14ª)</t>
  </si>
  <si>
    <t>A - Pernoite do carregador/auxiliar de serviços gerais em outro município (alimentação e hospedagem) (Valor não definido em CCT)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</si>
</sst>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\-??_);_(@_)"/>
    <numFmt numFmtId="165" formatCode="d/m/yyyy"/>
    <numFmt numFmtId="166" formatCode="&quot;R$ &quot;#,##0.00"/>
    <numFmt numFmtId="167" formatCode="_-* #,##0.00_-;\-* #,##0.00_-;_-* \-??_-;_-@_-"/>
    <numFmt numFmtId="168" formatCode="&quot;R$ &quot;#,##0.00_);[Red]&quot;(R$ &quot;#,##0.00\)"/>
    <numFmt numFmtId="169" formatCode="_(* #,##0.00000_);_(* \(#,##0.00000\);_(* \-??_);_(@_)"/>
    <numFmt numFmtId="170" formatCode="#,###.00"/>
    <numFmt numFmtId="171" formatCode="_-&quot;R$ &quot;* #,##0.00_-;&quot;-R$ &quot;* #,##0.00_-;_-&quot;R$ &quot;* \-??_-;_-@_-"/>
    <numFmt numFmtId="172" formatCode="&quot; R$ &quot;#,##0.00\ ;&quot; R$ (&quot;#,##0.00\);&quot; R$ -&quot;#\ ;@\ "/>
    <numFmt numFmtId="173" formatCode="[$R$-416]\ #,##0.00;[Red]\-[$R$-416]\ #,##0.00"/>
    <numFmt numFmtId="174" formatCode="0.0000"/>
    <numFmt numFmtId="175" formatCode="&quot;R$&quot;\ #,##0.00"/>
    <numFmt numFmtId="176" formatCode="#,###"/>
  </numFmts>
  <fonts count="42" x14ac:knownFonts="1">
    <font>
      <sz val="1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Tahoma"/>
      <family val="2"/>
      <charset val="1"/>
    </font>
    <font>
      <sz val="11"/>
      <color rgb="FF000000"/>
      <name val="Tahoma"/>
      <family val="2"/>
      <charset val="1"/>
    </font>
    <font>
      <b/>
      <sz val="11"/>
      <name val="Tahoma"/>
      <family val="2"/>
      <charset val="1"/>
    </font>
    <font>
      <sz val="10"/>
      <name val="Arial"/>
      <family val="2"/>
      <charset val="1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000080"/>
      <name val="Arial"/>
      <family val="2"/>
    </font>
    <font>
      <sz val="11"/>
      <color rgb="FF339966"/>
      <name val="Arial"/>
      <family val="2"/>
    </font>
    <font>
      <b/>
      <sz val="11"/>
      <color rgb="FF000080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808080"/>
      <name val="Arial"/>
      <family val="2"/>
    </font>
    <font>
      <sz val="11"/>
      <name val="Arial"/>
      <family val="2"/>
    </font>
    <font>
      <b/>
      <sz val="11"/>
      <color rgb="FF80808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rgb="FF339966"/>
      <name val="Arial"/>
      <family val="2"/>
    </font>
    <font>
      <sz val="10"/>
      <color rgb="FF339966"/>
      <name val="Arial"/>
      <family val="2"/>
    </font>
    <font>
      <sz val="10"/>
      <color rgb="FF00008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  <charset val="1"/>
    </font>
    <font>
      <b/>
      <sz val="10"/>
      <name val="Arial"/>
      <family val="2"/>
      <charset val="1"/>
    </font>
    <font>
      <b/>
      <sz val="12"/>
      <color theme="0"/>
      <name val="Tahoma"/>
      <family val="2"/>
      <charset val="1"/>
    </font>
    <font>
      <b/>
      <sz val="10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A6"/>
        <bgColor rgb="FFFFFF99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99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CCFF"/>
      </patternFill>
    </fill>
    <fill>
      <patternFill patternType="solid">
        <fgColor rgb="FF002060"/>
        <bgColor rgb="FF00FF00"/>
      </patternFill>
    </fill>
    <fill>
      <patternFill patternType="solid">
        <fgColor rgb="FF002060"/>
        <bgColor rgb="FF00B0F0"/>
      </patternFill>
    </fill>
    <fill>
      <patternFill patternType="solid">
        <fgColor rgb="FF002060"/>
        <bgColor rgb="FF9999FF"/>
      </patternFill>
    </fill>
    <fill>
      <patternFill patternType="solid">
        <fgColor rgb="FF002060"/>
        <bgColor rgb="FFCCCCCC"/>
      </patternFill>
    </fill>
    <fill>
      <patternFill patternType="solid">
        <fgColor theme="4" tint="0.59999389629810485"/>
        <bgColor rgb="FF66FF33"/>
      </patternFill>
    </fill>
    <fill>
      <patternFill patternType="solid">
        <fgColor theme="3" tint="0.79998168889431442"/>
        <bgColor rgb="FFCCCCCC"/>
      </patternFill>
    </fill>
    <fill>
      <patternFill patternType="solid">
        <fgColor theme="3" tint="0.79998168889431442"/>
        <bgColor rgb="FF66FF33"/>
      </patternFill>
    </fill>
    <fill>
      <patternFill patternType="solid">
        <fgColor theme="3" tint="-0.249977111117893"/>
        <bgColor rgb="FFFF9900"/>
      </patternFill>
    </fill>
    <fill>
      <patternFill patternType="solid">
        <fgColor theme="3" tint="-0.249977111117893"/>
        <bgColor rgb="FFFFCC66"/>
      </patternFill>
    </fill>
    <fill>
      <patternFill patternType="solid">
        <fgColor theme="3" tint="-0.249977111117893"/>
        <bgColor rgb="FFCCCCCC"/>
      </patternFill>
    </fill>
    <fill>
      <patternFill patternType="solid">
        <fgColor theme="3" tint="-0.249977111117893"/>
        <bgColor rgb="FF00B0F0"/>
      </patternFill>
    </fill>
    <fill>
      <patternFill patternType="solid">
        <fgColor theme="3" tint="-0.249977111117893"/>
        <bgColor rgb="FF66FF33"/>
      </patternFill>
    </fill>
    <fill>
      <patternFill patternType="solid">
        <fgColor theme="3" tint="-0.249977111117893"/>
        <bgColor rgb="FFC0C0C0"/>
      </patternFill>
    </fill>
    <fill>
      <patternFill patternType="solid">
        <fgColor theme="3" tint="-0.249977111117893"/>
        <bgColor rgb="FFFFFF99"/>
      </patternFill>
    </fill>
    <fill>
      <patternFill patternType="solid">
        <fgColor theme="2" tint="-0.89999084444715716"/>
        <bgColor rgb="FFFFFF99"/>
      </patternFill>
    </fill>
    <fill>
      <patternFill patternType="solid">
        <fgColor rgb="FF002060"/>
        <bgColor rgb="FF99CC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002060"/>
        <bgColor rgb="FFF2F2F2"/>
      </patternFill>
    </fill>
    <fill>
      <patternFill patternType="solid">
        <fgColor theme="3" tint="0.79998168889431442"/>
        <bgColor rgb="FFFFFFA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CC00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0"/>
        <bgColor rgb="FF00CCFF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6" fillId="0" borderId="0" applyBorder="0" applyProtection="0"/>
    <xf numFmtId="171" fontId="6" fillId="0" borderId="0" applyBorder="0" applyProtection="0"/>
    <xf numFmtId="9" fontId="6" fillId="0" borderId="0" applyBorder="0" applyProtection="0"/>
    <xf numFmtId="168" fontId="6" fillId="0" borderId="0" applyBorder="0" applyProtection="0"/>
    <xf numFmtId="0" fontId="12" fillId="0" borderId="0"/>
  </cellStyleXfs>
  <cellXfs count="271">
    <xf numFmtId="0" fontId="0" fillId="0" borderId="0" xfId="0"/>
    <xf numFmtId="0" fontId="2" fillId="0" borderId="0" xfId="0" applyFont="1"/>
    <xf numFmtId="0" fontId="2" fillId="2" borderId="0" xfId="0" applyFont="1" applyFill="1"/>
    <xf numFmtId="166" fontId="2" fillId="0" borderId="0" xfId="2" applyNumberFormat="1" applyFont="1" applyBorder="1" applyAlignment="1" applyProtection="1">
      <alignment horizontal="center" vertical="center"/>
    </xf>
    <xf numFmtId="166" fontId="1" fillId="0" borderId="0" xfId="2" applyNumberFormat="1" applyFont="1" applyBorder="1" applyAlignment="1" applyProtection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8" fontId="2" fillId="2" borderId="0" xfId="0" applyNumberFormat="1" applyFont="1" applyFill="1" applyBorder="1" applyAlignment="1">
      <alignment horizontal="center" vertical="center"/>
    </xf>
    <xf numFmtId="172" fontId="4" fillId="0" borderId="22" xfId="4" applyNumberFormat="1" applyFont="1" applyBorder="1" applyAlignment="1" applyProtection="1">
      <alignment horizontal="center" vertical="center"/>
    </xf>
    <xf numFmtId="172" fontId="3" fillId="0" borderId="22" xfId="4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0" fillId="8" borderId="0" xfId="0" applyFill="1"/>
    <xf numFmtId="0" fontId="9" fillId="0" borderId="0" xfId="0" applyFont="1" applyAlignment="1">
      <alignment horizontal="center" vertical="center"/>
    </xf>
    <xf numFmtId="173" fontId="9" fillId="0" borderId="0" xfId="0" applyNumberFormat="1" applyFont="1" applyAlignment="1">
      <alignment vertical="center"/>
    </xf>
    <xf numFmtId="0" fontId="11" fillId="8" borderId="21" xfId="0" applyFont="1" applyFill="1" applyBorder="1"/>
    <xf numFmtId="174" fontId="11" fillId="8" borderId="23" xfId="0" applyNumberFormat="1" applyFont="1" applyFill="1" applyBorder="1"/>
    <xf numFmtId="174" fontId="11" fillId="9" borderId="23" xfId="0" applyNumberFormat="1" applyFont="1" applyFill="1" applyBorder="1" applyAlignment="1">
      <alignment horizontal="center"/>
    </xf>
    <xf numFmtId="174" fontId="11" fillId="9" borderId="22" xfId="0" applyNumberFormat="1" applyFont="1" applyFill="1" applyBorder="1" applyAlignment="1">
      <alignment horizontal="center"/>
    </xf>
    <xf numFmtId="174" fontId="0" fillId="8" borderId="0" xfId="0" applyNumberFormat="1" applyFill="1"/>
    <xf numFmtId="0" fontId="11" fillId="8" borderId="25" xfId="0" applyFont="1" applyFill="1" applyBorder="1"/>
    <xf numFmtId="0" fontId="11" fillId="8" borderId="23" xfId="0" applyFont="1" applyFill="1" applyBorder="1"/>
    <xf numFmtId="10" fontId="11" fillId="9" borderId="23" xfId="0" applyNumberFormat="1" applyFont="1" applyFill="1" applyBorder="1" applyAlignment="1">
      <alignment horizontal="center"/>
    </xf>
    <xf numFmtId="10" fontId="11" fillId="9" borderId="22" xfId="0" applyNumberFormat="1" applyFont="1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8" borderId="27" xfId="0" applyFill="1" applyBorder="1" applyAlignment="1">
      <alignment vertical="center"/>
    </xf>
    <xf numFmtId="0" fontId="0" fillId="8" borderId="28" xfId="0" applyFill="1" applyBorder="1" applyAlignment="1">
      <alignment vertical="center"/>
    </xf>
    <xf numFmtId="0" fontId="0" fillId="8" borderId="29" xfId="0" applyFill="1" applyBorder="1" applyAlignment="1">
      <alignment vertical="center"/>
    </xf>
    <xf numFmtId="10" fontId="0" fillId="9" borderId="23" xfId="0" applyNumberFormat="1" applyFill="1" applyBorder="1" applyAlignment="1">
      <alignment vertical="center"/>
    </xf>
    <xf numFmtId="0" fontId="0" fillId="8" borderId="21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0" fontId="0" fillId="9" borderId="23" xfId="0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 wrapText="1"/>
    </xf>
    <xf numFmtId="166" fontId="17" fillId="2" borderId="3" xfId="3" applyNumberFormat="1" applyFont="1" applyFill="1" applyBorder="1" applyAlignment="1" applyProtection="1">
      <alignment vertical="center"/>
    </xf>
    <xf numFmtId="164" fontId="15" fillId="2" borderId="8" xfId="1" applyFont="1" applyFill="1" applyBorder="1" applyAlignment="1" applyProtection="1">
      <alignment vertical="center"/>
    </xf>
    <xf numFmtId="10" fontId="17" fillId="2" borderId="3" xfId="3" applyNumberFormat="1" applyFont="1" applyFill="1" applyBorder="1" applyAlignment="1" applyProtection="1">
      <alignment vertical="center"/>
    </xf>
    <xf numFmtId="167" fontId="15" fillId="2" borderId="8" xfId="1" applyNumberFormat="1" applyFont="1" applyFill="1" applyBorder="1" applyAlignment="1" applyProtection="1">
      <alignment vertical="center"/>
    </xf>
    <xf numFmtId="168" fontId="17" fillId="2" borderId="3" xfId="3" applyNumberFormat="1" applyFont="1" applyFill="1" applyBorder="1" applyAlignment="1" applyProtection="1">
      <alignment vertical="center"/>
    </xf>
    <xf numFmtId="164" fontId="18" fillId="2" borderId="3" xfId="3" applyNumberFormat="1" applyFont="1" applyFill="1" applyBorder="1" applyAlignment="1" applyProtection="1">
      <alignment vertical="center"/>
    </xf>
    <xf numFmtId="169" fontId="15" fillId="2" borderId="3" xfId="1" applyNumberFormat="1" applyFont="1" applyFill="1" applyBorder="1" applyAlignment="1" applyProtection="1">
      <alignment vertical="center"/>
    </xf>
    <xf numFmtId="0" fontId="18" fillId="2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164" fontId="15" fillId="2" borderId="0" xfId="0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164" fontId="15" fillId="2" borderId="10" xfId="1" applyFont="1" applyFill="1" applyBorder="1" applyAlignment="1" applyProtection="1">
      <alignment vertical="center"/>
    </xf>
    <xf numFmtId="0" fontId="9" fillId="2" borderId="11" xfId="0" applyFont="1" applyFill="1" applyBorder="1" applyAlignment="1">
      <alignment horizontal="right" vertical="center" wrapText="1"/>
    </xf>
    <xf numFmtId="10" fontId="19" fillId="2" borderId="2" xfId="0" applyNumberFormat="1" applyFont="1" applyFill="1" applyBorder="1" applyAlignment="1">
      <alignment vertical="center"/>
    </xf>
    <xf numFmtId="164" fontId="15" fillId="2" borderId="2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164" fontId="15" fillId="2" borderId="12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10" fontId="12" fillId="3" borderId="0" xfId="0" applyNumberFormat="1" applyFont="1" applyFill="1" applyAlignment="1">
      <alignment vertical="center"/>
    </xf>
    <xf numFmtId="0" fontId="9" fillId="4" borderId="5" xfId="0" applyFont="1" applyFill="1" applyBorder="1" applyAlignment="1">
      <alignment vertical="center" wrapText="1"/>
    </xf>
    <xf numFmtId="164" fontId="15" fillId="2" borderId="3" xfId="1" applyFont="1" applyFill="1" applyBorder="1" applyAlignment="1" applyProtection="1">
      <alignment vertical="center"/>
    </xf>
    <xf numFmtId="0" fontId="12" fillId="2" borderId="10" xfId="0" applyFont="1" applyFill="1" applyBorder="1" applyAlignment="1">
      <alignment horizontal="left" vertical="center" wrapText="1"/>
    </xf>
    <xf numFmtId="10" fontId="21" fillId="2" borderId="14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 wrapText="1"/>
    </xf>
    <xf numFmtId="10" fontId="21" fillId="2" borderId="8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164" fontId="15" fillId="2" borderId="8" xfId="1" applyFont="1" applyFill="1" applyBorder="1" applyAlignment="1" applyProtection="1">
      <alignment horizontal="center" vertical="center"/>
    </xf>
    <xf numFmtId="164" fontId="15" fillId="2" borderId="12" xfId="0" applyNumberFormat="1" applyFont="1" applyFill="1" applyBorder="1" applyAlignment="1">
      <alignment horizontal="center" vertical="center"/>
    </xf>
    <xf numFmtId="164" fontId="15" fillId="2" borderId="3" xfId="1" applyFont="1" applyFill="1" applyBorder="1" applyAlignment="1" applyProtection="1">
      <alignment horizontal="center" vertical="center"/>
    </xf>
    <xf numFmtId="10" fontId="19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164" fontId="15" fillId="2" borderId="0" xfId="1" applyFont="1" applyFill="1" applyBorder="1" applyAlignment="1" applyProtection="1">
      <alignment vertical="center"/>
    </xf>
    <xf numFmtId="164" fontId="22" fillId="2" borderId="3" xfId="1" applyFont="1" applyFill="1" applyBorder="1" applyAlignment="1" applyProtection="1">
      <alignment vertical="center"/>
    </xf>
    <xf numFmtId="164" fontId="23" fillId="2" borderId="3" xfId="1" applyFont="1" applyFill="1" applyBorder="1" applyAlignment="1" applyProtection="1">
      <alignment vertical="center"/>
    </xf>
    <xf numFmtId="164" fontId="15" fillId="2" borderId="16" xfId="0" applyNumberFormat="1" applyFont="1" applyFill="1" applyBorder="1" applyAlignment="1">
      <alignment vertical="center"/>
    </xf>
    <xf numFmtId="164" fontId="15" fillId="2" borderId="18" xfId="0" applyNumberFormat="1" applyFont="1" applyFill="1" applyBorder="1" applyAlignment="1">
      <alignment vertical="center"/>
    </xf>
    <xf numFmtId="164" fontId="24" fillId="2" borderId="18" xfId="0" applyNumberFormat="1" applyFont="1" applyFill="1" applyBorder="1" applyAlignment="1">
      <alignment vertical="center"/>
    </xf>
    <xf numFmtId="164" fontId="15" fillId="2" borderId="20" xfId="0" applyNumberFormat="1" applyFont="1" applyFill="1" applyBorder="1" applyAlignment="1">
      <alignment vertical="center"/>
    </xf>
    <xf numFmtId="164" fontId="12" fillId="2" borderId="0" xfId="1" applyFont="1" applyFill="1" applyBorder="1" applyAlignment="1" applyProtection="1">
      <alignment vertical="center"/>
    </xf>
    <xf numFmtId="0" fontId="12" fillId="2" borderId="21" xfId="0" applyFont="1" applyFill="1" applyBorder="1" applyAlignment="1">
      <alignment horizontal="left" vertical="center" wrapText="1"/>
    </xf>
    <xf numFmtId="4" fontId="12" fillId="2" borderId="22" xfId="0" applyNumberFormat="1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/>
    </xf>
    <xf numFmtId="170" fontId="9" fillId="6" borderId="22" xfId="0" applyNumberFormat="1" applyFont="1" applyFill="1" applyBorder="1" applyAlignment="1">
      <alignment vertical="center"/>
    </xf>
    <xf numFmtId="0" fontId="9" fillId="6" borderId="21" xfId="0" applyFont="1" applyFill="1" applyBorder="1" applyAlignment="1">
      <alignment horizontal="left" vertical="center"/>
    </xf>
    <xf numFmtId="167" fontId="9" fillId="6" borderId="23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164" fontId="15" fillId="2" borderId="37" xfId="1" applyFont="1" applyFill="1" applyBorder="1" applyAlignment="1" applyProtection="1">
      <alignment vertical="center"/>
    </xf>
    <xf numFmtId="164" fontId="15" fillId="2" borderId="38" xfId="1" applyFont="1" applyFill="1" applyBorder="1" applyAlignment="1" applyProtection="1">
      <alignment vertical="center"/>
    </xf>
    <xf numFmtId="0" fontId="9" fillId="4" borderId="11" xfId="0" applyFont="1" applyFill="1" applyBorder="1" applyAlignment="1">
      <alignment horizontal="left" vertical="center" wrapText="1"/>
    </xf>
    <xf numFmtId="4" fontId="12" fillId="14" borderId="22" xfId="0" applyNumberFormat="1" applyFont="1" applyFill="1" applyBorder="1" applyAlignment="1">
      <alignment vertical="center"/>
    </xf>
    <xf numFmtId="166" fontId="2" fillId="14" borderId="22" xfId="2" applyNumberFormat="1" applyFont="1" applyFill="1" applyBorder="1" applyAlignment="1" applyProtection="1">
      <alignment horizontal="center" vertical="center"/>
    </xf>
    <xf numFmtId="166" fontId="2" fillId="2" borderId="22" xfId="2" applyNumberFormat="1" applyFont="1" applyFill="1" applyBorder="1" applyAlignment="1" applyProtection="1">
      <alignment horizontal="center" vertical="center"/>
    </xf>
    <xf numFmtId="166" fontId="15" fillId="0" borderId="22" xfId="2" applyNumberFormat="1" applyFont="1" applyBorder="1" applyAlignment="1" applyProtection="1">
      <alignment horizontal="center" vertical="center"/>
    </xf>
    <xf numFmtId="0" fontId="2" fillId="14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6" fontId="2" fillId="0" borderId="22" xfId="2" applyNumberFormat="1" applyFont="1" applyBorder="1" applyAlignment="1" applyProtection="1">
      <alignment horizontal="center" vertical="center"/>
    </xf>
    <xf numFmtId="164" fontId="15" fillId="14" borderId="10" xfId="1" applyFont="1" applyFill="1" applyBorder="1" applyAlignment="1" applyProtection="1">
      <alignment vertical="center"/>
    </xf>
    <xf numFmtId="166" fontId="2" fillId="0" borderId="30" xfId="2" applyNumberFormat="1" applyFont="1" applyBorder="1" applyAlignment="1" applyProtection="1">
      <alignment horizontal="center" vertical="center"/>
    </xf>
    <xf numFmtId="173" fontId="8" fillId="15" borderId="30" xfId="0" applyNumberFormat="1" applyFont="1" applyFill="1" applyBorder="1" applyAlignment="1">
      <alignment vertical="center"/>
    </xf>
    <xf numFmtId="3" fontId="12" fillId="16" borderId="22" xfId="0" applyNumberFormat="1" applyFont="1" applyFill="1" applyBorder="1" applyAlignment="1">
      <alignment vertical="center"/>
    </xf>
    <xf numFmtId="164" fontId="15" fillId="17" borderId="22" xfId="0" applyNumberFormat="1" applyFont="1" applyFill="1" applyBorder="1" applyAlignment="1">
      <alignment vertical="center"/>
    </xf>
    <xf numFmtId="167" fontId="15" fillId="17" borderId="22" xfId="0" applyNumberFormat="1" applyFont="1" applyFill="1" applyBorder="1" applyAlignment="1">
      <alignment vertical="center"/>
    </xf>
    <xf numFmtId="0" fontId="25" fillId="22" borderId="2" xfId="0" applyFont="1" applyFill="1" applyBorder="1" applyAlignment="1">
      <alignment horizontal="center" vertical="center" wrapText="1"/>
    </xf>
    <xf numFmtId="0" fontId="25" fillId="23" borderId="2" xfId="0" applyFont="1" applyFill="1" applyBorder="1" applyAlignment="1">
      <alignment horizontal="right" vertical="center" wrapText="1"/>
    </xf>
    <xf numFmtId="10" fontId="25" fillId="23" borderId="9" xfId="0" applyNumberFormat="1" applyFont="1" applyFill="1" applyBorder="1" applyAlignment="1">
      <alignment horizontal="right" vertical="center" wrapText="1"/>
    </xf>
    <xf numFmtId="164" fontId="26" fillId="23" borderId="2" xfId="0" applyNumberFormat="1" applyFont="1" applyFill="1" applyBorder="1" applyAlignment="1">
      <alignment vertical="center"/>
    </xf>
    <xf numFmtId="0" fontId="9" fillId="24" borderId="5" xfId="0" applyFont="1" applyFill="1" applyBorder="1" applyAlignment="1">
      <alignment vertical="center" wrapText="1"/>
    </xf>
    <xf numFmtId="164" fontId="9" fillId="24" borderId="6" xfId="1" applyFont="1" applyFill="1" applyBorder="1" applyAlignment="1" applyProtection="1">
      <alignment horizontal="center" vertical="center" wrapText="1"/>
    </xf>
    <xf numFmtId="164" fontId="9" fillId="24" borderId="6" xfId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164" fontId="9" fillId="4" borderId="6" xfId="1" applyFont="1" applyFill="1" applyBorder="1" applyAlignment="1" applyProtection="1">
      <alignment horizontal="center" vertical="center"/>
    </xf>
    <xf numFmtId="10" fontId="12" fillId="14" borderId="10" xfId="3" applyNumberFormat="1" applyFont="1" applyFill="1" applyBorder="1" applyAlignment="1" applyProtection="1">
      <alignment vertical="center"/>
    </xf>
    <xf numFmtId="10" fontId="12" fillId="14" borderId="3" xfId="3" applyNumberFormat="1" applyFont="1" applyFill="1" applyBorder="1" applyAlignment="1" applyProtection="1">
      <alignment vertical="center"/>
    </xf>
    <xf numFmtId="10" fontId="9" fillId="2" borderId="2" xfId="0" applyNumberFormat="1" applyFont="1" applyFill="1" applyBorder="1" applyAlignment="1">
      <alignment vertical="center"/>
    </xf>
    <xf numFmtId="164" fontId="9" fillId="4" borderId="3" xfId="1" applyFont="1" applyFill="1" applyBorder="1" applyAlignment="1" applyProtection="1">
      <alignment horizontal="center" vertical="center"/>
    </xf>
    <xf numFmtId="168" fontId="21" fillId="2" borderId="7" xfId="3" applyNumberFormat="1" applyFont="1" applyFill="1" applyBorder="1" applyAlignment="1" applyProtection="1">
      <alignment vertical="center"/>
    </xf>
    <xf numFmtId="164" fontId="9" fillId="2" borderId="2" xfId="0" applyNumberFormat="1" applyFont="1" applyFill="1" applyBorder="1" applyAlignment="1">
      <alignment vertical="center"/>
    </xf>
    <xf numFmtId="9" fontId="28" fillId="25" borderId="6" xfId="3" applyFont="1" applyFill="1" applyBorder="1" applyAlignment="1" applyProtection="1">
      <alignment vertical="center"/>
    </xf>
    <xf numFmtId="0" fontId="9" fillId="26" borderId="2" xfId="0" applyFont="1" applyFill="1" applyBorder="1" applyAlignment="1">
      <alignment horizontal="left" vertical="center" wrapText="1"/>
    </xf>
    <xf numFmtId="0" fontId="9" fillId="26" borderId="13" xfId="0" applyFont="1" applyFill="1" applyBorder="1" applyAlignment="1">
      <alignment horizontal="left" vertical="center" wrapText="1"/>
    </xf>
    <xf numFmtId="164" fontId="9" fillId="26" borderId="13" xfId="1" applyFont="1" applyFill="1" applyBorder="1" applyAlignment="1" applyProtection="1">
      <alignment horizontal="center" vertical="center"/>
    </xf>
    <xf numFmtId="0" fontId="9" fillId="26" borderId="5" xfId="0" applyFont="1" applyFill="1" applyBorder="1" applyAlignment="1">
      <alignment vertical="center" wrapText="1"/>
    </xf>
    <xf numFmtId="10" fontId="29" fillId="26" borderId="6" xfId="3" applyNumberFormat="1" applyFont="1" applyFill="1" applyBorder="1" applyAlignment="1" applyProtection="1">
      <alignment vertical="center"/>
    </xf>
    <xf numFmtId="164" fontId="9" fillId="26" borderId="8" xfId="1" applyFont="1" applyFill="1" applyBorder="1" applyAlignment="1" applyProtection="1">
      <alignment horizontal="center" vertical="center"/>
    </xf>
    <xf numFmtId="10" fontId="30" fillId="9" borderId="39" xfId="3" applyNumberFormat="1" applyFont="1" applyFill="1" applyBorder="1" applyAlignment="1">
      <alignment vertical="center"/>
    </xf>
    <xf numFmtId="10" fontId="31" fillId="9" borderId="39" xfId="3" applyNumberFormat="1" applyFont="1" applyFill="1" applyBorder="1" applyAlignment="1">
      <alignment vertical="center"/>
    </xf>
    <xf numFmtId="0" fontId="25" fillId="23" borderId="11" xfId="0" applyFont="1" applyFill="1" applyBorder="1" applyAlignment="1">
      <alignment horizontal="right" vertical="center" wrapText="1"/>
    </xf>
    <xf numFmtId="10" fontId="25" fillId="23" borderId="2" xfId="0" applyNumberFormat="1" applyFont="1" applyFill="1" applyBorder="1" applyAlignment="1">
      <alignment horizontal="right" vertical="center" wrapText="1"/>
    </xf>
    <xf numFmtId="9" fontId="28" fillId="4" borderId="5" xfId="3" applyFont="1" applyFill="1" applyBorder="1" applyAlignment="1" applyProtection="1">
      <alignment vertical="center"/>
    </xf>
    <xf numFmtId="164" fontId="9" fillId="4" borderId="2" xfId="1" applyFont="1" applyFill="1" applyBorder="1" applyAlignment="1" applyProtection="1">
      <alignment horizontal="center" vertical="center"/>
    </xf>
    <xf numFmtId="10" fontId="12" fillId="2" borderId="3" xfId="3" applyNumberFormat="1" applyFont="1" applyFill="1" applyBorder="1" applyAlignment="1" applyProtection="1">
      <alignment vertical="center"/>
    </xf>
    <xf numFmtId="168" fontId="21" fillId="2" borderId="0" xfId="3" applyNumberFormat="1" applyFont="1" applyFill="1" applyBorder="1" applyAlignment="1" applyProtection="1">
      <alignment vertical="center"/>
    </xf>
    <xf numFmtId="0" fontId="9" fillId="25" borderId="11" xfId="0" applyFont="1" applyFill="1" applyBorder="1" applyAlignment="1">
      <alignment horizontal="right" vertical="center" wrapText="1"/>
    </xf>
    <xf numFmtId="164" fontId="15" fillId="25" borderId="2" xfId="0" applyNumberFormat="1" applyFont="1" applyFill="1" applyBorder="1" applyAlignment="1">
      <alignment vertical="center"/>
    </xf>
    <xf numFmtId="0" fontId="32" fillId="23" borderId="11" xfId="0" applyFont="1" applyFill="1" applyBorder="1" applyAlignment="1">
      <alignment vertical="center"/>
    </xf>
    <xf numFmtId="0" fontId="33" fillId="26" borderId="11" xfId="0" applyFont="1" applyFill="1" applyBorder="1" applyAlignment="1">
      <alignment vertical="center" wrapText="1"/>
    </xf>
    <xf numFmtId="10" fontId="34" fillId="26" borderId="6" xfId="3" applyNumberFormat="1" applyFont="1" applyFill="1" applyBorder="1" applyAlignment="1" applyProtection="1">
      <alignment vertical="center"/>
    </xf>
    <xf numFmtId="0" fontId="34" fillId="2" borderId="7" xfId="0" applyFont="1" applyFill="1" applyBorder="1" applyAlignment="1">
      <alignment vertical="center" wrapText="1"/>
    </xf>
    <xf numFmtId="10" fontId="34" fillId="2" borderId="7" xfId="3" applyNumberFormat="1" applyFont="1" applyFill="1" applyBorder="1" applyAlignment="1" applyProtection="1">
      <alignment vertical="center"/>
    </xf>
    <xf numFmtId="10" fontId="34" fillId="14" borderId="7" xfId="3" applyNumberFormat="1" applyFont="1" applyFill="1" applyBorder="1" applyAlignment="1" applyProtection="1">
      <alignment vertical="center"/>
    </xf>
    <xf numFmtId="168" fontId="34" fillId="2" borderId="7" xfId="3" applyNumberFormat="1" applyFont="1" applyFill="1" applyBorder="1" applyAlignment="1" applyProtection="1">
      <alignment vertical="center"/>
    </xf>
    <xf numFmtId="0" fontId="18" fillId="25" borderId="11" xfId="0" applyFont="1" applyFill="1" applyBorder="1" applyAlignment="1">
      <alignment vertical="center"/>
    </xf>
    <xf numFmtId="167" fontId="23" fillId="2" borderId="23" xfId="0" applyNumberFormat="1" applyFont="1" applyFill="1" applyBorder="1" applyAlignment="1">
      <alignment vertical="center"/>
    </xf>
    <xf numFmtId="164" fontId="26" fillId="28" borderId="8" xfId="1" applyFont="1" applyFill="1" applyBorder="1" applyAlignment="1" applyProtection="1">
      <alignment horizontal="center" vertical="center"/>
    </xf>
    <xf numFmtId="164" fontId="26" fillId="29" borderId="13" xfId="0" applyNumberFormat="1" applyFont="1" applyFill="1" applyBorder="1" applyAlignment="1">
      <alignment vertical="center"/>
    </xf>
    <xf numFmtId="0" fontId="26" fillId="31" borderId="21" xfId="0" applyFont="1" applyFill="1" applyBorder="1" applyAlignment="1">
      <alignment horizontal="left" vertical="center"/>
    </xf>
    <xf numFmtId="0" fontId="35" fillId="31" borderId="22" xfId="0" applyFont="1" applyFill="1" applyBorder="1" applyAlignment="1">
      <alignment vertical="center"/>
    </xf>
    <xf numFmtId="167" fontId="26" fillId="31" borderId="23" xfId="0" applyNumberFormat="1" applyFont="1" applyFill="1" applyBorder="1" applyAlignment="1">
      <alignment horizontal="center" vertical="center"/>
    </xf>
    <xf numFmtId="167" fontId="26" fillId="32" borderId="23" xfId="0" applyNumberFormat="1" applyFont="1" applyFill="1" applyBorder="1" applyAlignment="1">
      <alignment vertical="center"/>
    </xf>
    <xf numFmtId="0" fontId="26" fillId="33" borderId="22" xfId="0" applyFont="1" applyFill="1" applyBorder="1" applyAlignment="1">
      <alignment horizontal="center" vertical="center" wrapText="1"/>
    </xf>
    <xf numFmtId="167" fontId="26" fillId="33" borderId="22" xfId="0" applyNumberFormat="1" applyFont="1" applyFill="1" applyBorder="1" applyAlignment="1">
      <alignment vertical="center"/>
    </xf>
    <xf numFmtId="176" fontId="9" fillId="6" borderId="22" xfId="0" applyNumberFormat="1" applyFont="1" applyFill="1" applyBorder="1" applyAlignment="1">
      <alignment horizontal="center" vertical="center"/>
    </xf>
    <xf numFmtId="0" fontId="25" fillId="34" borderId="11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/>
    </xf>
    <xf numFmtId="0" fontId="9" fillId="11" borderId="30" xfId="5" applyFont="1" applyFill="1" applyBorder="1" applyAlignment="1">
      <alignment horizontal="right" vertical="center"/>
    </xf>
    <xf numFmtId="0" fontId="11" fillId="36" borderId="21" xfId="0" applyFont="1" applyFill="1" applyBorder="1"/>
    <xf numFmtId="174" fontId="11" fillId="36" borderId="23" xfId="0" applyNumberFormat="1" applyFont="1" applyFill="1" applyBorder="1"/>
    <xf numFmtId="174" fontId="10" fillId="36" borderId="22" xfId="0" applyNumberFormat="1" applyFont="1" applyFill="1" applyBorder="1" applyAlignment="1">
      <alignment horizontal="center"/>
    </xf>
    <xf numFmtId="166" fontId="15" fillId="40" borderId="22" xfId="2" applyNumberFormat="1" applyFont="1" applyFill="1" applyBorder="1" applyAlignment="1" applyProtection="1">
      <alignment horizontal="center" vertical="center"/>
    </xf>
    <xf numFmtId="0" fontId="37" fillId="40" borderId="22" xfId="0" applyFont="1" applyFill="1" applyBorder="1" applyAlignment="1">
      <alignment horizontal="center" vertical="center"/>
    </xf>
    <xf numFmtId="0" fontId="37" fillId="40" borderId="22" xfId="0" applyFont="1" applyFill="1" applyBorder="1" applyAlignment="1">
      <alignment horizontal="center" vertical="center" wrapText="1"/>
    </xf>
    <xf numFmtId="171" fontId="37" fillId="40" borderId="22" xfId="2" applyFont="1" applyFill="1" applyBorder="1" applyAlignment="1" applyProtection="1">
      <alignment horizontal="center" vertical="center"/>
    </xf>
    <xf numFmtId="171" fontId="37" fillId="40" borderId="22" xfId="2" applyFont="1" applyFill="1" applyBorder="1" applyAlignment="1" applyProtection="1">
      <alignment horizontal="center" vertical="center" wrapText="1"/>
    </xf>
    <xf numFmtId="0" fontId="9" fillId="40" borderId="30" xfId="0" applyFont="1" applyFill="1" applyBorder="1" applyAlignment="1">
      <alignment horizontal="center" vertical="center" wrapText="1"/>
    </xf>
    <xf numFmtId="171" fontId="9" fillId="40" borderId="30" xfId="2" applyFont="1" applyFill="1" applyBorder="1" applyAlignment="1" applyProtection="1">
      <alignment horizontal="center" vertical="center" wrapText="1"/>
    </xf>
    <xf numFmtId="0" fontId="40" fillId="0" borderId="22" xfId="0" applyFont="1" applyBorder="1" applyAlignment="1">
      <alignment horizontal="left" vertical="center" wrapText="1"/>
    </xf>
    <xf numFmtId="172" fontId="40" fillId="5" borderId="22" xfId="4" applyNumberFormat="1" applyFont="1" applyFill="1" applyBorder="1" applyAlignment="1" applyProtection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" fillId="0" borderId="0" xfId="4" applyNumberFormat="1" applyFont="1" applyBorder="1" applyAlignment="1" applyProtection="1">
      <alignment horizontal="center" vertical="center"/>
    </xf>
    <xf numFmtId="172" fontId="3" fillId="40" borderId="22" xfId="4" applyNumberFormat="1" applyFont="1" applyFill="1" applyBorder="1" applyAlignment="1" applyProtection="1">
      <alignment horizontal="center" vertical="center"/>
    </xf>
    <xf numFmtId="0" fontId="39" fillId="42" borderId="22" xfId="0" applyFont="1" applyFill="1" applyBorder="1" applyAlignment="1">
      <alignment horizontal="center" vertical="center" wrapText="1"/>
    </xf>
    <xf numFmtId="0" fontId="39" fillId="42" borderId="22" xfId="0" applyFont="1" applyFill="1" applyBorder="1" applyAlignment="1">
      <alignment horizontal="center" vertical="center"/>
    </xf>
    <xf numFmtId="0" fontId="38" fillId="43" borderId="42" xfId="0" applyFont="1" applyFill="1" applyBorder="1" applyAlignment="1">
      <alignment horizontal="center" vertical="center"/>
    </xf>
    <xf numFmtId="0" fontId="38" fillId="43" borderId="2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40" borderId="30" xfId="0" applyFont="1" applyFill="1" applyBorder="1" applyAlignment="1">
      <alignment vertical="center"/>
    </xf>
    <xf numFmtId="166" fontId="15" fillId="10" borderId="22" xfId="2" applyNumberFormat="1" applyFont="1" applyFill="1" applyBorder="1" applyAlignment="1" applyProtection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3" fillId="12" borderId="30" xfId="5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21" borderId="2" xfId="0" applyFont="1" applyFill="1" applyBorder="1" applyAlignment="1">
      <alignment horizontal="center" vertical="center" wrapText="1"/>
    </xf>
    <xf numFmtId="0" fontId="9" fillId="13" borderId="35" xfId="0" applyFont="1" applyFill="1" applyBorder="1" applyAlignment="1">
      <alignment horizontal="center" vertical="center"/>
    </xf>
    <xf numFmtId="0" fontId="26" fillId="19" borderId="11" xfId="0" applyFont="1" applyFill="1" applyBorder="1" applyAlignment="1">
      <alignment horizontal="left" vertical="center" wrapText="1"/>
    </xf>
    <xf numFmtId="0" fontId="26" fillId="19" borderId="9" xfId="0" applyFont="1" applyFill="1" applyBorder="1" applyAlignment="1">
      <alignment horizontal="left" vertical="center" wrapText="1"/>
    </xf>
    <xf numFmtId="0" fontId="26" fillId="19" borderId="12" xfId="0" applyFont="1" applyFill="1" applyBorder="1" applyAlignment="1">
      <alignment horizontal="left" vertical="center" wrapText="1"/>
    </xf>
    <xf numFmtId="0" fontId="26" fillId="20" borderId="11" xfId="0" applyFont="1" applyFill="1" applyBorder="1" applyAlignment="1">
      <alignment horizontal="left" vertical="center" wrapText="1"/>
    </xf>
    <xf numFmtId="0" fontId="26" fillId="20" borderId="9" xfId="0" applyFont="1" applyFill="1" applyBorder="1" applyAlignment="1">
      <alignment horizontal="left" vertical="center" wrapText="1"/>
    </xf>
    <xf numFmtId="0" fontId="26" fillId="20" borderId="12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5" fillId="18" borderId="35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14" fontId="9" fillId="10" borderId="35" xfId="0" applyNumberFormat="1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27" fillId="21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175" fontId="8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175" fontId="8" fillId="13" borderId="2" xfId="0" applyNumberFormat="1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26" fillId="27" borderId="2" xfId="0" applyFont="1" applyFill="1" applyBorder="1" applyAlignment="1">
      <alignment horizontal="center" vertical="center" wrapText="1"/>
    </xf>
    <xf numFmtId="0" fontId="26" fillId="28" borderId="3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26" fillId="33" borderId="21" xfId="0" applyFont="1" applyFill="1" applyBorder="1" applyAlignment="1">
      <alignment horizontal="center" vertical="center"/>
    </xf>
    <xf numFmtId="0" fontId="26" fillId="33" borderId="25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25" fillId="34" borderId="2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6" fillId="33" borderId="27" xfId="0" applyFont="1" applyFill="1" applyBorder="1" applyAlignment="1">
      <alignment horizontal="center" vertical="center"/>
    </xf>
    <xf numFmtId="0" fontId="26" fillId="33" borderId="29" xfId="0" applyFont="1" applyFill="1" applyBorder="1" applyAlignment="1">
      <alignment horizontal="center" vertical="center"/>
    </xf>
    <xf numFmtId="0" fontId="15" fillId="17" borderId="41" xfId="0" applyFont="1" applyFill="1" applyBorder="1" applyAlignment="1">
      <alignment horizontal="left" vertical="center" wrapText="1"/>
    </xf>
    <xf numFmtId="0" fontId="15" fillId="17" borderId="24" xfId="0" applyFont="1" applyFill="1" applyBorder="1" applyAlignment="1">
      <alignment horizontal="left" vertical="center" wrapText="1"/>
    </xf>
    <xf numFmtId="0" fontId="15" fillId="17" borderId="27" xfId="0" applyFont="1" applyFill="1" applyBorder="1" applyAlignment="1">
      <alignment horizontal="left" vertical="center"/>
    </xf>
    <xf numFmtId="0" fontId="15" fillId="17" borderId="29" xfId="0" applyFont="1" applyFill="1" applyBorder="1" applyAlignment="1">
      <alignment horizontal="left" vertical="center"/>
    </xf>
    <xf numFmtId="0" fontId="26" fillId="33" borderId="41" xfId="0" applyFont="1" applyFill="1" applyBorder="1" applyAlignment="1">
      <alignment horizontal="center" vertical="center"/>
    </xf>
    <xf numFmtId="0" fontId="26" fillId="33" borderId="24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left" vertical="center" wrapText="1"/>
    </xf>
    <xf numFmtId="0" fontId="26" fillId="29" borderId="2" xfId="0" applyFont="1" applyFill="1" applyBorder="1" applyAlignment="1">
      <alignment horizontal="center" vertical="center" wrapText="1"/>
    </xf>
    <xf numFmtId="0" fontId="26" fillId="30" borderId="2" xfId="0" applyFont="1" applyFill="1" applyBorder="1" applyAlignment="1">
      <alignment horizontal="center" vertical="center"/>
    </xf>
    <xf numFmtId="0" fontId="26" fillId="32" borderId="22" xfId="0" applyFont="1" applyFill="1" applyBorder="1" applyAlignment="1">
      <alignment horizontal="center" vertical="center" wrapText="1"/>
    </xf>
    <xf numFmtId="167" fontId="23" fillId="2" borderId="26" xfId="0" applyNumberFormat="1" applyFont="1" applyFill="1" applyBorder="1" applyAlignment="1">
      <alignment horizontal="center" vertical="center"/>
    </xf>
    <xf numFmtId="167" fontId="23" fillId="2" borderId="40" xfId="0" applyNumberFormat="1" applyFont="1" applyFill="1" applyBorder="1" applyAlignment="1">
      <alignment horizontal="center" vertical="center"/>
    </xf>
    <xf numFmtId="0" fontId="10" fillId="37" borderId="26" xfId="0" applyFont="1" applyFill="1" applyBorder="1" applyAlignment="1">
      <alignment horizontal="center"/>
    </xf>
    <xf numFmtId="0" fontId="10" fillId="37" borderId="22" xfId="0" applyFont="1" applyFill="1" applyBorder="1" applyAlignment="1">
      <alignment horizontal="center"/>
    </xf>
    <xf numFmtId="0" fontId="10" fillId="37" borderId="26" xfId="0" applyFont="1" applyFill="1" applyBorder="1" applyAlignment="1">
      <alignment horizontal="left"/>
    </xf>
    <xf numFmtId="0" fontId="10" fillId="37" borderId="22" xfId="0" applyFont="1" applyFill="1" applyBorder="1" applyAlignment="1">
      <alignment horizontal="left"/>
    </xf>
    <xf numFmtId="0" fontId="26" fillId="35" borderId="21" xfId="0" applyFont="1" applyFill="1" applyBorder="1" applyAlignment="1">
      <alignment horizontal="center"/>
    </xf>
    <xf numFmtId="0" fontId="26" fillId="35" borderId="25" xfId="0" applyFont="1" applyFill="1" applyBorder="1" applyAlignment="1">
      <alignment horizontal="center"/>
    </xf>
    <xf numFmtId="0" fontId="8" fillId="37" borderId="21" xfId="0" applyFont="1" applyFill="1" applyBorder="1" applyAlignment="1">
      <alignment horizontal="left" vertical="center"/>
    </xf>
    <xf numFmtId="0" fontId="8" fillId="37" borderId="25" xfId="0" applyFont="1" applyFill="1" applyBorder="1" applyAlignment="1">
      <alignment horizontal="left" vertical="center"/>
    </xf>
    <xf numFmtId="0" fontId="8" fillId="37" borderId="23" xfId="0" applyFont="1" applyFill="1" applyBorder="1" applyAlignment="1">
      <alignment horizontal="left" vertical="center"/>
    </xf>
    <xf numFmtId="0" fontId="36" fillId="38" borderId="0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7" fillId="39" borderId="22" xfId="0" applyFont="1" applyFill="1" applyBorder="1" applyAlignment="1">
      <alignment horizontal="center" vertical="center" wrapText="1"/>
    </xf>
    <xf numFmtId="0" fontId="37" fillId="41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9" fillId="40" borderId="22" xfId="0" applyFont="1" applyFill="1" applyBorder="1" applyAlignment="1">
      <alignment horizontal="right" vertical="center"/>
    </xf>
    <xf numFmtId="0" fontId="5" fillId="40" borderId="22" xfId="0" applyFont="1" applyFill="1" applyBorder="1" applyAlignment="1">
      <alignment horizontal="right" vertical="center"/>
    </xf>
    <xf numFmtId="0" fontId="39" fillId="37" borderId="22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right" vertical="center" wrapText="1"/>
    </xf>
    <xf numFmtId="0" fontId="3" fillId="37" borderId="0" xfId="0" applyFont="1" applyFill="1" applyBorder="1" applyAlignment="1">
      <alignment horizontal="center" vertical="center" wrapText="1"/>
    </xf>
    <xf numFmtId="0" fontId="39" fillId="40" borderId="22" xfId="0" applyFont="1" applyFill="1" applyBorder="1" applyAlignment="1">
      <alignment horizontal="right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8" fillId="19" borderId="42" xfId="0" applyFont="1" applyFill="1" applyBorder="1" applyAlignment="1">
      <alignment horizontal="center" vertical="center"/>
    </xf>
    <xf numFmtId="0" fontId="38" fillId="19" borderId="24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right" vertical="center" wrapText="1"/>
    </xf>
  </cellXfs>
  <cellStyles count="6">
    <cellStyle name="Moeda" xfId="2" builtinId="4"/>
    <cellStyle name="Normal" xfId="0" builtinId="0"/>
    <cellStyle name="Normal 2" xfId="5" xr:uid="{B8B13A3B-0446-4B82-8574-32C7F4F92A22}"/>
    <cellStyle name="Porcentagem" xfId="3" builtinId="5"/>
    <cellStyle name="Texto Explicativo" xfId="4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FFFA6"/>
      <rgbColor rgb="FFFFFF99"/>
      <rgbColor rgb="FFCCCCCC"/>
      <rgbColor rgb="FFFF99CC"/>
      <rgbColor rgb="FFCC99FF"/>
      <rgbColor rgb="FFFFCC66"/>
      <rgbColor rgb="FF3366FF"/>
      <rgbColor rgb="FF00B0F0"/>
      <rgbColor rgb="FF66FF33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222"/>
  <sheetViews>
    <sheetView tabSelected="1" view="pageBreakPreview" zoomScaleNormal="78" zoomScaleSheetLayoutView="100" zoomScalePageLayoutView="90" workbookViewId="0">
      <selection activeCell="A132" sqref="A132"/>
    </sheetView>
  </sheetViews>
  <sheetFormatPr defaultRowHeight="12.75" x14ac:dyDescent="0.2"/>
  <cols>
    <col min="1" max="1" width="71.85546875" style="34" customWidth="1"/>
    <col min="2" max="2" width="17.85546875" style="93" customWidth="1"/>
    <col min="3" max="3" width="14.28515625" style="93" customWidth="1"/>
    <col min="4" max="1019" width="9" style="34"/>
    <col min="1020" max="1023" width="11" style="34"/>
    <col min="1024" max="16384" width="9.140625" style="34"/>
  </cols>
  <sheetData>
    <row r="1" spans="1:3" ht="18" x14ac:dyDescent="0.2">
      <c r="A1" s="196" t="s">
        <v>104</v>
      </c>
      <c r="B1" s="196"/>
      <c r="C1" s="196"/>
    </row>
    <row r="2" spans="1:3" x14ac:dyDescent="0.2">
      <c r="A2" s="207"/>
      <c r="B2" s="207"/>
      <c r="C2" s="207"/>
    </row>
    <row r="3" spans="1:3" ht="20.25" customHeight="1" x14ac:dyDescent="0.2">
      <c r="A3" s="197" t="s">
        <v>195</v>
      </c>
      <c r="B3" s="197"/>
      <c r="C3" s="197"/>
    </row>
    <row r="4" spans="1:3" x14ac:dyDescent="0.2">
      <c r="A4" s="208"/>
      <c r="B4" s="208"/>
      <c r="C4" s="208"/>
    </row>
    <row r="5" spans="1:3" x14ac:dyDescent="0.2">
      <c r="A5" s="166" t="s">
        <v>105</v>
      </c>
      <c r="B5" s="192"/>
      <c r="C5" s="192"/>
    </row>
    <row r="6" spans="1:3" x14ac:dyDescent="0.2">
      <c r="A6" s="166" t="s">
        <v>106</v>
      </c>
      <c r="B6" s="192"/>
      <c r="C6" s="192"/>
    </row>
    <row r="7" spans="1:3" ht="17.25" customHeight="1" x14ac:dyDescent="0.2">
      <c r="A7" s="166" t="s">
        <v>107</v>
      </c>
      <c r="B7" s="192" t="s">
        <v>108</v>
      </c>
      <c r="C7" s="192"/>
    </row>
    <row r="8" spans="1:3" ht="22.5" customHeight="1" x14ac:dyDescent="0.2">
      <c r="A8" s="206"/>
      <c r="B8" s="206"/>
      <c r="C8" s="206"/>
    </row>
    <row r="9" spans="1:3" ht="15" x14ac:dyDescent="0.2">
      <c r="A9" s="193" t="s">
        <v>109</v>
      </c>
      <c r="B9" s="194"/>
      <c r="C9" s="195"/>
    </row>
    <row r="10" spans="1:3" ht="43.5" customHeight="1" x14ac:dyDescent="0.2">
      <c r="A10" s="189" t="s">
        <v>186</v>
      </c>
      <c r="B10" s="190"/>
      <c r="C10" s="191"/>
    </row>
    <row r="11" spans="1:3" ht="15" x14ac:dyDescent="0.2">
      <c r="A11" s="193" t="s">
        <v>110</v>
      </c>
      <c r="B11" s="194"/>
      <c r="C11" s="195"/>
    </row>
    <row r="12" spans="1:3" ht="26.25" customHeight="1" x14ac:dyDescent="0.2">
      <c r="A12" s="189" t="s">
        <v>185</v>
      </c>
      <c r="B12" s="190"/>
      <c r="C12" s="191"/>
    </row>
    <row r="13" spans="1:3" ht="26.25" customHeight="1" thickBot="1" x14ac:dyDescent="0.25">
      <c r="A13" s="210"/>
      <c r="B13" s="210"/>
      <c r="C13" s="210"/>
    </row>
    <row r="14" spans="1:3" ht="15" customHeight="1" thickBot="1" x14ac:dyDescent="0.25">
      <c r="A14" s="209" t="s">
        <v>111</v>
      </c>
      <c r="B14" s="209"/>
      <c r="C14" s="209"/>
    </row>
    <row r="15" spans="1:3" ht="20.25" customHeight="1" thickBot="1" x14ac:dyDescent="0.25">
      <c r="A15" s="119" t="s">
        <v>116</v>
      </c>
      <c r="B15" s="211"/>
      <c r="C15" s="211"/>
    </row>
    <row r="16" spans="1:3" ht="20.25" customHeight="1" thickBot="1" x14ac:dyDescent="0.25">
      <c r="A16" s="119" t="s">
        <v>117</v>
      </c>
      <c r="B16" s="212" t="s">
        <v>196</v>
      </c>
      <c r="C16" s="212"/>
    </row>
    <row r="17" spans="1:3" ht="24" customHeight="1" thickBot="1" x14ac:dyDescent="0.25">
      <c r="A17" s="120" t="s">
        <v>118</v>
      </c>
      <c r="B17" s="212" t="s">
        <v>187</v>
      </c>
      <c r="C17" s="212"/>
    </row>
    <row r="18" spans="1:3" ht="13.5" thickBot="1" x14ac:dyDescent="0.25">
      <c r="A18" s="119" t="s">
        <v>119</v>
      </c>
      <c r="B18" s="199">
        <v>30</v>
      </c>
      <c r="C18" s="199"/>
    </row>
    <row r="19" spans="1:3" ht="13.5" thickBot="1" x14ac:dyDescent="0.25">
      <c r="A19" s="119" t="s">
        <v>179</v>
      </c>
      <c r="B19" s="199">
        <v>4</v>
      </c>
      <c r="C19" s="199"/>
    </row>
    <row r="20" spans="1:3" ht="13.5" thickBot="1" x14ac:dyDescent="0.25">
      <c r="B20" s="35"/>
      <c r="C20" s="35"/>
    </row>
    <row r="21" spans="1:3" ht="15.75" thickBot="1" x14ac:dyDescent="0.25">
      <c r="A21" s="200" t="s">
        <v>112</v>
      </c>
      <c r="B21" s="201"/>
      <c r="C21" s="202"/>
    </row>
    <row r="22" spans="1:3" ht="15.75" thickBot="1" x14ac:dyDescent="0.25">
      <c r="A22" s="203" t="s">
        <v>113</v>
      </c>
      <c r="B22" s="204"/>
      <c r="C22" s="205"/>
    </row>
    <row r="23" spans="1:3" ht="13.5" thickBot="1" x14ac:dyDescent="0.25">
      <c r="A23" s="117" t="s">
        <v>120</v>
      </c>
      <c r="B23" s="214" t="s">
        <v>114</v>
      </c>
      <c r="C23" s="214"/>
    </row>
    <row r="24" spans="1:3" ht="13.5" thickBot="1" x14ac:dyDescent="0.25">
      <c r="A24" s="117" t="s">
        <v>121</v>
      </c>
      <c r="B24" s="215" t="s">
        <v>123</v>
      </c>
      <c r="C24" s="215"/>
    </row>
    <row r="25" spans="1:3" ht="13.5" thickBot="1" x14ac:dyDescent="0.25">
      <c r="A25" s="118" t="s">
        <v>122</v>
      </c>
      <c r="B25" s="216">
        <f>ROUND(1590*1.0472*1.054877*1.1018,2)</f>
        <v>1935.22</v>
      </c>
      <c r="C25" s="216"/>
    </row>
    <row r="26" spans="1:3" ht="13.5" thickBot="1" x14ac:dyDescent="0.25">
      <c r="A26" s="118" t="s">
        <v>197</v>
      </c>
      <c r="B26" s="218">
        <v>1212</v>
      </c>
      <c r="C26" s="218"/>
    </row>
    <row r="27" spans="1:3" ht="13.5" thickBot="1" x14ac:dyDescent="0.25">
      <c r="A27" s="118" t="s">
        <v>198</v>
      </c>
      <c r="B27" s="214" t="s">
        <v>115</v>
      </c>
      <c r="C27" s="214"/>
    </row>
    <row r="28" spans="1:3" ht="13.5" thickBot="1" x14ac:dyDescent="0.25">
      <c r="A28" s="118" t="s">
        <v>199</v>
      </c>
      <c r="B28" s="217" t="s">
        <v>189</v>
      </c>
      <c r="C28" s="217"/>
    </row>
    <row r="29" spans="1:3" ht="13.5" thickBot="1" x14ac:dyDescent="0.25">
      <c r="A29" s="118" t="s">
        <v>200</v>
      </c>
      <c r="B29" s="217" t="s">
        <v>188</v>
      </c>
      <c r="C29" s="217"/>
    </row>
    <row r="30" spans="1:3" x14ac:dyDescent="0.2">
      <c r="B30" s="35"/>
      <c r="C30" s="35"/>
    </row>
    <row r="31" spans="1:3" ht="12.75" customHeight="1" x14ac:dyDescent="0.2">
      <c r="A31" s="36"/>
      <c r="B31" s="37"/>
      <c r="C31" s="38"/>
    </row>
    <row r="32" spans="1:3" ht="45" customHeight="1" x14ac:dyDescent="0.2">
      <c r="A32" s="39" t="s">
        <v>0</v>
      </c>
      <c r="B32" s="110" t="s">
        <v>1</v>
      </c>
      <c r="C32" s="110" t="s">
        <v>2</v>
      </c>
    </row>
    <row r="33" spans="1:1022" ht="15" customHeight="1" thickBot="1" x14ac:dyDescent="0.25">
      <c r="A33" s="198" t="s">
        <v>3</v>
      </c>
      <c r="B33" s="198"/>
      <c r="C33" s="198"/>
    </row>
    <row r="34" spans="1:1022" ht="26.25" thickBot="1" x14ac:dyDescent="0.25">
      <c r="A34" s="114" t="s">
        <v>4</v>
      </c>
      <c r="B34" s="115" t="s">
        <v>139</v>
      </c>
      <c r="C34" s="116" t="s">
        <v>5</v>
      </c>
    </row>
    <row r="35" spans="1:1022" ht="15" x14ac:dyDescent="0.2">
      <c r="A35" s="40" t="s">
        <v>134</v>
      </c>
      <c r="B35" s="41"/>
      <c r="C35" s="42">
        <f>IF(B25&gt;=B26,B25,B26)</f>
        <v>1935.22</v>
      </c>
    </row>
    <row r="36" spans="1:1022" ht="15" x14ac:dyDescent="0.2">
      <c r="A36" s="40" t="s">
        <v>6</v>
      </c>
      <c r="B36" s="43"/>
      <c r="C36" s="44"/>
    </row>
    <row r="37" spans="1:1022" ht="15" x14ac:dyDescent="0.2">
      <c r="A37" s="40" t="s">
        <v>7</v>
      </c>
      <c r="B37" s="45"/>
      <c r="C37" s="42"/>
    </row>
    <row r="38" spans="1:1022" ht="15" x14ac:dyDescent="0.2">
      <c r="A38" s="40" t="s">
        <v>8</v>
      </c>
      <c r="B38" s="43"/>
      <c r="C38" s="42"/>
    </row>
    <row r="39" spans="1:1022" ht="15" x14ac:dyDescent="0.2">
      <c r="A39" s="40" t="s">
        <v>9</v>
      </c>
      <c r="B39" s="46"/>
      <c r="C39" s="47"/>
    </row>
    <row r="40" spans="1:1022" ht="15" x14ac:dyDescent="0.2">
      <c r="A40" s="40" t="s">
        <v>10</v>
      </c>
      <c r="B40" s="48"/>
      <c r="C40" s="42"/>
    </row>
    <row r="41" spans="1:1022" ht="15" x14ac:dyDescent="0.2">
      <c r="A41" s="111" t="s">
        <v>11</v>
      </c>
      <c r="B41" s="112"/>
      <c r="C41" s="113">
        <f>SUM(C35:C40)</f>
        <v>1935.22</v>
      </c>
    </row>
    <row r="42" spans="1:1022" ht="15" x14ac:dyDescent="0.2">
      <c r="A42" s="49"/>
      <c r="B42" s="50"/>
      <c r="C42" s="51"/>
    </row>
    <row r="43" spans="1:1022" ht="16.5" customHeight="1" x14ac:dyDescent="0.2">
      <c r="A43" s="213" t="s">
        <v>12</v>
      </c>
      <c r="B43" s="213"/>
      <c r="C43" s="213"/>
    </row>
    <row r="44" spans="1:1022" s="54" customFormat="1" ht="13.5" thickBot="1" x14ac:dyDescent="0.25">
      <c r="A44" s="52" t="s">
        <v>13</v>
      </c>
      <c r="B44" s="121" t="s">
        <v>14</v>
      </c>
      <c r="C44" s="121" t="s">
        <v>5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MF44" s="34"/>
      <c r="AMG44" s="34"/>
      <c r="AMH44" s="34"/>
    </row>
    <row r="45" spans="1:1022" ht="15.75" thickBot="1" x14ac:dyDescent="0.25">
      <c r="A45" s="55" t="s">
        <v>15</v>
      </c>
      <c r="B45" s="122">
        <f>1/12</f>
        <v>8.3333333333333329E-2</v>
      </c>
      <c r="C45" s="94">
        <f>ROUND($B45*C$41,2)</f>
        <v>161.27000000000001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</row>
    <row r="46" spans="1:1022" ht="39" thickBot="1" x14ac:dyDescent="0.25">
      <c r="A46" s="40" t="s">
        <v>124</v>
      </c>
      <c r="B46" s="123">
        <f>B45/3</f>
        <v>2.7777777777777776E-2</v>
      </c>
      <c r="C46" s="95">
        <f>ROUND($B46*C$41,2)</f>
        <v>53.76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</row>
    <row r="47" spans="1:1022" ht="15.75" thickBot="1" x14ac:dyDescent="0.25">
      <c r="A47" s="57" t="s">
        <v>11</v>
      </c>
      <c r="B47" s="124">
        <f>SUM(B45:B46)</f>
        <v>0.1111111111111111</v>
      </c>
      <c r="C47" s="59">
        <f>ROUND(SUM(C45:C46),2)</f>
        <v>215.03</v>
      </c>
      <c r="D47" s="53"/>
      <c r="E47" s="6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</row>
    <row r="48" spans="1:1022" x14ac:dyDescent="0.2">
      <c r="A48" s="96" t="s">
        <v>125</v>
      </c>
      <c r="B48" s="121" t="s">
        <v>14</v>
      </c>
      <c r="C48" s="121" t="s">
        <v>5</v>
      </c>
    </row>
    <row r="49" spans="1:1022" s="62" customFormat="1" ht="15" x14ac:dyDescent="0.2">
      <c r="A49" s="40" t="s">
        <v>126</v>
      </c>
      <c r="B49" s="123">
        <v>0.2</v>
      </c>
      <c r="C49" s="42">
        <f>ROUND($B49*(C$41+C$47),2)</f>
        <v>430.05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MF49" s="34"/>
      <c r="AMG49" s="34"/>
      <c r="AMH49" s="34"/>
    </row>
    <row r="50" spans="1:1022" s="62" customFormat="1" ht="15" x14ac:dyDescent="0.2">
      <c r="A50" s="40" t="s">
        <v>127</v>
      </c>
      <c r="B50" s="123">
        <v>2.5000000000000001E-2</v>
      </c>
      <c r="C50" s="42">
        <f>ROUND($B50*(C$41+C$47),2)</f>
        <v>53.76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MF50" s="34"/>
      <c r="AMG50" s="34"/>
      <c r="AMH50" s="34"/>
    </row>
    <row r="51" spans="1:1022" s="62" customFormat="1" ht="15" x14ac:dyDescent="0.2">
      <c r="A51" s="40" t="s">
        <v>128</v>
      </c>
      <c r="B51" s="123">
        <v>0.03</v>
      </c>
      <c r="C51" s="42">
        <f t="shared" ref="C51:C56" si="0">ROUND($B51*(C$41+C$47),2)</f>
        <v>64.510000000000005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MF51" s="34"/>
      <c r="AMG51" s="34"/>
      <c r="AMH51" s="34"/>
    </row>
    <row r="52" spans="1:1022" s="62" customFormat="1" ht="15" x14ac:dyDescent="0.2">
      <c r="A52" s="40" t="s">
        <v>129</v>
      </c>
      <c r="B52" s="123">
        <v>1.4999999999999999E-2</v>
      </c>
      <c r="C52" s="42">
        <f t="shared" si="0"/>
        <v>32.25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MF52" s="34"/>
      <c r="AMG52" s="34"/>
      <c r="AMH52" s="34"/>
    </row>
    <row r="53" spans="1:1022" s="62" customFormat="1" ht="15" x14ac:dyDescent="0.2">
      <c r="A53" s="40" t="s">
        <v>130</v>
      </c>
      <c r="B53" s="123">
        <v>0.01</v>
      </c>
      <c r="C53" s="42">
        <f t="shared" si="0"/>
        <v>21.5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MF53" s="34"/>
      <c r="AMG53" s="34"/>
      <c r="AMH53" s="34"/>
    </row>
    <row r="54" spans="1:1022" s="62" customFormat="1" ht="15" x14ac:dyDescent="0.2">
      <c r="A54" s="40" t="s">
        <v>131</v>
      </c>
      <c r="B54" s="123">
        <v>6.0000000000000001E-3</v>
      </c>
      <c r="C54" s="42">
        <f t="shared" si="0"/>
        <v>12.9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MF54" s="34"/>
      <c r="AMG54" s="34"/>
      <c r="AMH54" s="34"/>
    </row>
    <row r="55" spans="1:1022" s="62" customFormat="1" ht="15" x14ac:dyDescent="0.2">
      <c r="A55" s="40" t="s">
        <v>132</v>
      </c>
      <c r="B55" s="123">
        <v>2E-3</v>
      </c>
      <c r="C55" s="42">
        <f t="shared" si="0"/>
        <v>4.3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MF55" s="34"/>
      <c r="AMG55" s="34"/>
      <c r="AMH55" s="34"/>
    </row>
    <row r="56" spans="1:1022" s="62" customFormat="1" ht="15" x14ac:dyDescent="0.2">
      <c r="A56" s="40" t="s">
        <v>133</v>
      </c>
      <c r="B56" s="123">
        <v>0.08</v>
      </c>
      <c r="C56" s="42">
        <f t="shared" si="0"/>
        <v>172.02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MF56" s="34"/>
      <c r="AMG56" s="34"/>
      <c r="AMH56" s="34"/>
    </row>
    <row r="57" spans="1:1022" ht="15" x14ac:dyDescent="0.2">
      <c r="A57" s="57" t="s">
        <v>16</v>
      </c>
      <c r="B57" s="124">
        <f>SUM(B49:B56)</f>
        <v>0.36800000000000005</v>
      </c>
      <c r="C57" s="63">
        <f>ROUND(SUM(C49:C56),2)</f>
        <v>791.29</v>
      </c>
      <c r="D57" s="64"/>
      <c r="E57" s="65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</row>
    <row r="58" spans="1:1022" x14ac:dyDescent="0.2">
      <c r="A58" s="66" t="s">
        <v>17</v>
      </c>
      <c r="B58" s="128"/>
      <c r="C58" s="125" t="s">
        <v>5</v>
      </c>
    </row>
    <row r="59" spans="1:1022" ht="15" x14ac:dyDescent="0.2">
      <c r="A59" s="40" t="s">
        <v>201</v>
      </c>
      <c r="B59" s="126"/>
      <c r="C59" s="104">
        <f>Benefícios!E9</f>
        <v>15.89</v>
      </c>
    </row>
    <row r="60" spans="1:1022" ht="15" x14ac:dyDescent="0.2">
      <c r="A60" s="40" t="s">
        <v>190</v>
      </c>
      <c r="B60" s="126"/>
      <c r="C60" s="67">
        <f>Benefícios!E13</f>
        <v>349.69</v>
      </c>
    </row>
    <row r="61" spans="1:1022" ht="15" x14ac:dyDescent="0.2">
      <c r="A61" s="40" t="s">
        <v>135</v>
      </c>
      <c r="B61" s="126"/>
      <c r="C61" s="67"/>
    </row>
    <row r="62" spans="1:1022" ht="15" x14ac:dyDescent="0.2">
      <c r="A62" s="40" t="s">
        <v>191</v>
      </c>
      <c r="B62" s="126"/>
      <c r="C62" s="67">
        <f>Benefícios!E19</f>
        <v>5.96</v>
      </c>
    </row>
    <row r="63" spans="1:1022" ht="15" x14ac:dyDescent="0.2">
      <c r="A63" s="40" t="s">
        <v>192</v>
      </c>
      <c r="B63" s="126"/>
      <c r="C63" s="67">
        <f>Benefícios!C16</f>
        <v>7</v>
      </c>
    </row>
    <row r="64" spans="1:1022" ht="15" x14ac:dyDescent="0.2">
      <c r="A64" s="40" t="s">
        <v>136</v>
      </c>
      <c r="B64" s="126"/>
      <c r="C64" s="67"/>
    </row>
    <row r="65" spans="1:1022" ht="15" x14ac:dyDescent="0.2">
      <c r="A65" s="57" t="s">
        <v>16</v>
      </c>
      <c r="B65" s="127"/>
      <c r="C65" s="63">
        <f>SUM(C59:C64)</f>
        <v>378.53999999999996</v>
      </c>
    </row>
    <row r="66" spans="1:1022" x14ac:dyDescent="0.2">
      <c r="A66" s="129" t="s">
        <v>18</v>
      </c>
      <c r="B66" s="130"/>
      <c r="C66" s="131" t="s">
        <v>5</v>
      </c>
    </row>
    <row r="67" spans="1:1022" ht="15" x14ac:dyDescent="0.2">
      <c r="A67" s="68" t="s">
        <v>141</v>
      </c>
      <c r="B67" s="69">
        <f>B47</f>
        <v>0.1111111111111111</v>
      </c>
      <c r="C67" s="56">
        <f>C47</f>
        <v>215.03</v>
      </c>
    </row>
    <row r="68" spans="1:1022" ht="15" x14ac:dyDescent="0.2">
      <c r="A68" s="70" t="s">
        <v>142</v>
      </c>
      <c r="B68" s="71">
        <f>B57</f>
        <v>0.36800000000000005</v>
      </c>
      <c r="C68" s="67">
        <f>C57</f>
        <v>791.29</v>
      </c>
    </row>
    <row r="69" spans="1:1022" ht="15" x14ac:dyDescent="0.2">
      <c r="A69" s="70" t="s">
        <v>143</v>
      </c>
      <c r="B69" s="71"/>
      <c r="C69" s="67">
        <f>C65</f>
        <v>378.53999999999996</v>
      </c>
    </row>
    <row r="70" spans="1:1022" ht="15" x14ac:dyDescent="0.2">
      <c r="A70" s="111" t="s">
        <v>11</v>
      </c>
      <c r="B70" s="112"/>
      <c r="C70" s="113">
        <f>SUM(C67:C69)</f>
        <v>1384.86</v>
      </c>
    </row>
    <row r="71" spans="1:1022" ht="15" x14ac:dyDescent="0.2">
      <c r="A71" s="72"/>
      <c r="B71" s="51"/>
      <c r="C71" s="51"/>
    </row>
    <row r="72" spans="1:1022" ht="15" customHeight="1" x14ac:dyDescent="0.2">
      <c r="A72" s="213" t="s">
        <v>19</v>
      </c>
      <c r="B72" s="213"/>
      <c r="C72" s="213"/>
    </row>
    <row r="73" spans="1:1022" x14ac:dyDescent="0.2">
      <c r="A73" s="132" t="s">
        <v>20</v>
      </c>
      <c r="B73" s="133"/>
      <c r="C73" s="134" t="s">
        <v>5</v>
      </c>
    </row>
    <row r="74" spans="1:1022" s="62" customFormat="1" ht="25.5" x14ac:dyDescent="0.2">
      <c r="A74" s="40" t="s">
        <v>144</v>
      </c>
      <c r="B74" s="135">
        <f>1/12*0.05</f>
        <v>4.1666666666666666E-3</v>
      </c>
      <c r="C74" s="56">
        <f>ROUND($B74*C$41,2)</f>
        <v>8.06</v>
      </c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MF74" s="34"/>
      <c r="AMG74" s="34"/>
      <c r="AMH74" s="34"/>
    </row>
    <row r="75" spans="1:1022" ht="15" x14ac:dyDescent="0.2">
      <c r="A75" s="73" t="s">
        <v>145</v>
      </c>
      <c r="B75" s="135">
        <f>B56*B74</f>
        <v>3.3333333333333332E-4</v>
      </c>
      <c r="C75" s="67">
        <f>ROUND($B75*C$41,2)</f>
        <v>0.65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  <row r="76" spans="1:1022" ht="15" x14ac:dyDescent="0.2">
      <c r="A76" s="40" t="s">
        <v>146</v>
      </c>
      <c r="B76" s="135">
        <f>B74*((0.4*B56)+SUM(B50:B55))</f>
        <v>5.0000000000000001E-4</v>
      </c>
      <c r="C76" s="67">
        <f t="shared" ref="C76:C78" si="1">ROUND($B76*C$41,2)</f>
        <v>0.97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1022" ht="25.5" x14ac:dyDescent="0.2">
      <c r="A77" s="40" t="s">
        <v>147</v>
      </c>
      <c r="B77" s="135">
        <f>1/30*7/12</f>
        <v>1.9444444444444445E-2</v>
      </c>
      <c r="C77" s="67">
        <f t="shared" si="1"/>
        <v>37.630000000000003</v>
      </c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</row>
    <row r="78" spans="1:1022" ht="25.5" x14ac:dyDescent="0.2">
      <c r="A78" s="40" t="s">
        <v>148</v>
      </c>
      <c r="B78" s="135">
        <f>B57*B77</f>
        <v>7.1555555555555565E-3</v>
      </c>
      <c r="C78" s="67">
        <f t="shared" si="1"/>
        <v>13.85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</row>
    <row r="79" spans="1:1022" ht="15.75" thickBot="1" x14ac:dyDescent="0.25">
      <c r="A79" s="40" t="s">
        <v>149</v>
      </c>
      <c r="B79" s="136">
        <f>8%*40%*90%*(1+1/12+1/12+1/3*1/12)</f>
        <v>3.4399999999999993E-2</v>
      </c>
      <c r="C79" s="67">
        <f>ROUND($B79*C$41,2)</f>
        <v>66.569999999999993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</row>
    <row r="80" spans="1:1022" ht="15.75" thickBot="1" x14ac:dyDescent="0.25">
      <c r="A80" s="137" t="s">
        <v>11</v>
      </c>
      <c r="B80" s="138">
        <f>SUM(B74:B79)</f>
        <v>6.5999999999999989E-2</v>
      </c>
      <c r="C80" s="113">
        <f>SUM(C74:C79)</f>
        <v>127.72999999999999</v>
      </c>
      <c r="D80" s="64"/>
      <c r="E80" s="65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</row>
    <row r="81" spans="1:1022" ht="15" x14ac:dyDescent="0.2">
      <c r="A81" s="72"/>
      <c r="B81" s="51"/>
      <c r="C81" s="51"/>
    </row>
    <row r="82" spans="1:1022" ht="16.5" customHeight="1" x14ac:dyDescent="0.2">
      <c r="A82" s="213" t="s">
        <v>21</v>
      </c>
      <c r="B82" s="213"/>
      <c r="C82" s="213"/>
    </row>
    <row r="83" spans="1:1022" x14ac:dyDescent="0.2">
      <c r="A83" s="66" t="s">
        <v>22</v>
      </c>
      <c r="B83" s="139"/>
      <c r="C83" s="140" t="s">
        <v>5</v>
      </c>
    </row>
    <row r="84" spans="1:1022" s="62" customFormat="1" ht="15" x14ac:dyDescent="0.2">
      <c r="A84" s="40" t="s">
        <v>150</v>
      </c>
      <c r="B84" s="123">
        <f>1/12</f>
        <v>8.3333333333333329E-2</v>
      </c>
      <c r="C84" s="42">
        <f>ROUND($B84*(C$41+C$70+C80),2)</f>
        <v>287.32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MF84" s="34"/>
      <c r="AMG84" s="34"/>
      <c r="AMH84" s="34"/>
    </row>
    <row r="85" spans="1:1022" s="62" customFormat="1" ht="15" x14ac:dyDescent="0.2">
      <c r="A85" s="40" t="s">
        <v>151</v>
      </c>
      <c r="B85" s="141">
        <f>'Estimativa Afastamentos'!C14/30.4375/12</f>
        <v>1.0519917864476385E-2</v>
      </c>
      <c r="C85" s="42">
        <f>ROUND($B85*(C$41+C$70+C$80),2)</f>
        <v>36.270000000000003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MF85" s="34"/>
      <c r="AMG85" s="34"/>
      <c r="AMH85" s="34"/>
    </row>
    <row r="86" spans="1:1022" s="62" customFormat="1" ht="15" x14ac:dyDescent="0.2">
      <c r="A86" s="40" t="s">
        <v>152</v>
      </c>
      <c r="B86" s="141">
        <f>5/30.4375/12*'Estimativa Afastamentos'!D20*'Estimativa Afastamentos'!D19</f>
        <v>2.0533880903490757E-4</v>
      </c>
      <c r="C86" s="42">
        <f t="shared" ref="C86:C89" si="2">ROUND($B86*(C$41+C$70+C$80),2)</f>
        <v>0.71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MF86" s="34"/>
      <c r="AMG86" s="34"/>
      <c r="AMH86" s="34"/>
    </row>
    <row r="87" spans="1:1022" s="62" customFormat="1" ht="15" x14ac:dyDescent="0.2">
      <c r="A87" s="40" t="s">
        <v>153</v>
      </c>
      <c r="B87" s="141">
        <f>'Estimativa Afastamentos'!D25/30.4375/12</f>
        <v>1.8926762491444217E-3</v>
      </c>
      <c r="C87" s="42">
        <f t="shared" si="2"/>
        <v>6.53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MF87" s="34"/>
      <c r="AMG87" s="34"/>
      <c r="AMH87" s="34"/>
    </row>
    <row r="88" spans="1:1022" s="62" customFormat="1" ht="15" x14ac:dyDescent="0.2">
      <c r="A88" s="40" t="s">
        <v>154</v>
      </c>
      <c r="B88" s="141">
        <f>120/30*'Estimativa Afastamentos'!D29*'Estimativa Afastamentos'!D30</f>
        <v>0</v>
      </c>
      <c r="C88" s="42">
        <f t="shared" si="2"/>
        <v>0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MF88" s="34"/>
      <c r="AMG88" s="34"/>
      <c r="AMH88" s="34"/>
    </row>
    <row r="89" spans="1:1022" ht="15.75" thickBot="1" x14ac:dyDescent="0.25">
      <c r="A89" s="40" t="s">
        <v>155</v>
      </c>
      <c r="B89" s="123">
        <v>0</v>
      </c>
      <c r="C89" s="42">
        <f t="shared" si="2"/>
        <v>0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</row>
    <row r="90" spans="1:1022" ht="15" x14ac:dyDescent="0.2">
      <c r="A90" s="57" t="s">
        <v>11</v>
      </c>
      <c r="B90" s="124">
        <f>SUM(B84:B89)</f>
        <v>9.5951266255989043E-2</v>
      </c>
      <c r="C90" s="63">
        <f>ROUND(SUM(C84:C89),2)</f>
        <v>330.83</v>
      </c>
      <c r="D90" s="64"/>
      <c r="E90" s="65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</row>
    <row r="91" spans="1:1022" ht="13.5" thickBot="1" x14ac:dyDescent="0.25">
      <c r="A91" s="66" t="s">
        <v>24</v>
      </c>
      <c r="B91" s="139"/>
      <c r="C91" s="140" t="s">
        <v>5</v>
      </c>
    </row>
    <row r="92" spans="1:1022" s="62" customFormat="1" ht="15.75" thickBot="1" x14ac:dyDescent="0.25">
      <c r="A92" s="40" t="s">
        <v>25</v>
      </c>
      <c r="B92" s="141">
        <v>0</v>
      </c>
      <c r="C92" s="74" t="s">
        <v>23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MF92" s="34"/>
      <c r="AMG92" s="34"/>
      <c r="AMH92" s="34"/>
    </row>
    <row r="93" spans="1:1022" ht="15.75" thickBot="1" x14ac:dyDescent="0.25">
      <c r="A93" s="57" t="s">
        <v>11</v>
      </c>
      <c r="B93" s="58"/>
      <c r="C93" s="75" t="str">
        <f>C92</f>
        <v>-</v>
      </c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</row>
    <row r="94" spans="1:1022" ht="13.5" thickBot="1" x14ac:dyDescent="0.25">
      <c r="A94" s="146" t="s">
        <v>26</v>
      </c>
      <c r="B94" s="147"/>
      <c r="C94" s="134" t="s">
        <v>5</v>
      </c>
      <c r="E94" s="65"/>
    </row>
    <row r="95" spans="1:1022" s="62" customFormat="1" ht="15" x14ac:dyDescent="0.2">
      <c r="A95" s="148" t="s">
        <v>156</v>
      </c>
      <c r="B95" s="149">
        <f>B90</f>
        <v>9.5951266255989043E-2</v>
      </c>
      <c r="C95" s="56">
        <f>C90</f>
        <v>330.83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MF95" s="34"/>
      <c r="AMG95" s="34"/>
      <c r="AMH95" s="34"/>
    </row>
    <row r="96" spans="1:1022" s="62" customFormat="1" ht="15.75" thickBot="1" x14ac:dyDescent="0.25">
      <c r="A96" s="148" t="s">
        <v>157</v>
      </c>
      <c r="B96" s="149">
        <f>B92</f>
        <v>0</v>
      </c>
      <c r="C96" s="76" t="str">
        <f>C93</f>
        <v>-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MF96" s="34"/>
      <c r="AMG96" s="34"/>
      <c r="AMH96" s="34"/>
    </row>
    <row r="97" spans="1:42" ht="15.75" thickBot="1" x14ac:dyDescent="0.25">
      <c r="A97" s="137" t="s">
        <v>11</v>
      </c>
      <c r="B97" s="138"/>
      <c r="C97" s="113">
        <f>SUM(C95:C96)</f>
        <v>330.83</v>
      </c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</row>
    <row r="98" spans="1:42" ht="15" x14ac:dyDescent="0.2">
      <c r="A98" s="72"/>
      <c r="B98" s="77"/>
      <c r="C98" s="51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</row>
    <row r="99" spans="1:42" ht="15" customHeight="1" x14ac:dyDescent="0.2">
      <c r="A99" s="213" t="s">
        <v>27</v>
      </c>
      <c r="B99" s="213"/>
      <c r="C99" s="213"/>
      <c r="D99" s="65"/>
      <c r="E99" s="65"/>
    </row>
    <row r="100" spans="1:42" x14ac:dyDescent="0.2">
      <c r="A100" s="132" t="s">
        <v>28</v>
      </c>
      <c r="B100" s="133"/>
      <c r="C100" s="134" t="s">
        <v>5</v>
      </c>
    </row>
    <row r="101" spans="1:42" ht="15" x14ac:dyDescent="0.2">
      <c r="A101" s="78" t="s">
        <v>29</v>
      </c>
      <c r="B101" s="142"/>
      <c r="C101" s="79">
        <f>Insumos!E8</f>
        <v>18.510000000000002</v>
      </c>
    </row>
    <row r="102" spans="1:42" ht="15" x14ac:dyDescent="0.2">
      <c r="A102" s="78" t="s">
        <v>30</v>
      </c>
      <c r="B102" s="142"/>
      <c r="C102" s="79">
        <f>Insumos!E16</f>
        <v>14.17</v>
      </c>
    </row>
    <row r="103" spans="1:42" ht="15" x14ac:dyDescent="0.2">
      <c r="A103" s="78" t="s">
        <v>31</v>
      </c>
      <c r="B103" s="142"/>
      <c r="C103" s="79">
        <f>Insumos!E25</f>
        <v>31.29</v>
      </c>
    </row>
    <row r="104" spans="1:42" ht="15" x14ac:dyDescent="0.2">
      <c r="A104" s="137" t="s">
        <v>11</v>
      </c>
      <c r="B104" s="145"/>
      <c r="C104" s="113">
        <f>SUM(C101:C103)</f>
        <v>63.97</v>
      </c>
    </row>
    <row r="105" spans="1:42" ht="15" x14ac:dyDescent="0.2">
      <c r="A105" s="72"/>
      <c r="B105" s="77"/>
      <c r="C105" s="51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</row>
    <row r="106" spans="1:42" ht="15" customHeight="1" x14ac:dyDescent="0.2">
      <c r="A106" s="213" t="s">
        <v>32</v>
      </c>
      <c r="B106" s="213"/>
      <c r="C106" s="213"/>
    </row>
    <row r="107" spans="1:42" x14ac:dyDescent="0.2">
      <c r="A107" s="132" t="s">
        <v>33</v>
      </c>
      <c r="B107" s="133"/>
      <c r="C107" s="134" t="s">
        <v>5</v>
      </c>
    </row>
    <row r="108" spans="1:42" ht="15" x14ac:dyDescent="0.2">
      <c r="A108" s="148" t="s">
        <v>34</v>
      </c>
      <c r="B108" s="150">
        <v>0.06</v>
      </c>
      <c r="C108" s="56">
        <f>ROUND($B108*(C41+C70+C80+C97+C104),2)</f>
        <v>230.56</v>
      </c>
    </row>
    <row r="109" spans="1:42" ht="15" x14ac:dyDescent="0.2">
      <c r="A109" s="148" t="s">
        <v>35</v>
      </c>
      <c r="B109" s="150">
        <v>6.7900000000000002E-2</v>
      </c>
      <c r="C109" s="67">
        <f>ROUND($B109*(C41+C70+C80+C97+C104+C108),2)</f>
        <v>276.57</v>
      </c>
    </row>
    <row r="110" spans="1:42" ht="15" x14ac:dyDescent="0.2">
      <c r="A110" s="148" t="s">
        <v>36</v>
      </c>
      <c r="B110" s="149">
        <f>SUM(B111:B114)</f>
        <v>8.6499999999999994E-2</v>
      </c>
      <c r="C110" s="67">
        <f>ROUND(((C41+C70+C80+C97+C104+C108+C109)/(1-($B$110)))*$B110,2)</f>
        <v>411.88</v>
      </c>
    </row>
    <row r="111" spans="1:42" ht="14.25" x14ac:dyDescent="0.2">
      <c r="A111" s="148" t="s">
        <v>37</v>
      </c>
      <c r="B111" s="149">
        <f>0.0065+0.03</f>
        <v>3.6499999999999998E-2</v>
      </c>
      <c r="C111" s="80">
        <f>((C41+C70+C80+C97+C104+C108+C109)/(1-($B$110)))*$B111</f>
        <v>173.79913519430758</v>
      </c>
    </row>
    <row r="112" spans="1:42" ht="14.25" x14ac:dyDescent="0.2">
      <c r="A112" s="148" t="s">
        <v>38</v>
      </c>
      <c r="B112" s="149"/>
      <c r="C112" s="80"/>
    </row>
    <row r="113" spans="1:42" ht="14.25" x14ac:dyDescent="0.2">
      <c r="A113" s="148" t="s">
        <v>39</v>
      </c>
      <c r="B113" s="150">
        <v>0.05</v>
      </c>
      <c r="C113" s="80">
        <f>((C41+C70+C80+C97+C104+C108+C109)/(1-($B$110)))*$B113</f>
        <v>238.08100711548988</v>
      </c>
    </row>
    <row r="114" spans="1:42" ht="14.25" x14ac:dyDescent="0.2">
      <c r="A114" s="148" t="s">
        <v>40</v>
      </c>
      <c r="B114" s="151"/>
      <c r="C114" s="81"/>
    </row>
    <row r="115" spans="1:42" ht="15" x14ac:dyDescent="0.2">
      <c r="A115" s="143" t="s">
        <v>11</v>
      </c>
      <c r="B115" s="152"/>
      <c r="C115" s="144">
        <f>SUM(C108:C110)</f>
        <v>919.01</v>
      </c>
    </row>
    <row r="116" spans="1:42" ht="15" x14ac:dyDescent="0.2">
      <c r="A116" s="72"/>
      <c r="B116" s="77"/>
      <c r="C116" s="51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</row>
    <row r="117" spans="1:42" ht="14.25" x14ac:dyDescent="0.2">
      <c r="A117" s="49"/>
      <c r="B117" s="50"/>
      <c r="C117" s="50"/>
    </row>
    <row r="118" spans="1:42" ht="17.45" customHeight="1" x14ac:dyDescent="0.2">
      <c r="A118" s="221" t="s">
        <v>41</v>
      </c>
      <c r="B118" s="221"/>
      <c r="C118" s="221"/>
    </row>
    <row r="119" spans="1:42" ht="13.9" customHeight="1" x14ac:dyDescent="0.2">
      <c r="A119" s="222" t="s">
        <v>42</v>
      </c>
      <c r="B119" s="222"/>
      <c r="C119" s="154" t="s">
        <v>5</v>
      </c>
    </row>
    <row r="120" spans="1:42" ht="15" customHeight="1" x14ac:dyDescent="0.2">
      <c r="A120" s="223" t="s">
        <v>43</v>
      </c>
      <c r="B120" s="223"/>
      <c r="C120" s="82">
        <f>C41</f>
        <v>1935.22</v>
      </c>
    </row>
    <row r="121" spans="1:42" ht="15" customHeight="1" x14ac:dyDescent="0.2">
      <c r="A121" s="219" t="s">
        <v>44</v>
      </c>
      <c r="B121" s="219"/>
      <c r="C121" s="83">
        <f>C70</f>
        <v>1384.86</v>
      </c>
    </row>
    <row r="122" spans="1:42" ht="13.9" customHeight="1" x14ac:dyDescent="0.2">
      <c r="A122" s="219" t="s">
        <v>45</v>
      </c>
      <c r="B122" s="219"/>
      <c r="C122" s="83">
        <f>C80</f>
        <v>127.72999999999999</v>
      </c>
    </row>
    <row r="123" spans="1:42" ht="15" customHeight="1" x14ac:dyDescent="0.2">
      <c r="A123" s="219" t="s">
        <v>46</v>
      </c>
      <c r="B123" s="219"/>
      <c r="C123" s="83">
        <f>C97</f>
        <v>330.83</v>
      </c>
    </row>
    <row r="124" spans="1:42" ht="15.75" customHeight="1" x14ac:dyDescent="0.2">
      <c r="A124" s="219" t="s">
        <v>47</v>
      </c>
      <c r="B124" s="219"/>
      <c r="C124" s="83">
        <f>C104</f>
        <v>63.97</v>
      </c>
    </row>
    <row r="125" spans="1:42" ht="15.75" customHeight="1" x14ac:dyDescent="0.2">
      <c r="A125" s="220" t="s">
        <v>48</v>
      </c>
      <c r="B125" s="220"/>
      <c r="C125" s="84">
        <f>SUM(C120:C124)</f>
        <v>3842.6099999999997</v>
      </c>
    </row>
    <row r="126" spans="1:42" ht="15.75" customHeight="1" x14ac:dyDescent="0.2">
      <c r="A126" s="237" t="s">
        <v>49</v>
      </c>
      <c r="B126" s="237"/>
      <c r="C126" s="85">
        <f>C115</f>
        <v>919.01</v>
      </c>
    </row>
    <row r="127" spans="1:42" ht="15.75" customHeight="1" x14ac:dyDescent="0.2">
      <c r="A127" s="238" t="s">
        <v>50</v>
      </c>
      <c r="B127" s="238"/>
      <c r="C127" s="155">
        <f>C120+C121+C122+C123+C124+C126</f>
        <v>4761.62</v>
      </c>
    </row>
    <row r="128" spans="1:42" ht="14.25" x14ac:dyDescent="0.2">
      <c r="A128" s="49"/>
      <c r="B128" s="50"/>
      <c r="C128" s="86"/>
    </row>
    <row r="129" spans="1:1022" s="35" customFormat="1" ht="15" x14ac:dyDescent="0.2">
      <c r="A129" s="239" t="s">
        <v>51</v>
      </c>
      <c r="B129" s="239"/>
      <c r="C129" s="239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MF129" s="34"/>
      <c r="AMG129" s="34"/>
      <c r="AMH129" s="34"/>
    </row>
    <row r="130" spans="1:1022" s="35" customFormat="1" ht="15" x14ac:dyDescent="0.2">
      <c r="A130" s="156" t="s">
        <v>52</v>
      </c>
      <c r="B130" s="157"/>
      <c r="C130" s="158" t="s">
        <v>5</v>
      </c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MF130" s="34"/>
      <c r="AMG130" s="34"/>
      <c r="AMH130" s="34"/>
    </row>
    <row r="131" spans="1:1022" s="35" customFormat="1" ht="25.5" x14ac:dyDescent="0.2">
      <c r="A131" s="87" t="s">
        <v>202</v>
      </c>
      <c r="B131" s="97">
        <v>177</v>
      </c>
      <c r="C131" s="241">
        <f>B131*B132</f>
        <v>1770</v>
      </c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MF131" s="34"/>
      <c r="AMG131" s="34"/>
      <c r="AMH131" s="34"/>
    </row>
    <row r="132" spans="1:1022" s="35" customFormat="1" x14ac:dyDescent="0.2">
      <c r="A132" s="87" t="s">
        <v>172</v>
      </c>
      <c r="B132" s="107">
        <v>10</v>
      </c>
      <c r="C132" s="242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MF132" s="34"/>
      <c r="AMG132" s="34"/>
      <c r="AMH132" s="34"/>
    </row>
    <row r="133" spans="1:1022" s="35" customFormat="1" ht="14.25" x14ac:dyDescent="0.2">
      <c r="A133" s="89" t="s">
        <v>173</v>
      </c>
      <c r="B133" s="88">
        <v>500</v>
      </c>
      <c r="C133" s="153">
        <f>B133</f>
        <v>500</v>
      </c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MF133" s="34"/>
      <c r="AMG133" s="34"/>
      <c r="AMH133" s="34"/>
    </row>
    <row r="134" spans="1:1022" s="35" customFormat="1" ht="33.75" customHeight="1" x14ac:dyDescent="0.2">
      <c r="A134" s="240" t="s">
        <v>175</v>
      </c>
      <c r="B134" s="240"/>
      <c r="C134" s="159">
        <f>SUM(C131:C133)</f>
        <v>2270</v>
      </c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MF134" s="34"/>
      <c r="AMG134" s="34"/>
      <c r="AMH134" s="34"/>
    </row>
    <row r="135" spans="1:1022" s="35" customFormat="1" x14ac:dyDescent="0.2">
      <c r="A135" s="226"/>
      <c r="B135" s="226"/>
      <c r="C135" s="226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MF135" s="34"/>
      <c r="AMG135" s="34"/>
      <c r="AMH135" s="34"/>
    </row>
    <row r="136" spans="1:1022" s="35" customFormat="1" ht="15" x14ac:dyDescent="0.2">
      <c r="A136" s="224" t="s">
        <v>53</v>
      </c>
      <c r="B136" s="225"/>
      <c r="C136" s="225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ME136" s="34"/>
      <c r="AMF136" s="34"/>
      <c r="AMG136" s="34"/>
    </row>
    <row r="137" spans="1:1022" s="35" customFormat="1" ht="30" x14ac:dyDescent="0.2">
      <c r="A137" s="229" t="s">
        <v>54</v>
      </c>
      <c r="B137" s="230"/>
      <c r="C137" s="160" t="s">
        <v>174</v>
      </c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ME137" s="34"/>
      <c r="AMF137" s="34"/>
      <c r="AMG137" s="34"/>
    </row>
    <row r="138" spans="1:1022" s="35" customFormat="1" ht="28.5" customHeight="1" x14ac:dyDescent="0.2">
      <c r="A138" s="231" t="s">
        <v>55</v>
      </c>
      <c r="B138" s="232"/>
      <c r="C138" s="108">
        <f>C127</f>
        <v>4761.62</v>
      </c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ME138" s="34"/>
      <c r="AMF138" s="34"/>
      <c r="AMG138" s="34"/>
    </row>
    <row r="139" spans="1:1022" s="35" customFormat="1" ht="15" x14ac:dyDescent="0.2">
      <c r="A139" s="233" t="s">
        <v>56</v>
      </c>
      <c r="B139" s="234"/>
      <c r="C139" s="109">
        <f>C134</f>
        <v>2270</v>
      </c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ME139" s="34"/>
      <c r="AMF139" s="34"/>
      <c r="AMG139" s="34"/>
    </row>
    <row r="140" spans="1:1022" s="35" customFormat="1" ht="15" x14ac:dyDescent="0.2">
      <c r="A140" s="235" t="s">
        <v>57</v>
      </c>
      <c r="B140" s="236"/>
      <c r="C140" s="161">
        <f>C138+C139</f>
        <v>7031.62</v>
      </c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ME140" s="34"/>
      <c r="AMF140" s="34"/>
      <c r="AMG140" s="34"/>
    </row>
    <row r="141" spans="1:1022" x14ac:dyDescent="0.2">
      <c r="A141" s="226"/>
      <c r="B141" s="226"/>
      <c r="C141" s="226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</row>
    <row r="142" spans="1:1022" x14ac:dyDescent="0.2">
      <c r="A142" s="227" t="s">
        <v>176</v>
      </c>
      <c r="B142" s="227"/>
      <c r="C142" s="227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</row>
    <row r="143" spans="1:1022" ht="38.25" x14ac:dyDescent="0.2">
      <c r="A143" s="163" t="s">
        <v>54</v>
      </c>
      <c r="B143" s="164" t="s">
        <v>58</v>
      </c>
      <c r="C143" s="164" t="s">
        <v>59</v>
      </c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</row>
    <row r="144" spans="1:1022" ht="16.5" customHeight="1" x14ac:dyDescent="0.2">
      <c r="A144" s="91" t="s">
        <v>60</v>
      </c>
      <c r="B144" s="162">
        <f>B19</f>
        <v>4</v>
      </c>
      <c r="C144" s="92">
        <f>C140*B144</f>
        <v>28126.48</v>
      </c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</row>
    <row r="145" spans="1:1022" ht="13.5" thickBot="1" x14ac:dyDescent="0.25">
      <c r="A145" s="228"/>
      <c r="B145" s="228"/>
      <c r="C145" s="228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</row>
    <row r="146" spans="1:1022" ht="39" thickBot="1" x14ac:dyDescent="0.25">
      <c r="A146" s="165" t="s">
        <v>61</v>
      </c>
      <c r="B146" s="164" t="s">
        <v>177</v>
      </c>
      <c r="C146" s="164" t="s">
        <v>59</v>
      </c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</row>
    <row r="147" spans="1:1022" s="53" customFormat="1" ht="24.75" customHeight="1" x14ac:dyDescent="0.2">
      <c r="A147" s="91" t="s">
        <v>178</v>
      </c>
      <c r="B147" s="162">
        <f>B18</f>
        <v>30</v>
      </c>
      <c r="C147" s="90">
        <f>C144*B147</f>
        <v>843794.4</v>
      </c>
      <c r="AMF147" s="34"/>
      <c r="AMG147" s="34"/>
      <c r="AMH147" s="34"/>
    </row>
    <row r="148" spans="1:1022" x14ac:dyDescent="0.2">
      <c r="A148" s="53"/>
      <c r="B148" s="53"/>
      <c r="C148" s="53"/>
    </row>
    <row r="149" spans="1:1022" x14ac:dyDescent="0.2">
      <c r="A149" s="53"/>
      <c r="B149" s="53"/>
      <c r="C149" s="53"/>
    </row>
    <row r="150" spans="1:1022" x14ac:dyDescent="0.2">
      <c r="A150" s="53"/>
      <c r="B150" s="53"/>
      <c r="C150" s="53"/>
    </row>
    <row r="151" spans="1:1022" x14ac:dyDescent="0.2">
      <c r="A151" s="53"/>
      <c r="B151" s="53"/>
      <c r="C151" s="53"/>
    </row>
    <row r="152" spans="1:1022" x14ac:dyDescent="0.2">
      <c r="A152" s="53"/>
      <c r="B152" s="53"/>
      <c r="C152" s="53"/>
    </row>
    <row r="153" spans="1:1022" x14ac:dyDescent="0.2">
      <c r="A153" s="53"/>
      <c r="B153" s="53"/>
      <c r="C153" s="53"/>
    </row>
    <row r="154" spans="1:1022" x14ac:dyDescent="0.2">
      <c r="A154" s="53"/>
      <c r="B154" s="53"/>
      <c r="C154" s="53"/>
    </row>
    <row r="155" spans="1:1022" x14ac:dyDescent="0.2">
      <c r="A155" s="53"/>
      <c r="B155" s="53"/>
      <c r="C155" s="53"/>
    </row>
    <row r="156" spans="1:1022" x14ac:dyDescent="0.2">
      <c r="A156" s="53"/>
      <c r="B156" s="53"/>
      <c r="C156" s="53"/>
    </row>
    <row r="157" spans="1:1022" x14ac:dyDescent="0.2">
      <c r="A157" s="53"/>
      <c r="B157" s="53"/>
      <c r="C157" s="53"/>
    </row>
    <row r="158" spans="1:1022" x14ac:dyDescent="0.2">
      <c r="A158" s="53"/>
      <c r="B158" s="53"/>
      <c r="C158" s="53"/>
    </row>
    <row r="159" spans="1:1022" x14ac:dyDescent="0.2">
      <c r="A159" s="53"/>
      <c r="B159" s="53"/>
      <c r="C159" s="53"/>
    </row>
    <row r="160" spans="1:1022" x14ac:dyDescent="0.2">
      <c r="A160" s="53"/>
      <c r="B160" s="53"/>
      <c r="C160" s="53"/>
    </row>
    <row r="161" spans="1:3" x14ac:dyDescent="0.2">
      <c r="A161" s="53"/>
      <c r="B161" s="53"/>
      <c r="C161" s="53"/>
    </row>
    <row r="162" spans="1:3" x14ac:dyDescent="0.2">
      <c r="A162" s="53"/>
      <c r="B162" s="53"/>
      <c r="C162" s="53"/>
    </row>
    <row r="163" spans="1:3" x14ac:dyDescent="0.2">
      <c r="A163" s="53"/>
      <c r="B163" s="53"/>
      <c r="C163" s="53"/>
    </row>
    <row r="164" spans="1:3" x14ac:dyDescent="0.2">
      <c r="A164" s="53"/>
      <c r="B164" s="53"/>
      <c r="C164" s="53"/>
    </row>
    <row r="165" spans="1:3" x14ac:dyDescent="0.2">
      <c r="A165" s="53"/>
      <c r="B165" s="53"/>
      <c r="C165" s="53"/>
    </row>
    <row r="166" spans="1:3" x14ac:dyDescent="0.2">
      <c r="A166" s="53"/>
      <c r="B166" s="53"/>
      <c r="C166" s="53"/>
    </row>
    <row r="167" spans="1:3" x14ac:dyDescent="0.2">
      <c r="A167" s="53"/>
      <c r="B167" s="53"/>
      <c r="C167" s="53"/>
    </row>
    <row r="168" spans="1:3" x14ac:dyDescent="0.2">
      <c r="A168" s="53"/>
      <c r="B168" s="53"/>
      <c r="C168" s="53"/>
    </row>
    <row r="169" spans="1:3" x14ac:dyDescent="0.2">
      <c r="A169" s="53"/>
      <c r="B169" s="53"/>
      <c r="C169" s="53"/>
    </row>
    <row r="170" spans="1:3" x14ac:dyDescent="0.2">
      <c r="A170" s="53"/>
      <c r="B170" s="53"/>
      <c r="C170" s="53"/>
    </row>
    <row r="171" spans="1:3" x14ac:dyDescent="0.2">
      <c r="A171" s="53"/>
      <c r="B171" s="53"/>
      <c r="C171" s="53"/>
    </row>
    <row r="172" spans="1:3" x14ac:dyDescent="0.2">
      <c r="A172" s="53"/>
      <c r="B172" s="53"/>
      <c r="C172" s="53"/>
    </row>
    <row r="173" spans="1:3" x14ac:dyDescent="0.2">
      <c r="A173" s="53"/>
      <c r="B173" s="53"/>
      <c r="C173" s="53"/>
    </row>
    <row r="174" spans="1:3" x14ac:dyDescent="0.2">
      <c r="A174" s="53"/>
      <c r="B174" s="53"/>
      <c r="C174" s="53"/>
    </row>
    <row r="175" spans="1:3" x14ac:dyDescent="0.2">
      <c r="A175" s="53"/>
      <c r="B175" s="53"/>
      <c r="C175" s="53"/>
    </row>
    <row r="176" spans="1:3" x14ac:dyDescent="0.2">
      <c r="A176" s="53"/>
      <c r="B176" s="53"/>
      <c r="C176" s="53"/>
    </row>
    <row r="177" spans="1:3" x14ac:dyDescent="0.2">
      <c r="A177" s="53"/>
      <c r="B177" s="53"/>
      <c r="C177" s="53"/>
    </row>
    <row r="178" spans="1:3" x14ac:dyDescent="0.2">
      <c r="A178" s="53"/>
      <c r="B178" s="53"/>
      <c r="C178" s="53"/>
    </row>
    <row r="179" spans="1:3" x14ac:dyDescent="0.2">
      <c r="A179" s="53"/>
      <c r="B179" s="53"/>
      <c r="C179" s="53"/>
    </row>
    <row r="180" spans="1:3" x14ac:dyDescent="0.2">
      <c r="A180" s="53"/>
      <c r="B180" s="53"/>
      <c r="C180" s="53"/>
    </row>
    <row r="181" spans="1:3" x14ac:dyDescent="0.2">
      <c r="A181" s="53"/>
      <c r="B181" s="53"/>
      <c r="C181" s="53"/>
    </row>
    <row r="182" spans="1:3" x14ac:dyDescent="0.2">
      <c r="A182" s="53"/>
      <c r="B182" s="53"/>
      <c r="C182" s="53"/>
    </row>
    <row r="183" spans="1:3" x14ac:dyDescent="0.2">
      <c r="A183" s="53"/>
      <c r="B183" s="53"/>
      <c r="C183" s="53"/>
    </row>
    <row r="184" spans="1:3" x14ac:dyDescent="0.2">
      <c r="A184" s="53"/>
      <c r="B184" s="53"/>
      <c r="C184" s="53"/>
    </row>
    <row r="185" spans="1:3" x14ac:dyDescent="0.2">
      <c r="A185" s="53"/>
      <c r="B185" s="53"/>
      <c r="C185" s="53"/>
    </row>
    <row r="186" spans="1:3" x14ac:dyDescent="0.2">
      <c r="A186" s="53"/>
      <c r="B186" s="53"/>
      <c r="C186" s="53"/>
    </row>
    <row r="187" spans="1:3" x14ac:dyDescent="0.2">
      <c r="A187" s="53"/>
      <c r="B187" s="53"/>
      <c r="C187" s="53"/>
    </row>
    <row r="188" spans="1:3" x14ac:dyDescent="0.2">
      <c r="A188" s="53"/>
      <c r="B188" s="53"/>
      <c r="C188" s="53"/>
    </row>
    <row r="189" spans="1:3" x14ac:dyDescent="0.2">
      <c r="A189" s="53"/>
      <c r="B189" s="53"/>
      <c r="C189" s="53"/>
    </row>
    <row r="190" spans="1:3" x14ac:dyDescent="0.2">
      <c r="A190" s="53"/>
      <c r="B190" s="53"/>
      <c r="C190" s="53"/>
    </row>
    <row r="191" spans="1:3" x14ac:dyDescent="0.2">
      <c r="A191" s="53"/>
      <c r="B191" s="53"/>
      <c r="C191" s="53"/>
    </row>
    <row r="192" spans="1:3" x14ac:dyDescent="0.2">
      <c r="A192" s="53"/>
      <c r="B192" s="53"/>
      <c r="C192" s="53"/>
    </row>
    <row r="193" spans="1:3" x14ac:dyDescent="0.2">
      <c r="A193" s="53"/>
      <c r="B193" s="53"/>
      <c r="C193" s="53"/>
    </row>
    <row r="194" spans="1:3" x14ac:dyDescent="0.2">
      <c r="A194" s="53"/>
      <c r="B194" s="53"/>
      <c r="C194" s="53"/>
    </row>
    <row r="195" spans="1:3" x14ac:dyDescent="0.2">
      <c r="A195" s="53"/>
      <c r="B195" s="53"/>
      <c r="C195" s="53"/>
    </row>
    <row r="196" spans="1:3" x14ac:dyDescent="0.2">
      <c r="A196" s="53"/>
      <c r="B196" s="53"/>
      <c r="C196" s="53"/>
    </row>
    <row r="197" spans="1:3" x14ac:dyDescent="0.2">
      <c r="A197" s="53"/>
      <c r="B197" s="53"/>
      <c r="C197" s="53"/>
    </row>
    <row r="198" spans="1:3" x14ac:dyDescent="0.2">
      <c r="A198" s="53"/>
      <c r="B198" s="53"/>
      <c r="C198" s="53"/>
    </row>
    <row r="199" spans="1:3" x14ac:dyDescent="0.2">
      <c r="A199" s="53"/>
      <c r="B199" s="53"/>
      <c r="C199" s="53"/>
    </row>
    <row r="200" spans="1:3" x14ac:dyDescent="0.2">
      <c r="A200" s="53"/>
      <c r="B200" s="53"/>
      <c r="C200" s="53"/>
    </row>
    <row r="201" spans="1:3" x14ac:dyDescent="0.2">
      <c r="A201" s="53"/>
      <c r="B201" s="53"/>
      <c r="C201" s="53"/>
    </row>
    <row r="202" spans="1:3" x14ac:dyDescent="0.2">
      <c r="A202" s="53"/>
      <c r="B202" s="53"/>
      <c r="C202" s="53"/>
    </row>
    <row r="203" spans="1:3" x14ac:dyDescent="0.2">
      <c r="A203" s="53"/>
      <c r="B203" s="53"/>
      <c r="C203" s="53"/>
    </row>
    <row r="204" spans="1:3" x14ac:dyDescent="0.2">
      <c r="A204" s="53"/>
      <c r="B204" s="53"/>
      <c r="C204" s="53"/>
    </row>
    <row r="205" spans="1:3" x14ac:dyDescent="0.2">
      <c r="A205" s="53"/>
      <c r="B205" s="53"/>
      <c r="C205" s="53"/>
    </row>
    <row r="206" spans="1:3" x14ac:dyDescent="0.2">
      <c r="A206" s="53"/>
      <c r="B206" s="53"/>
      <c r="C206" s="53"/>
    </row>
    <row r="207" spans="1:3" x14ac:dyDescent="0.2">
      <c r="A207" s="53"/>
      <c r="B207" s="53"/>
      <c r="C207" s="53"/>
    </row>
    <row r="208" spans="1:3" x14ac:dyDescent="0.2">
      <c r="A208" s="53"/>
      <c r="B208" s="53"/>
      <c r="C208" s="53"/>
    </row>
    <row r="209" spans="1:3" x14ac:dyDescent="0.2">
      <c r="A209" s="53"/>
      <c r="B209" s="53"/>
      <c r="C209" s="53"/>
    </row>
    <row r="210" spans="1:3" x14ac:dyDescent="0.2">
      <c r="A210" s="53"/>
      <c r="B210" s="53"/>
      <c r="C210" s="53"/>
    </row>
    <row r="211" spans="1:3" x14ac:dyDescent="0.2">
      <c r="A211" s="53"/>
      <c r="B211" s="53"/>
      <c r="C211" s="53"/>
    </row>
    <row r="212" spans="1:3" x14ac:dyDescent="0.2">
      <c r="A212" s="53"/>
      <c r="B212" s="53"/>
      <c r="C212" s="53"/>
    </row>
    <row r="213" spans="1:3" x14ac:dyDescent="0.2">
      <c r="A213" s="53"/>
      <c r="B213" s="53"/>
      <c r="C213" s="53"/>
    </row>
    <row r="214" spans="1:3" x14ac:dyDescent="0.2">
      <c r="A214" s="53"/>
      <c r="B214" s="53"/>
      <c r="C214" s="53"/>
    </row>
    <row r="215" spans="1:3" x14ac:dyDescent="0.2">
      <c r="A215" s="53"/>
      <c r="B215" s="53"/>
      <c r="C215" s="53"/>
    </row>
    <row r="216" spans="1:3" x14ac:dyDescent="0.2">
      <c r="A216" s="53"/>
      <c r="B216" s="53"/>
      <c r="C216" s="53"/>
    </row>
    <row r="217" spans="1:3" x14ac:dyDescent="0.2">
      <c r="A217" s="53"/>
      <c r="B217" s="53"/>
      <c r="C217" s="53"/>
    </row>
    <row r="218" spans="1:3" x14ac:dyDescent="0.2">
      <c r="A218" s="53"/>
      <c r="B218" s="53"/>
      <c r="C218" s="53"/>
    </row>
    <row r="219" spans="1:3" x14ac:dyDescent="0.2">
      <c r="A219" s="53"/>
      <c r="B219" s="53"/>
      <c r="C219" s="53"/>
    </row>
    <row r="220" spans="1:3" x14ac:dyDescent="0.2">
      <c r="A220" s="53"/>
      <c r="B220" s="53"/>
      <c r="C220" s="53"/>
    </row>
    <row r="221" spans="1:3" x14ac:dyDescent="0.2">
      <c r="A221" s="53"/>
      <c r="B221" s="53"/>
      <c r="C221" s="53"/>
    </row>
    <row r="222" spans="1:3" x14ac:dyDescent="0.2">
      <c r="A222" s="53"/>
      <c r="B222" s="53"/>
      <c r="C222" s="53"/>
    </row>
  </sheetData>
  <mergeCells count="56">
    <mergeCell ref="A126:B126"/>
    <mergeCell ref="A127:B127"/>
    <mergeCell ref="A129:C129"/>
    <mergeCell ref="A134:B134"/>
    <mergeCell ref="A135:C135"/>
    <mergeCell ref="C131:C132"/>
    <mergeCell ref="A136:C136"/>
    <mergeCell ref="A141:C141"/>
    <mergeCell ref="A142:C142"/>
    <mergeCell ref="A145:C145"/>
    <mergeCell ref="A137:B137"/>
    <mergeCell ref="A138:B138"/>
    <mergeCell ref="A139:B139"/>
    <mergeCell ref="A140:B140"/>
    <mergeCell ref="A122:B122"/>
    <mergeCell ref="A123:B123"/>
    <mergeCell ref="A124:B124"/>
    <mergeCell ref="A125:B125"/>
    <mergeCell ref="A99:C99"/>
    <mergeCell ref="A106:C106"/>
    <mergeCell ref="A118:C118"/>
    <mergeCell ref="A119:B119"/>
    <mergeCell ref="A120:B120"/>
    <mergeCell ref="A121:B121"/>
    <mergeCell ref="A43:C43"/>
    <mergeCell ref="A72:C72"/>
    <mergeCell ref="A82:C82"/>
    <mergeCell ref="B23:C23"/>
    <mergeCell ref="B24:C24"/>
    <mergeCell ref="B25:C25"/>
    <mergeCell ref="B29:C29"/>
    <mergeCell ref="B28:C28"/>
    <mergeCell ref="B27:C27"/>
    <mergeCell ref="B26:C26"/>
    <mergeCell ref="A1:C1"/>
    <mergeCell ref="A3:C3"/>
    <mergeCell ref="A33:C33"/>
    <mergeCell ref="B19:C19"/>
    <mergeCell ref="A21:C21"/>
    <mergeCell ref="A22:C22"/>
    <mergeCell ref="A8:C8"/>
    <mergeCell ref="A2:C2"/>
    <mergeCell ref="A4:C4"/>
    <mergeCell ref="A14:C14"/>
    <mergeCell ref="A13:C13"/>
    <mergeCell ref="B15:C15"/>
    <mergeCell ref="B16:C16"/>
    <mergeCell ref="B17:C17"/>
    <mergeCell ref="B18:C18"/>
    <mergeCell ref="A11:C11"/>
    <mergeCell ref="A12:C12"/>
    <mergeCell ref="B5:C5"/>
    <mergeCell ref="B6:C6"/>
    <mergeCell ref="B7:C7"/>
    <mergeCell ref="A9:C9"/>
    <mergeCell ref="A10:C10"/>
  </mergeCells>
  <printOptions horizontalCentered="1"/>
  <pageMargins left="0.39374999999999999" right="0.196527777777778" top="0.39374999999999999" bottom="0.39374999999999999" header="0.51180555555555496" footer="0.51180555555555496"/>
  <pageSetup paperSize="9" scale="96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EFAD-0C02-44BD-9A9F-ACA91BCC2EAD}">
  <sheetPr>
    <pageSetUpPr fitToPage="1"/>
  </sheetPr>
  <dimension ref="A1:D30"/>
  <sheetViews>
    <sheetView topLeftCell="A13" workbookViewId="0">
      <selection activeCell="F18" sqref="F18"/>
    </sheetView>
  </sheetViews>
  <sheetFormatPr defaultRowHeight="12.75" x14ac:dyDescent="0.2"/>
  <cols>
    <col min="1" max="1" width="45.5703125" customWidth="1"/>
    <col min="2" max="4" width="12.5703125" customWidth="1"/>
    <col min="5" max="1021" width="11.5703125" customWidth="1"/>
  </cols>
  <sheetData>
    <row r="1" spans="1:4" ht="15" x14ac:dyDescent="0.25">
      <c r="A1" s="247" t="s">
        <v>180</v>
      </c>
      <c r="B1" s="248"/>
      <c r="C1" s="248"/>
      <c r="D1" s="248"/>
    </row>
    <row r="2" spans="1:4" ht="15" x14ac:dyDescent="0.25">
      <c r="A2" s="11"/>
      <c r="B2" s="11"/>
      <c r="C2" s="11"/>
      <c r="D2" s="11"/>
    </row>
    <row r="3" spans="1:4" ht="12.75" customHeight="1" x14ac:dyDescent="0.2">
      <c r="A3" s="13"/>
      <c r="B3" s="13"/>
      <c r="C3" s="14"/>
    </row>
    <row r="4" spans="1:4" x14ac:dyDescent="0.2">
      <c r="A4" s="243" t="s">
        <v>84</v>
      </c>
      <c r="B4" s="243"/>
      <c r="C4" s="244"/>
      <c r="D4" s="12"/>
    </row>
    <row r="5" spans="1:4" x14ac:dyDescent="0.2">
      <c r="A5" s="15" t="s">
        <v>85</v>
      </c>
      <c r="B5" s="16"/>
      <c r="C5" s="17">
        <v>1</v>
      </c>
      <c r="D5" s="12"/>
    </row>
    <row r="6" spans="1:4" x14ac:dyDescent="0.2">
      <c r="A6" s="15" t="s">
        <v>86</v>
      </c>
      <c r="B6" s="16"/>
      <c r="C6" s="18">
        <v>2.5</v>
      </c>
      <c r="D6" s="12"/>
    </row>
    <row r="7" spans="1:4" x14ac:dyDescent="0.2">
      <c r="A7" s="15" t="s">
        <v>87</v>
      </c>
      <c r="B7" s="16"/>
      <c r="C7" s="18">
        <v>0.26879999999999998</v>
      </c>
      <c r="D7" s="12"/>
    </row>
    <row r="8" spans="1:4" x14ac:dyDescent="0.2">
      <c r="A8" s="15" t="s">
        <v>88</v>
      </c>
      <c r="B8" s="16"/>
      <c r="C8" s="18">
        <v>0</v>
      </c>
      <c r="D8" s="12"/>
    </row>
    <row r="9" spans="1:4" x14ac:dyDescent="0.2">
      <c r="A9" s="15" t="s">
        <v>89</v>
      </c>
      <c r="B9" s="16"/>
      <c r="C9" s="18">
        <v>3.0499999999999999E-2</v>
      </c>
      <c r="D9" s="12"/>
    </row>
    <row r="10" spans="1:4" x14ac:dyDescent="0.2">
      <c r="A10" s="15" t="s">
        <v>90</v>
      </c>
      <c r="B10" s="16"/>
      <c r="C10" s="18">
        <v>1.77E-2</v>
      </c>
      <c r="D10" s="12"/>
    </row>
    <row r="11" spans="1:4" x14ac:dyDescent="0.2">
      <c r="A11" s="15" t="s">
        <v>91</v>
      </c>
      <c r="B11" s="16"/>
      <c r="C11" s="18">
        <v>0.02</v>
      </c>
      <c r="D11" s="12"/>
    </row>
    <row r="12" spans="1:4" x14ac:dyDescent="0.2">
      <c r="A12" s="15" t="s">
        <v>92</v>
      </c>
      <c r="B12" s="16"/>
      <c r="C12" s="18">
        <v>4.0000000000000001E-3</v>
      </c>
      <c r="D12" s="12"/>
    </row>
    <row r="13" spans="1:4" x14ac:dyDescent="0.2">
      <c r="A13" s="15" t="s">
        <v>93</v>
      </c>
      <c r="B13" s="16"/>
      <c r="C13" s="18">
        <v>1.4E-3</v>
      </c>
      <c r="D13" s="12"/>
    </row>
    <row r="14" spans="1:4" x14ac:dyDescent="0.2">
      <c r="A14" s="167" t="s">
        <v>11</v>
      </c>
      <c r="B14" s="168"/>
      <c r="C14" s="169">
        <f>SUM(C5:C13)</f>
        <v>3.8424</v>
      </c>
      <c r="D14" s="19"/>
    </row>
    <row r="15" spans="1:4" x14ac:dyDescent="0.2">
      <c r="A15" s="12"/>
      <c r="B15" s="12"/>
      <c r="C15" s="12"/>
      <c r="D15" s="12"/>
    </row>
    <row r="16" spans="1:4" x14ac:dyDescent="0.2">
      <c r="A16" s="12"/>
      <c r="B16" s="12"/>
      <c r="C16" s="12"/>
      <c r="D16" s="12"/>
    </row>
    <row r="17" spans="1:4" x14ac:dyDescent="0.2">
      <c r="A17" s="245" t="s">
        <v>94</v>
      </c>
      <c r="B17" s="245"/>
      <c r="C17" s="245"/>
      <c r="D17" s="246"/>
    </row>
    <row r="18" spans="1:4" x14ac:dyDescent="0.2">
      <c r="A18" s="15" t="s">
        <v>95</v>
      </c>
      <c r="B18" s="20"/>
      <c r="C18" s="21"/>
      <c r="D18" s="22">
        <v>0.51670000000000005</v>
      </c>
    </row>
    <row r="19" spans="1:4" x14ac:dyDescent="0.2">
      <c r="A19" s="15" t="s">
        <v>96</v>
      </c>
      <c r="B19" s="20"/>
      <c r="C19" s="21"/>
      <c r="D19" s="23">
        <v>1.4999999999999999E-2</v>
      </c>
    </row>
    <row r="20" spans="1:4" x14ac:dyDescent="0.2">
      <c r="A20" s="15" t="s">
        <v>97</v>
      </c>
      <c r="B20" s="20"/>
      <c r="C20" s="21"/>
      <c r="D20" s="23">
        <v>1</v>
      </c>
    </row>
    <row r="21" spans="1:4" x14ac:dyDescent="0.2">
      <c r="A21" s="15" t="s">
        <v>98</v>
      </c>
      <c r="B21" s="20"/>
      <c r="C21" s="21"/>
      <c r="D21" s="24">
        <v>5</v>
      </c>
    </row>
    <row r="22" spans="1:4" x14ac:dyDescent="0.2">
      <c r="A22" s="12"/>
      <c r="B22" s="12"/>
      <c r="C22" s="12"/>
      <c r="D22" s="12"/>
    </row>
    <row r="23" spans="1:4" x14ac:dyDescent="0.2">
      <c r="A23" s="12"/>
      <c r="B23" s="12"/>
      <c r="C23" s="12"/>
      <c r="D23" s="12"/>
    </row>
    <row r="24" spans="1:4" x14ac:dyDescent="0.2">
      <c r="A24" s="245" t="s">
        <v>99</v>
      </c>
      <c r="B24" s="245"/>
      <c r="C24" s="245"/>
      <c r="D24" s="246"/>
    </row>
    <row r="25" spans="1:4" x14ac:dyDescent="0.2">
      <c r="A25" s="15" t="s">
        <v>100</v>
      </c>
      <c r="B25" s="20"/>
      <c r="C25" s="21"/>
      <c r="D25" s="25">
        <v>0.69130000000000003</v>
      </c>
    </row>
    <row r="26" spans="1:4" x14ac:dyDescent="0.2">
      <c r="A26" s="12"/>
      <c r="B26" s="12"/>
      <c r="C26" s="12"/>
      <c r="D26" s="12"/>
    </row>
    <row r="27" spans="1:4" x14ac:dyDescent="0.2">
      <c r="A27" s="12"/>
      <c r="B27" s="12"/>
      <c r="C27" s="12"/>
      <c r="D27" s="12"/>
    </row>
    <row r="28" spans="1:4" x14ac:dyDescent="0.2">
      <c r="A28" s="249" t="s">
        <v>101</v>
      </c>
      <c r="B28" s="250"/>
      <c r="C28" s="250"/>
      <c r="D28" s="251"/>
    </row>
    <row r="29" spans="1:4" x14ac:dyDescent="0.2">
      <c r="A29" s="26" t="s">
        <v>102</v>
      </c>
      <c r="B29" s="27"/>
      <c r="C29" s="28"/>
      <c r="D29" s="29">
        <v>0</v>
      </c>
    </row>
    <row r="30" spans="1:4" x14ac:dyDescent="0.2">
      <c r="A30" s="30" t="s">
        <v>103</v>
      </c>
      <c r="B30" s="31"/>
      <c r="C30" s="32"/>
      <c r="D30" s="33">
        <v>3.2000000000000002E-3</v>
      </c>
    </row>
  </sheetData>
  <mergeCells count="5">
    <mergeCell ref="A4:C4"/>
    <mergeCell ref="A17:D17"/>
    <mergeCell ref="A24:D24"/>
    <mergeCell ref="A1:D1"/>
    <mergeCell ref="A28:D28"/>
  </mergeCells>
  <pageMargins left="0.51181102362204722" right="0.51181102362204722" top="0.78740157480314965" bottom="0.78740157480314965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20"/>
  <sheetViews>
    <sheetView showGridLines="0" view="pageBreakPreview" zoomScale="90" zoomScaleNormal="85" zoomScalePageLayoutView="90" workbookViewId="0">
      <selection activeCell="C17" sqref="C17"/>
    </sheetView>
  </sheetViews>
  <sheetFormatPr defaultRowHeight="14.25" x14ac:dyDescent="0.2"/>
  <cols>
    <col min="1" max="1" width="26.7109375" style="1"/>
    <col min="2" max="2" width="18.140625" style="1"/>
    <col min="3" max="3" width="13" style="1"/>
    <col min="4" max="4" width="15.7109375" style="1"/>
    <col min="5" max="5" width="18.140625" style="1"/>
    <col min="6" max="1025" width="8.7109375" style="1"/>
  </cols>
  <sheetData>
    <row r="1" spans="1:6" ht="15" customHeight="1" x14ac:dyDescent="0.25">
      <c r="A1" s="252" t="s">
        <v>62</v>
      </c>
      <c r="B1" s="252"/>
      <c r="C1" s="252"/>
      <c r="D1" s="252"/>
      <c r="E1" s="252"/>
      <c r="F1"/>
    </row>
    <row r="2" spans="1:6" ht="15" customHeight="1" x14ac:dyDescent="0.2">
      <c r="A2" s="2"/>
      <c r="B2" s="2"/>
      <c r="C2" s="2"/>
      <c r="D2" s="2"/>
      <c r="E2" s="2"/>
      <c r="F2"/>
    </row>
    <row r="3" spans="1:6" ht="15" customHeight="1" x14ac:dyDescent="0.25">
      <c r="A3" s="253" t="s">
        <v>63</v>
      </c>
      <c r="B3" s="253"/>
      <c r="C3" s="253"/>
      <c r="D3" s="253"/>
      <c r="E3" s="253"/>
      <c r="F3"/>
    </row>
    <row r="4" spans="1:6" ht="15" customHeight="1" x14ac:dyDescent="0.25">
      <c r="A4" s="254"/>
      <c r="B4" s="254"/>
      <c r="C4" s="254"/>
      <c r="D4" s="254"/>
      <c r="E4" s="254"/>
      <c r="F4"/>
    </row>
    <row r="5" spans="1:6" ht="15" customHeight="1" x14ac:dyDescent="0.2">
      <c r="A5" s="255"/>
      <c r="B5" s="255"/>
      <c r="C5" s="255"/>
      <c r="D5" s="255"/>
      <c r="E5" s="4"/>
      <c r="F5" s="5"/>
    </row>
    <row r="6" spans="1:6" ht="42.6" customHeight="1" x14ac:dyDescent="0.2">
      <c r="A6" s="256" t="s">
        <v>64</v>
      </c>
      <c r="B6" s="171" t="s">
        <v>65</v>
      </c>
      <c r="C6" s="171" t="s">
        <v>66</v>
      </c>
      <c r="D6" s="172" t="s">
        <v>67</v>
      </c>
      <c r="E6" s="173" t="s">
        <v>68</v>
      </c>
    </row>
    <row r="7" spans="1:6" ht="15" customHeight="1" x14ac:dyDescent="0.2">
      <c r="A7" s="256" t="s">
        <v>69</v>
      </c>
      <c r="B7" s="101">
        <v>2</v>
      </c>
      <c r="C7" s="102">
        <v>22</v>
      </c>
      <c r="D7" s="98">
        <v>3</v>
      </c>
      <c r="E7" s="103">
        <f>B7*C7*D7</f>
        <v>132</v>
      </c>
    </row>
    <row r="8" spans="1:6" ht="15" customHeight="1" x14ac:dyDescent="0.2">
      <c r="A8" s="258" t="s">
        <v>70</v>
      </c>
      <c r="B8" s="258"/>
      <c r="C8" s="258"/>
      <c r="D8" s="258"/>
      <c r="E8" s="103">
        <f>ROUND('Planilha Estimativa'!C35*0.06,2)</f>
        <v>116.11</v>
      </c>
    </row>
    <row r="9" spans="1:6" ht="15" customHeight="1" x14ac:dyDescent="0.2">
      <c r="A9" s="259" t="s">
        <v>71</v>
      </c>
      <c r="B9" s="259"/>
      <c r="C9" s="259"/>
      <c r="D9" s="259"/>
      <c r="E9" s="170">
        <f>(E7-E8)</f>
        <v>15.89</v>
      </c>
    </row>
    <row r="10" spans="1:6" ht="15" customHeight="1" x14ac:dyDescent="0.2">
      <c r="A10" s="6"/>
      <c r="B10" s="7"/>
      <c r="C10" s="7"/>
      <c r="D10" s="8"/>
      <c r="E10" s="3"/>
    </row>
    <row r="11" spans="1:6" ht="8.25" customHeight="1" x14ac:dyDescent="0.2">
      <c r="A11" s="255"/>
      <c r="B11" s="255"/>
      <c r="C11" s="255"/>
      <c r="D11" s="255"/>
      <c r="E11" s="255"/>
    </row>
    <row r="12" spans="1:6" ht="39.6" customHeight="1" x14ac:dyDescent="0.2">
      <c r="A12" s="257" t="s">
        <v>72</v>
      </c>
      <c r="B12" s="257"/>
      <c r="C12" s="172" t="s">
        <v>73</v>
      </c>
      <c r="D12" s="174" t="s">
        <v>74</v>
      </c>
      <c r="E12" s="174" t="s">
        <v>68</v>
      </c>
    </row>
    <row r="13" spans="1:6" ht="15" customHeight="1" x14ac:dyDescent="0.2">
      <c r="A13" s="257"/>
      <c r="B13" s="257"/>
      <c r="C13" s="98">
        <f>17*22</f>
        <v>374</v>
      </c>
      <c r="D13" s="99">
        <f>ROUND(C13*0.065,2)</f>
        <v>24.31</v>
      </c>
      <c r="E13" s="100">
        <f>C13-D13</f>
        <v>349.69</v>
      </c>
    </row>
    <row r="14" spans="1:6" ht="15" customHeight="1" x14ac:dyDescent="0.2">
      <c r="A14" s="255"/>
      <c r="B14" s="255"/>
      <c r="C14" s="255"/>
      <c r="D14" s="255"/>
      <c r="E14" s="4"/>
    </row>
    <row r="15" spans="1:6" ht="27" customHeight="1" x14ac:dyDescent="0.2">
      <c r="A15" s="257" t="s">
        <v>194</v>
      </c>
      <c r="B15" s="257"/>
      <c r="C15" s="174" t="s">
        <v>193</v>
      </c>
      <c r="D15" s="186"/>
      <c r="E15" s="4"/>
    </row>
    <row r="16" spans="1:6" ht="15" customHeight="1" x14ac:dyDescent="0.2">
      <c r="A16" s="257"/>
      <c r="B16" s="257"/>
      <c r="C16" s="188">
        <v>7</v>
      </c>
      <c r="D16" s="186"/>
      <c r="E16" s="4"/>
    </row>
    <row r="17" spans="1:5" ht="15" customHeight="1" x14ac:dyDescent="0.2">
      <c r="A17" s="186"/>
      <c r="B17" s="186"/>
      <c r="C17" s="186"/>
      <c r="D17" s="186"/>
      <c r="E17" s="4"/>
    </row>
    <row r="18" spans="1:5" ht="42.6" customHeight="1" x14ac:dyDescent="0.2">
      <c r="A18" s="187" t="s">
        <v>137</v>
      </c>
      <c r="B18" s="175" t="s">
        <v>138</v>
      </c>
      <c r="C18" s="176" t="s">
        <v>68</v>
      </c>
      <c r="D18" s="175" t="s">
        <v>140</v>
      </c>
      <c r="E18" s="176" t="s">
        <v>68</v>
      </c>
    </row>
    <row r="19" spans="1:5" ht="15" customHeight="1" x14ac:dyDescent="0.2">
      <c r="A19" s="187"/>
      <c r="B19" s="106">
        <f>8.5*12</f>
        <v>102</v>
      </c>
      <c r="C19" s="105">
        <f>ROUND(B19/12,2)</f>
        <v>8.5</v>
      </c>
      <c r="D19" s="106">
        <v>2.54</v>
      </c>
      <c r="E19" s="105">
        <f>C19-D19</f>
        <v>5.96</v>
      </c>
    </row>
    <row r="20" spans="1:5" ht="15" customHeight="1" x14ac:dyDescent="0.2">
      <c r="A20" s="255"/>
      <c r="B20" s="255"/>
      <c r="C20" s="255"/>
      <c r="D20" s="255"/>
      <c r="E20" s="255"/>
    </row>
  </sheetData>
  <mergeCells count="12">
    <mergeCell ref="A14:D14"/>
    <mergeCell ref="A15:B16"/>
    <mergeCell ref="A20:E20"/>
    <mergeCell ref="A8:D8"/>
    <mergeCell ref="A9:D9"/>
    <mergeCell ref="A11:E11"/>
    <mergeCell ref="A12:B13"/>
    <mergeCell ref="A1:E1"/>
    <mergeCell ref="A3:E3"/>
    <mergeCell ref="A4:E4"/>
    <mergeCell ref="A5:D5"/>
    <mergeCell ref="A6:A7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7"/>
  <sheetViews>
    <sheetView view="pageBreakPreview" zoomScale="90" zoomScaleNormal="100" zoomScalePageLayoutView="90" workbookViewId="0">
      <selection activeCell="D30" sqref="D30"/>
    </sheetView>
  </sheetViews>
  <sheetFormatPr defaultRowHeight="12.75" x14ac:dyDescent="0.2"/>
  <cols>
    <col min="1" max="1" width="64.7109375" customWidth="1"/>
    <col min="2" max="2" width="15.5703125"/>
    <col min="3" max="3" width="13.85546875"/>
    <col min="4" max="4" width="11.42578125"/>
    <col min="5" max="5" width="16.42578125" customWidth="1"/>
    <col min="6" max="6" width="20"/>
  </cols>
  <sheetData>
    <row r="1" spans="1:5" ht="15" x14ac:dyDescent="0.2">
      <c r="A1" s="266" t="s">
        <v>181</v>
      </c>
      <c r="B1" s="266"/>
      <c r="C1" s="266"/>
      <c r="D1" s="266"/>
      <c r="E1" s="267"/>
    </row>
    <row r="2" spans="1:5" ht="15" x14ac:dyDescent="0.2">
      <c r="A2" s="184"/>
      <c r="B2" s="184"/>
      <c r="C2" s="184"/>
      <c r="D2" s="184"/>
      <c r="E2" s="185"/>
    </row>
    <row r="3" spans="1:5" ht="25.5" x14ac:dyDescent="0.2">
      <c r="A3" s="182" t="s">
        <v>54</v>
      </c>
      <c r="B3" s="182" t="s">
        <v>183</v>
      </c>
      <c r="C3" s="182" t="s">
        <v>75</v>
      </c>
      <c r="D3" s="183" t="s">
        <v>76</v>
      </c>
      <c r="E3" s="182" t="s">
        <v>182</v>
      </c>
    </row>
    <row r="4" spans="1:5" ht="14.25" customHeight="1" x14ac:dyDescent="0.2">
      <c r="A4" s="261" t="s">
        <v>77</v>
      </c>
      <c r="B4" s="261"/>
      <c r="C4" s="261"/>
      <c r="D4" s="261"/>
      <c r="E4" s="261"/>
    </row>
    <row r="5" spans="1:5" ht="25.5" x14ac:dyDescent="0.2">
      <c r="A5" s="177" t="s">
        <v>158</v>
      </c>
      <c r="B5" s="178">
        <v>53.68</v>
      </c>
      <c r="C5" s="179">
        <v>12</v>
      </c>
      <c r="D5" s="179">
        <v>2</v>
      </c>
      <c r="E5" s="9">
        <f>ROUND(B5*D5/C5,2)</f>
        <v>8.9499999999999993</v>
      </c>
    </row>
    <row r="6" spans="1:5" ht="25.5" x14ac:dyDescent="0.2">
      <c r="A6" s="177" t="s">
        <v>159</v>
      </c>
      <c r="B6" s="178">
        <v>39.74</v>
      </c>
      <c r="C6" s="179">
        <v>12</v>
      </c>
      <c r="D6" s="179">
        <v>2</v>
      </c>
      <c r="E6" s="9">
        <f>ROUND(B6*D6/C6,2)</f>
        <v>6.62</v>
      </c>
    </row>
    <row r="7" spans="1:5" ht="25.5" x14ac:dyDescent="0.2">
      <c r="A7" s="177" t="s">
        <v>160</v>
      </c>
      <c r="B7" s="178">
        <v>5.87</v>
      </c>
      <c r="C7" s="179">
        <v>12</v>
      </c>
      <c r="D7" s="179">
        <v>6</v>
      </c>
      <c r="E7" s="9">
        <f>ROUND(B7*D7/C7,2)</f>
        <v>2.94</v>
      </c>
    </row>
    <row r="8" spans="1:5" ht="14.25" customHeight="1" x14ac:dyDescent="0.2">
      <c r="A8" s="262" t="s">
        <v>78</v>
      </c>
      <c r="B8" s="262"/>
      <c r="C8" s="262"/>
      <c r="D8" s="262"/>
      <c r="E8" s="181">
        <f>ROUND(SUM(E5:E7),2)</f>
        <v>18.510000000000002</v>
      </c>
    </row>
    <row r="9" spans="1:5" ht="14.25" customHeight="1" x14ac:dyDescent="0.2">
      <c r="A9" s="263" t="s">
        <v>79</v>
      </c>
      <c r="B9" s="263"/>
      <c r="C9" s="263"/>
      <c r="D9" s="263"/>
      <c r="E9" s="263"/>
    </row>
    <row r="10" spans="1:5" ht="51" x14ac:dyDescent="0.2">
      <c r="A10" s="177" t="s">
        <v>166</v>
      </c>
      <c r="B10" s="178">
        <v>15.94</v>
      </c>
      <c r="C10" s="179">
        <v>12</v>
      </c>
      <c r="D10" s="179">
        <v>1</v>
      </c>
      <c r="E10" s="9">
        <f t="shared" ref="E10:E15" si="0">ROUND(B10*D10/C10,2)</f>
        <v>1.33</v>
      </c>
    </row>
    <row r="11" spans="1:5" ht="25.5" x14ac:dyDescent="0.2">
      <c r="A11" s="177" t="s">
        <v>165</v>
      </c>
      <c r="B11" s="178">
        <v>1.72</v>
      </c>
      <c r="C11" s="179">
        <v>12</v>
      </c>
      <c r="D11" s="179">
        <v>1</v>
      </c>
      <c r="E11" s="9">
        <f t="shared" si="0"/>
        <v>0.14000000000000001</v>
      </c>
    </row>
    <row r="12" spans="1:5" ht="63.75" x14ac:dyDescent="0.2">
      <c r="A12" s="177" t="s">
        <v>164</v>
      </c>
      <c r="B12" s="178">
        <v>43.19</v>
      </c>
      <c r="C12" s="179">
        <v>12</v>
      </c>
      <c r="D12" s="179">
        <v>2</v>
      </c>
      <c r="E12" s="9">
        <f>ROUND(B12*D12/C12,2)</f>
        <v>7.2</v>
      </c>
    </row>
    <row r="13" spans="1:5" ht="51" x14ac:dyDescent="0.2">
      <c r="A13" s="177" t="s">
        <v>161</v>
      </c>
      <c r="B13" s="178">
        <v>44.01</v>
      </c>
      <c r="C13" s="179">
        <v>12</v>
      </c>
      <c r="D13" s="179">
        <v>1</v>
      </c>
      <c r="E13" s="9">
        <f>ROUND(B13*D13/C13,2)</f>
        <v>3.67</v>
      </c>
    </row>
    <row r="14" spans="1:5" ht="63.75" x14ac:dyDescent="0.2">
      <c r="A14" s="177" t="s">
        <v>162</v>
      </c>
      <c r="B14" s="178">
        <v>18.05</v>
      </c>
      <c r="C14" s="179">
        <v>12</v>
      </c>
      <c r="D14" s="179">
        <v>1</v>
      </c>
      <c r="E14" s="9">
        <f t="shared" si="0"/>
        <v>1.5</v>
      </c>
    </row>
    <row r="15" spans="1:5" ht="63.75" x14ac:dyDescent="0.2">
      <c r="A15" s="177" t="s">
        <v>163</v>
      </c>
      <c r="B15" s="178">
        <v>3.97</v>
      </c>
      <c r="C15" s="179">
        <v>12</v>
      </c>
      <c r="D15" s="179">
        <v>1</v>
      </c>
      <c r="E15" s="9">
        <f t="shared" si="0"/>
        <v>0.33</v>
      </c>
    </row>
    <row r="16" spans="1:5" ht="14.25" customHeight="1" x14ac:dyDescent="0.2">
      <c r="A16" s="264" t="s">
        <v>80</v>
      </c>
      <c r="B16" s="264"/>
      <c r="C16" s="264"/>
      <c r="D16" s="264"/>
      <c r="E16" s="181">
        <f>ROUND(SUM(E10:E15),2)</f>
        <v>14.17</v>
      </c>
    </row>
    <row r="17" spans="1:5" ht="14.25" customHeight="1" x14ac:dyDescent="0.2">
      <c r="A17" s="265" t="s">
        <v>81</v>
      </c>
      <c r="B17" s="265"/>
      <c r="C17" s="265"/>
      <c r="D17" s="265"/>
      <c r="E17" s="265"/>
    </row>
    <row r="18" spans="1:5" ht="38.25" x14ac:dyDescent="0.2">
      <c r="A18" s="177" t="s">
        <v>167</v>
      </c>
      <c r="B18" s="178">
        <v>1212.98</v>
      </c>
      <c r="C18" s="179">
        <v>30</v>
      </c>
      <c r="D18" s="179">
        <v>2</v>
      </c>
      <c r="E18" s="9">
        <f>ROUND(B18*D18/C18,2)</f>
        <v>80.87</v>
      </c>
    </row>
    <row r="19" spans="1:5" ht="38.25" x14ac:dyDescent="0.2">
      <c r="A19" s="177" t="s">
        <v>168</v>
      </c>
      <c r="B19" s="178">
        <v>361.86</v>
      </c>
      <c r="C19" s="179">
        <v>30</v>
      </c>
      <c r="D19" s="179">
        <v>2</v>
      </c>
      <c r="E19" s="9">
        <f>ROUND(B19*D19/C19,2)</f>
        <v>24.12</v>
      </c>
    </row>
    <row r="20" spans="1:5" ht="60.75" customHeight="1" x14ac:dyDescent="0.2">
      <c r="A20" s="177" t="s">
        <v>170</v>
      </c>
      <c r="B20" s="178">
        <v>228.28</v>
      </c>
      <c r="C20" s="179">
        <v>30</v>
      </c>
      <c r="D20" s="179">
        <v>2</v>
      </c>
      <c r="E20" s="9">
        <f>ROUND(B20*D20/C20,2)</f>
        <v>15.22</v>
      </c>
    </row>
    <row r="21" spans="1:5" ht="64.5" customHeight="1" x14ac:dyDescent="0.2">
      <c r="A21" s="177" t="s">
        <v>169</v>
      </c>
      <c r="B21" s="178">
        <v>48.9</v>
      </c>
      <c r="C21" s="179">
        <v>30</v>
      </c>
      <c r="D21" s="179">
        <v>2</v>
      </c>
      <c r="E21" s="9">
        <f>ROUND(B21*D21/C21,2)</f>
        <v>3.26</v>
      </c>
    </row>
    <row r="22" spans="1:5" ht="38.25" x14ac:dyDescent="0.2">
      <c r="A22" s="177" t="s">
        <v>171</v>
      </c>
      <c r="B22" s="178">
        <v>25.15</v>
      </c>
      <c r="C22" s="179">
        <v>30</v>
      </c>
      <c r="D22" s="179">
        <v>2</v>
      </c>
      <c r="E22" s="9">
        <f>ROUND(B22*D22/C22,2)</f>
        <v>1.68</v>
      </c>
    </row>
    <row r="23" spans="1:5" ht="14.25" customHeight="1" x14ac:dyDescent="0.2">
      <c r="A23" s="270" t="s">
        <v>82</v>
      </c>
      <c r="B23" s="270"/>
      <c r="C23" s="270"/>
      <c r="D23" s="270"/>
      <c r="E23" s="10">
        <f>ROUND(SUM(E18:E22),2)</f>
        <v>125.15</v>
      </c>
    </row>
    <row r="24" spans="1:5" ht="14.25" x14ac:dyDescent="0.2">
      <c r="A24" s="270" t="s">
        <v>184</v>
      </c>
      <c r="B24" s="270"/>
      <c r="C24" s="270"/>
      <c r="D24" s="270"/>
      <c r="E24" s="180">
        <f>'Planilha Estimativa'!B19</f>
        <v>4</v>
      </c>
    </row>
    <row r="25" spans="1:5" ht="14.25" x14ac:dyDescent="0.2">
      <c r="A25" s="264" t="s">
        <v>82</v>
      </c>
      <c r="B25" s="264"/>
      <c r="C25" s="264"/>
      <c r="D25" s="264"/>
      <c r="E25" s="181">
        <f>ROUND(E23/E24,2)</f>
        <v>31.29</v>
      </c>
    </row>
    <row r="26" spans="1:5" ht="14.25" customHeight="1" x14ac:dyDescent="0.2">
      <c r="A26" s="268"/>
      <c r="B26" s="269"/>
      <c r="C26" s="269"/>
      <c r="D26" s="269"/>
      <c r="E26" s="269"/>
    </row>
    <row r="27" spans="1:5" ht="14.25" x14ac:dyDescent="0.2">
      <c r="A27" s="260" t="s">
        <v>83</v>
      </c>
      <c r="B27" s="260"/>
      <c r="C27" s="260"/>
      <c r="D27" s="260"/>
      <c r="E27" s="181">
        <f>SUM(E8+E16+E25)</f>
        <v>63.97</v>
      </c>
    </row>
  </sheetData>
  <mergeCells count="11">
    <mergeCell ref="A1:E1"/>
    <mergeCell ref="A26:E26"/>
    <mergeCell ref="A25:D25"/>
    <mergeCell ref="A23:D23"/>
    <mergeCell ref="A24:D24"/>
    <mergeCell ref="A27:D27"/>
    <mergeCell ref="A4:E4"/>
    <mergeCell ref="A8:D8"/>
    <mergeCell ref="A9:E9"/>
    <mergeCell ref="A16:D16"/>
    <mergeCell ref="A17:E17"/>
  </mergeCells>
  <pageMargins left="0.51180555555555496" right="0.51180555555555496" top="1.1812499999999999" bottom="1.1812499999999999" header="0.51180555555555496" footer="0.51180555555555496"/>
  <pageSetup paperSize="9" scale="77" firstPageNumber="0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54275235331A4784D830959F3EDD6A" ma:contentTypeVersion="14" ma:contentTypeDescription="Crie um novo documento." ma:contentTypeScope="" ma:versionID="67601d5c3b0a1ce233c60db99b570b82">
  <xsd:schema xmlns:xsd="http://www.w3.org/2001/XMLSchema" xmlns:xs="http://www.w3.org/2001/XMLSchema" xmlns:p="http://schemas.microsoft.com/office/2006/metadata/properties" xmlns:ns2="2bf0fd51-6f2b-4f20-9667-52cf1f54e0ec" xmlns:ns3="acc169a8-a216-4328-9901-392903730c91" targetNamespace="http://schemas.microsoft.com/office/2006/metadata/properties" ma:root="true" ma:fieldsID="b04b62e65abe085b5e876095b3900e4b" ns2:_="" ns3:_="">
    <xsd:import namespace="2bf0fd51-6f2b-4f20-9667-52cf1f54e0ec"/>
    <xsd:import namespace="acc169a8-a216-4328-9901-392903730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0fd51-6f2b-4f20-9667-52cf1f54e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169a8-a216-4328-9901-392903730c9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4a8948a-3c0c-49f6-830c-66f2668661bf}" ma:internalName="TaxCatchAll" ma:showField="CatchAllData" ma:web="acc169a8-a216-4328-9901-392903730c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f0fd51-6f2b-4f20-9667-52cf1f54e0ec">
      <Terms xmlns="http://schemas.microsoft.com/office/infopath/2007/PartnerControls"/>
    </lcf76f155ced4ddcb4097134ff3c332f>
    <TaxCatchAll xmlns="acc169a8-a216-4328-9901-392903730c91" xsi:nil="true"/>
  </documentManagement>
</p:properties>
</file>

<file path=customXml/itemProps1.xml><?xml version="1.0" encoding="utf-8"?>
<ds:datastoreItem xmlns:ds="http://schemas.openxmlformats.org/officeDocument/2006/customXml" ds:itemID="{BC798219-718B-46BF-99CC-CFB15950CCF5}"/>
</file>

<file path=customXml/itemProps2.xml><?xml version="1.0" encoding="utf-8"?>
<ds:datastoreItem xmlns:ds="http://schemas.openxmlformats.org/officeDocument/2006/customXml" ds:itemID="{E504F21F-51BB-432A-B8D1-56E3805D142C}"/>
</file>

<file path=customXml/itemProps3.xml><?xml version="1.0" encoding="utf-8"?>
<ds:datastoreItem xmlns:ds="http://schemas.openxmlformats.org/officeDocument/2006/customXml" ds:itemID="{C4084DFD-0621-4C90-94A2-0440152FEE14}"/>
</file>

<file path=docProps/app.xml><?xml version="1.0" encoding="utf-8"?>
<Properties xmlns="http://schemas.openxmlformats.org/officeDocument/2006/extended-properties" xmlns:vt="http://schemas.openxmlformats.org/officeDocument/2006/docPropsVTypes">
  <TotalTime>916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 Estimativa</vt:lpstr>
      <vt:lpstr>Estimativa Afastamentos</vt:lpstr>
      <vt:lpstr>Benefícios</vt:lpstr>
      <vt:lpstr>Insumos</vt:lpstr>
      <vt:lpstr>'Estimativa Afastamentos'!Area_de_impressao</vt:lpstr>
      <vt:lpstr>'Planilha Estimativa'!Area_de_impressao</vt:lpstr>
      <vt:lpstr>'Planilha Estimativa'!Print_Area_0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INSS</dc:creator>
  <cp:lastModifiedBy>Flávia Serrano Batista</cp:lastModifiedBy>
  <cp:revision>138</cp:revision>
  <cp:lastPrinted>2019-09-06T10:31:06Z</cp:lastPrinted>
  <dcterms:created xsi:type="dcterms:W3CDTF">2014-01-28T11:49:44Z</dcterms:created>
  <dcterms:modified xsi:type="dcterms:W3CDTF">2022-04-20T00:50:58Z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0x010100BD54275235331A4784D830959F3EDD6A</vt:lpwstr>
  </property>
</Properties>
</file>