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Distrito Federal\"/>
    </mc:Choice>
  </mc:AlternateContent>
  <xr:revisionPtr revIDLastSave="0" documentId="13_ncr:1_{3520A079-A826-456F-9860-A4CF8CC0137C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4" i="1" l="1"/>
  <c r="B22" i="2"/>
  <c r="C13" i="2"/>
  <c r="E13" i="2" s="1"/>
  <c r="C35" i="1"/>
  <c r="E24" i="3"/>
  <c r="B144" i="1"/>
  <c r="C63" i="1"/>
  <c r="C22" i="2" l="1"/>
  <c r="E22" i="2" s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 l="1"/>
  <c r="C60" i="1" l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<sst xmlns="http://schemas.openxmlformats.org/spreadsheetml/2006/main" count="234" uniqueCount="203">
  <si>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</si>
  <si>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</si>
  <si>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</si>
  <si>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</si>
  <si>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</si>
  <si>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</si>
  <si>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</si>
  <si>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</si>
  <si>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</si>
  <si>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</si>
  <si>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</si>
  <si>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</si>
  <si>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</si>
  <si>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</si>
  <si>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</si>
  <si>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</si>
  <si>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</si>
  <si>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</si>
  <si>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</si>
  <si>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</si>
  <si>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</si>
  <si>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</si>
  <si>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</si>
  <si>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</si>
  <si>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</si>
  <si>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</si>
  <si>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</si>
  <si>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</si>
  <si>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</si>
  <si>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</si>
  <si>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</si>
  <si>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</si>
  <si>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</si>
  <si>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</si>
  <si>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</si>
  <si>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</si>
  <si>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</si>
  <si>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</si>
  <si>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</si>
  <si>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</si>
  <si>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</si>
  <si>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</si>
  <si>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</si>
  <si>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</si>
  <si>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</si>
  <si>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</si>
  <si>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</si>
  <si>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</si>
  <si>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</si>
  <si>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</si>
  <si>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</si>
  <si>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</si>
  <si>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</si>
  <si>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</si>
  <si>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</si>
  <si>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</si>
  <si>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</si>
  <si>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</si>
  <si>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</si>
  <si>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</si>
  <si>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</si>
  <si>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</si>
  <si>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</si>
  <si>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</si>
  <si>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</si>
  <si>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</si>
  <si>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</si>
  <si>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</si>
  <si>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</si>
  <si>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</si>
  <si>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</si>
  <si>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</si>
  <si>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</si>
  <si>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</si>
  <si>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</si>
  <si>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</si>
  <si>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</si>
  <si>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</si>
  <si>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</si>
  <si>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</si>
  <si>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</si>
  <si>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</si>
  <si>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</si>
  <si>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</si>
  <si>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</si>
  <si>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</si>
  <si>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</si>
  <si>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</si>
  <si>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</si>
  <si>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</si>
  <si>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</si>
  <si>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</si>
  <si>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</si>
  <si>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</si>
  <si>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</si>
  <si>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</si>
  <si>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</si>
  <si>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</si>
  <si>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</si>
  <si>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</si>
  <si>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</si>
  <si>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</si>
  <si>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</si>
  <si>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</si>
  <si>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</si>
  <si>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</si>
  <si>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</si>
  <si>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</si>
  <si>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</si>
  <si>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</si>
  <si>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</si>
  <si>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</si>
  <si>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</si>
  <si>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</si>
  <si>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</si>
  <si>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</si>
  <si>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</si>
  <si>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</si>
  <si>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</si>
  <si>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</si>
  <si>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</si>
  <si>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</si>
  <si>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</si>
  <si>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</si>
  <si>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</si>
  <si>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</si>
  <si>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</si>
  <si>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</si>
  <si>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</si>
  <si>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</si>
  <si>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</si>
  <si>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</si>
  <si>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</si>
  <si>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</si>
  <si>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>A - Salário-Base (Cláusula 3ª)</t>
  </si>
  <si>
    <t xml:space="preserve">    C - Assistência Médica e Familiar</t>
  </si>
  <si>
    <t>SEGURO DE VIDA</t>
  </si>
  <si>
    <t>Custo Anual por Empregado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</si>
  <si>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</si>
  <si>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</si>
  <si>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</si>
  <si>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</si>
  <si>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</si>
  <si>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</si>
  <si>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</si>
  <si>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</si>
  <si>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</si>
  <si>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</si>
  <si>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</si>
  <si>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</si>
  <si>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</si>
  <si>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</si>
  <si>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</si>
  <si>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</si>
  <si>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</si>
  <si>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</si>
  <si>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</si>
  <si>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</si>
  <si>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</si>
  <si>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</si>
  <si>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</si>
  <si>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</si>
  <si>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</si>
  <si>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</si>
  <si>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</si>
  <si>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</si>
  <si>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</si>
  <si>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</si>
  <si>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</si>
  <si>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</si>
  <si>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</si>
  <si>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</si>
  <si>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</si>
  <si>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</si>
  <si>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</si>
  <si>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</si>
  <si>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</si>
  <si>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</si>
  <si>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</si>
  <si>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</si>
  <si>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</si>
  <si>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</si>
  <si>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</si>
  <si>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</si>
  <si>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</si>
  <si>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</si>
  <si>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 xml:space="preserve">    B - Auxílio Alimentação (Cláusula 13ª)</t>
  </si>
  <si>
    <t>Valor definido CCT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</si>
  <si>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</si>
  <si>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</si>
  <si>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</si>
  <si>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</si>
  <si>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>INSS - GERÊNCIA EXECUTIVA EM DISTRITO FEDERAL/DF</t>
  </si>
  <si>
    <t>Distrito Federal/DF</t>
  </si>
  <si>
    <t>01 de janeiro</t>
  </si>
  <si>
    <t>DF000015/2022</t>
  </si>
  <si>
    <t xml:space="preserve">    A - Auxílio Transporte (Cláusula 15ª)</t>
  </si>
  <si>
    <t xml:space="preserve">    E – Outros (Plano Ambulatorial - Cláusula 16ª)</t>
  </si>
  <si>
    <t>PLANO AMBULATORIAL</t>
  </si>
  <si>
    <t xml:space="preserve">    D – Outros (Seguro de Vida - Cláusula 18ª)</t>
  </si>
  <si>
    <t xml:space="preserve">    F – Outros (Plano Odontológico - Cláusula 17ª)</t>
  </si>
  <si>
    <t>PLANO ODONTOLÓGICO</t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</si>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</sst>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2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37" fillId="41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topLeftCell="A4" zoomScaleNormal="78" zoomScaleSheetLayoutView="100" zoomScalePageLayoutView="90" workbookViewId="0">
      <selection activeCell="A132" sqref="A132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4.285156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7" t="s">
        <v>104</v>
      </c>
      <c r="B1" s="197"/>
      <c r="C1" s="197"/>
    </row>
    <row r="2" spans="1:3" x14ac:dyDescent="0.2">
      <c r="A2" s="208"/>
      <c r="B2" s="208"/>
      <c r="C2" s="208"/>
    </row>
    <row r="3" spans="1:3" ht="20.25" customHeight="1" x14ac:dyDescent="0.2">
      <c r="A3" s="198" t="s">
        <v>192</v>
      </c>
      <c r="B3" s="198"/>
      <c r="C3" s="198"/>
    </row>
    <row r="4" spans="1:3" x14ac:dyDescent="0.2">
      <c r="A4" s="209"/>
      <c r="B4" s="209"/>
      <c r="C4" s="209"/>
    </row>
    <row r="5" spans="1:3" x14ac:dyDescent="0.2">
      <c r="A5" s="166" t="s">
        <v>105</v>
      </c>
      <c r="B5" s="193"/>
      <c r="C5" s="193"/>
    </row>
    <row r="6" spans="1:3" x14ac:dyDescent="0.2">
      <c r="A6" s="166" t="s">
        <v>106</v>
      </c>
      <c r="B6" s="193"/>
      <c r="C6" s="193"/>
    </row>
    <row r="7" spans="1:3" ht="17.25" customHeight="1" x14ac:dyDescent="0.2">
      <c r="A7" s="166" t="s">
        <v>107</v>
      </c>
      <c r="B7" s="193" t="s">
        <v>108</v>
      </c>
      <c r="C7" s="193"/>
    </row>
    <row r="8" spans="1:3" ht="22.5" customHeight="1" x14ac:dyDescent="0.2">
      <c r="A8" s="207"/>
      <c r="B8" s="207"/>
      <c r="C8" s="207"/>
    </row>
    <row r="9" spans="1:3" ht="15" x14ac:dyDescent="0.2">
      <c r="A9" s="194" t="s">
        <v>109</v>
      </c>
      <c r="B9" s="195"/>
      <c r="C9" s="196"/>
    </row>
    <row r="10" spans="1:3" ht="43.5" customHeight="1" x14ac:dyDescent="0.2">
      <c r="A10" s="190" t="s">
        <v>185</v>
      </c>
      <c r="B10" s="191"/>
      <c r="C10" s="192"/>
    </row>
    <row r="11" spans="1:3" ht="15" x14ac:dyDescent="0.2">
      <c r="A11" s="194" t="s">
        <v>110</v>
      </c>
      <c r="B11" s="195"/>
      <c r="C11" s="196"/>
    </row>
    <row r="12" spans="1:3" ht="26.25" customHeight="1" x14ac:dyDescent="0.2">
      <c r="A12" s="190" t="s">
        <v>184</v>
      </c>
      <c r="B12" s="191"/>
      <c r="C12" s="192"/>
    </row>
    <row r="13" spans="1:3" ht="26.25" customHeight="1" thickBot="1" x14ac:dyDescent="0.25">
      <c r="A13" s="211"/>
      <c r="B13" s="211"/>
      <c r="C13" s="211"/>
    </row>
    <row r="14" spans="1:3" ht="15" customHeight="1" thickBot="1" x14ac:dyDescent="0.25">
      <c r="A14" s="210" t="s">
        <v>111</v>
      </c>
      <c r="B14" s="210"/>
      <c r="C14" s="210"/>
    </row>
    <row r="15" spans="1:3" ht="20.25" customHeight="1" thickBot="1" x14ac:dyDescent="0.25">
      <c r="A15" s="119" t="s">
        <v>116</v>
      </c>
      <c r="B15" s="212"/>
      <c r="C15" s="212"/>
    </row>
    <row r="16" spans="1:3" ht="20.25" customHeight="1" thickBot="1" x14ac:dyDescent="0.25">
      <c r="A16" s="119" t="s">
        <v>117</v>
      </c>
      <c r="B16" s="213" t="s">
        <v>193</v>
      </c>
      <c r="C16" s="213"/>
    </row>
    <row r="17" spans="1:3" ht="24" customHeight="1" thickBot="1" x14ac:dyDescent="0.25">
      <c r="A17" s="120" t="s">
        <v>118</v>
      </c>
      <c r="B17" s="213">
        <v>2022</v>
      </c>
      <c r="C17" s="213"/>
    </row>
    <row r="18" spans="1:3" ht="13.5" thickBot="1" x14ac:dyDescent="0.25">
      <c r="A18" s="119" t="s">
        <v>119</v>
      </c>
      <c r="B18" s="200">
        <v>30</v>
      </c>
      <c r="C18" s="200"/>
    </row>
    <row r="19" spans="1:3" ht="13.5" thickBot="1" x14ac:dyDescent="0.25">
      <c r="A19" s="119" t="s">
        <v>178</v>
      </c>
      <c r="B19" s="200">
        <v>4</v>
      </c>
      <c r="C19" s="200"/>
    </row>
    <row r="20" spans="1:3" ht="13.5" thickBot="1" x14ac:dyDescent="0.25">
      <c r="B20" s="35"/>
      <c r="C20" s="35"/>
    </row>
    <row r="21" spans="1:3" ht="15.75" thickBot="1" x14ac:dyDescent="0.25">
      <c r="A21" s="201" t="s">
        <v>112</v>
      </c>
      <c r="B21" s="202"/>
      <c r="C21" s="203"/>
    </row>
    <row r="22" spans="1:3" ht="15.75" thickBot="1" x14ac:dyDescent="0.25">
      <c r="A22" s="204" t="s">
        <v>113</v>
      </c>
      <c r="B22" s="205"/>
      <c r="C22" s="206"/>
    </row>
    <row r="23" spans="1:3" ht="13.5" thickBot="1" x14ac:dyDescent="0.25">
      <c r="A23" s="117" t="s">
        <v>120</v>
      </c>
      <c r="B23" s="215" t="s">
        <v>114</v>
      </c>
      <c r="C23" s="215"/>
    </row>
    <row r="24" spans="1:3" ht="13.5" thickBot="1" x14ac:dyDescent="0.25">
      <c r="A24" s="117" t="s">
        <v>121</v>
      </c>
      <c r="B24" s="216" t="s">
        <v>123</v>
      </c>
      <c r="C24" s="216"/>
    </row>
    <row r="25" spans="1:3" ht="13.5" thickBot="1" x14ac:dyDescent="0.25">
      <c r="A25" s="118" t="s">
        <v>122</v>
      </c>
      <c r="B25" s="217">
        <v>1416.75</v>
      </c>
      <c r="C25" s="217"/>
    </row>
    <row r="26" spans="1:3" ht="13.5" thickBot="1" x14ac:dyDescent="0.25">
      <c r="A26" s="118" t="s">
        <v>188</v>
      </c>
      <c r="B26" s="219">
        <v>1212</v>
      </c>
      <c r="C26" s="219"/>
    </row>
    <row r="27" spans="1:3" ht="13.5" thickBot="1" x14ac:dyDescent="0.25">
      <c r="A27" s="118" t="s">
        <v>189</v>
      </c>
      <c r="B27" s="215" t="s">
        <v>115</v>
      </c>
      <c r="C27" s="215"/>
    </row>
    <row r="28" spans="1:3" ht="13.5" thickBot="1" x14ac:dyDescent="0.25">
      <c r="A28" s="118" t="s">
        <v>190</v>
      </c>
      <c r="B28" s="218" t="s">
        <v>194</v>
      </c>
      <c r="C28" s="218"/>
    </row>
    <row r="29" spans="1:3" ht="13.5" thickBot="1" x14ac:dyDescent="0.25">
      <c r="A29" s="118" t="s">
        <v>191</v>
      </c>
      <c r="B29" s="218" t="s">
        <v>195</v>
      </c>
      <c r="C29" s="218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0" t="s">
        <v>1</v>
      </c>
      <c r="C32" s="110" t="s">
        <v>2</v>
      </c>
    </row>
    <row r="33" spans="1:1022" ht="15" customHeight="1" thickBot="1" x14ac:dyDescent="0.25">
      <c r="A33" s="199" t="s">
        <v>3</v>
      </c>
      <c r="B33" s="199"/>
      <c r="C33" s="199"/>
    </row>
    <row r="34" spans="1:1022" ht="26.25" thickBot="1" x14ac:dyDescent="0.25">
      <c r="A34" s="114" t="s">
        <v>4</v>
      </c>
      <c r="B34" s="115" t="s">
        <v>138</v>
      </c>
      <c r="C34" s="116" t="s">
        <v>5</v>
      </c>
    </row>
    <row r="35" spans="1:1022" ht="15" x14ac:dyDescent="0.2">
      <c r="A35" s="40" t="s">
        <v>134</v>
      </c>
      <c r="B35" s="41"/>
      <c r="C35" s="42">
        <f>IF(B25&gt;=B26,B25,B26)</f>
        <v>1416.75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1" t="s">
        <v>11</v>
      </c>
      <c r="B41" s="112"/>
      <c r="C41" s="113">
        <f>SUM(C35:C40)</f>
        <v>1416.75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4" t="s">
        <v>12</v>
      </c>
      <c r="B43" s="214"/>
      <c r="C43" s="214"/>
    </row>
    <row r="44" spans="1:1022" s="54" customFormat="1" ht="13.5" thickBot="1" x14ac:dyDescent="0.25">
      <c r="A44" s="52" t="s">
        <v>13</v>
      </c>
      <c r="B44" s="121" t="s">
        <v>14</v>
      </c>
      <c r="C44" s="121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2">
        <f>1/12</f>
        <v>8.3333333333333329E-2</v>
      </c>
      <c r="C45" s="94">
        <f>ROUND($B45*C$41,2)</f>
        <v>118.06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3">
        <f>B45/3</f>
        <v>2.7777777777777776E-2</v>
      </c>
      <c r="C46" s="95">
        <f>ROUND($B46*C$41,2)</f>
        <v>39.35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4">
        <f>SUM(B45:B46)</f>
        <v>0.1111111111111111</v>
      </c>
      <c r="C47" s="59">
        <f>ROUND(SUM(C45:C46),2)</f>
        <v>157.41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6" t="s">
        <v>125</v>
      </c>
      <c r="B48" s="121" t="s">
        <v>14</v>
      </c>
      <c r="C48" s="121" t="s">
        <v>5</v>
      </c>
    </row>
    <row r="49" spans="1:1022" s="62" customFormat="1" ht="15" x14ac:dyDescent="0.2">
      <c r="A49" s="40" t="s">
        <v>126</v>
      </c>
      <c r="B49" s="123">
        <v>0.2</v>
      </c>
      <c r="C49" s="42">
        <f>ROUND($B49*(C$41+C$47),2)</f>
        <v>314.83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3">
        <v>2.5000000000000001E-2</v>
      </c>
      <c r="C50" s="42">
        <f>ROUND($B50*(C$41+C$47),2)</f>
        <v>39.35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3">
        <v>0.03</v>
      </c>
      <c r="C51" s="42">
        <f t="shared" ref="C51:C56" si="0">ROUND($B51*(C$41+C$47),2)</f>
        <v>47.22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3">
        <v>1.4999999999999999E-2</v>
      </c>
      <c r="C52" s="42">
        <f t="shared" si="0"/>
        <v>23.61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3">
        <v>0.01</v>
      </c>
      <c r="C53" s="42">
        <f t="shared" si="0"/>
        <v>15.74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3">
        <v>6.0000000000000001E-3</v>
      </c>
      <c r="C54" s="42">
        <f t="shared" si="0"/>
        <v>9.44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3">
        <v>2E-3</v>
      </c>
      <c r="C55" s="42">
        <f t="shared" si="0"/>
        <v>3.15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3">
        <v>0.08</v>
      </c>
      <c r="C56" s="42">
        <f t="shared" si="0"/>
        <v>125.93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4">
        <f>SUM(B49:B56)</f>
        <v>0.36800000000000005</v>
      </c>
      <c r="C57" s="63">
        <f>ROUND(SUM(C49:C56),2)</f>
        <v>579.27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8"/>
      <c r="C58" s="125" t="s">
        <v>5</v>
      </c>
    </row>
    <row r="59" spans="1:1022" ht="15" x14ac:dyDescent="0.2">
      <c r="A59" s="40" t="s">
        <v>196</v>
      </c>
      <c r="B59" s="126"/>
      <c r="C59" s="104">
        <f>Benefícios!E9</f>
        <v>156.99</v>
      </c>
    </row>
    <row r="60" spans="1:1022" ht="15" x14ac:dyDescent="0.2">
      <c r="A60" s="40" t="s">
        <v>186</v>
      </c>
      <c r="B60" s="126"/>
      <c r="C60" s="67">
        <f>Benefícios!E13</f>
        <v>836</v>
      </c>
    </row>
    <row r="61" spans="1:1022" ht="15" x14ac:dyDescent="0.2">
      <c r="A61" s="40" t="s">
        <v>135</v>
      </c>
      <c r="B61" s="126"/>
      <c r="C61" s="67"/>
    </row>
    <row r="62" spans="1:1022" ht="15" x14ac:dyDescent="0.2">
      <c r="A62" s="40" t="s">
        <v>199</v>
      </c>
      <c r="B62" s="126"/>
      <c r="C62" s="67">
        <f>Benefícios!E22</f>
        <v>2.5</v>
      </c>
    </row>
    <row r="63" spans="1:1022" ht="15" x14ac:dyDescent="0.2">
      <c r="A63" s="40" t="s">
        <v>197</v>
      </c>
      <c r="B63" s="126"/>
      <c r="C63" s="67">
        <f>Benefícios!C16</f>
        <v>169.67</v>
      </c>
    </row>
    <row r="64" spans="1:1022" ht="15" x14ac:dyDescent="0.2">
      <c r="A64" s="40" t="s">
        <v>200</v>
      </c>
      <c r="B64" s="126"/>
      <c r="C64" s="67">
        <f>Benefícios!C19</f>
        <v>11.27</v>
      </c>
    </row>
    <row r="65" spans="1:1022" ht="15" x14ac:dyDescent="0.2">
      <c r="A65" s="57" t="s">
        <v>16</v>
      </c>
      <c r="B65" s="127"/>
      <c r="C65" s="63">
        <f>SUM(C59:C64)</f>
        <v>1176.43</v>
      </c>
    </row>
    <row r="66" spans="1:1022" x14ac:dyDescent="0.2">
      <c r="A66" s="129" t="s">
        <v>18</v>
      </c>
      <c r="B66" s="130"/>
      <c r="C66" s="131" t="s">
        <v>5</v>
      </c>
    </row>
    <row r="67" spans="1:1022" ht="15" x14ac:dyDescent="0.2">
      <c r="A67" s="68" t="s">
        <v>140</v>
      </c>
      <c r="B67" s="69">
        <f>B47</f>
        <v>0.1111111111111111</v>
      </c>
      <c r="C67" s="56">
        <f>C47</f>
        <v>157.41</v>
      </c>
    </row>
    <row r="68" spans="1:1022" ht="15" x14ac:dyDescent="0.2">
      <c r="A68" s="70" t="s">
        <v>141</v>
      </c>
      <c r="B68" s="71">
        <f>B57</f>
        <v>0.36800000000000005</v>
      </c>
      <c r="C68" s="67">
        <f>C57</f>
        <v>579.27</v>
      </c>
    </row>
    <row r="69" spans="1:1022" ht="15" x14ac:dyDescent="0.2">
      <c r="A69" s="70" t="s">
        <v>142</v>
      </c>
      <c r="B69" s="71"/>
      <c r="C69" s="67">
        <f>C65</f>
        <v>1176.43</v>
      </c>
    </row>
    <row r="70" spans="1:1022" ht="15" x14ac:dyDescent="0.2">
      <c r="A70" s="111" t="s">
        <v>11</v>
      </c>
      <c r="B70" s="112"/>
      <c r="C70" s="113">
        <f>SUM(C67:C69)</f>
        <v>1913.1100000000001</v>
      </c>
    </row>
    <row r="71" spans="1:1022" ht="15" x14ac:dyDescent="0.2">
      <c r="A71" s="72"/>
      <c r="B71" s="51"/>
      <c r="C71" s="51"/>
    </row>
    <row r="72" spans="1:1022" ht="15" customHeight="1" x14ac:dyDescent="0.2">
      <c r="A72" s="214" t="s">
        <v>19</v>
      </c>
      <c r="B72" s="214"/>
      <c r="C72" s="214"/>
    </row>
    <row r="73" spans="1:1022" x14ac:dyDescent="0.2">
      <c r="A73" s="132" t="s">
        <v>20</v>
      </c>
      <c r="B73" s="133"/>
      <c r="C73" s="134" t="s">
        <v>5</v>
      </c>
    </row>
    <row r="74" spans="1:1022" s="62" customFormat="1" ht="25.5" x14ac:dyDescent="0.2">
      <c r="A74" s="40" t="s">
        <v>143</v>
      </c>
      <c r="B74" s="135">
        <f>1/12*0.05</f>
        <v>4.1666666666666666E-3</v>
      </c>
      <c r="C74" s="56">
        <f>ROUND($B74*C$41,2)</f>
        <v>5.9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144</v>
      </c>
      <c r="B75" s="135">
        <f>B56*B74</f>
        <v>3.3333333333333332E-4</v>
      </c>
      <c r="C75" s="67">
        <f>ROUND($B75*C$41,2)</f>
        <v>0.47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145</v>
      </c>
      <c r="B76" s="135">
        <f>B74*((0.4*B56)+SUM(B50:B55))</f>
        <v>5.0000000000000001E-4</v>
      </c>
      <c r="C76" s="67">
        <f t="shared" ref="C76:C78" si="1">ROUND($B76*C$41,2)</f>
        <v>0.71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146</v>
      </c>
      <c r="B77" s="135">
        <f>1/30*7/12</f>
        <v>1.9444444444444445E-2</v>
      </c>
      <c r="C77" s="67">
        <f t="shared" si="1"/>
        <v>27.55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147</v>
      </c>
      <c r="B78" s="135">
        <f>B57*B77</f>
        <v>7.1555555555555565E-3</v>
      </c>
      <c r="C78" s="67">
        <f t="shared" si="1"/>
        <v>10.14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148</v>
      </c>
      <c r="B79" s="136">
        <f>8%*40%*90%*(1+1/12+1/12+1/3*1/12)</f>
        <v>3.4399999999999993E-2</v>
      </c>
      <c r="C79" s="67">
        <f>ROUND($B79*C$41,2)</f>
        <v>48.74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7" t="s">
        <v>11</v>
      </c>
      <c r="B80" s="138">
        <f>SUM(B74:B79)</f>
        <v>6.5999999999999989E-2</v>
      </c>
      <c r="C80" s="113">
        <f>SUM(C74:C79)</f>
        <v>93.51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4" t="s">
        <v>21</v>
      </c>
      <c r="B82" s="214"/>
      <c r="C82" s="214"/>
    </row>
    <row r="83" spans="1:1022" x14ac:dyDescent="0.2">
      <c r="A83" s="66" t="s">
        <v>22</v>
      </c>
      <c r="B83" s="139"/>
      <c r="C83" s="140" t="s">
        <v>5</v>
      </c>
    </row>
    <row r="84" spans="1:1022" s="62" customFormat="1" ht="15" x14ac:dyDescent="0.2">
      <c r="A84" s="40" t="s">
        <v>149</v>
      </c>
      <c r="B84" s="123">
        <f>1/12</f>
        <v>8.3333333333333329E-2</v>
      </c>
      <c r="C84" s="42">
        <f>ROUND($B84*(C$41+C$70+C80),2)</f>
        <v>285.27999999999997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150</v>
      </c>
      <c r="B85" s="141">
        <f>'Estimativa Afastamentos'!C14/30.4375/12</f>
        <v>1.0519917864476385E-2</v>
      </c>
      <c r="C85" s="42">
        <f>ROUND($B85*(C$41+C$70+C$80),2)</f>
        <v>36.01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151</v>
      </c>
      <c r="B86" s="141">
        <f>5/30.4375/12*'Estimativa Afastamentos'!D20*'Estimativa Afastamentos'!D19</f>
        <v>2.0533880903490757E-4</v>
      </c>
      <c r="C86" s="42">
        <f t="shared" ref="C86:C89" si="2">ROUND($B86*(C$41+C$70+C$80),2)</f>
        <v>0.7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152</v>
      </c>
      <c r="B87" s="141">
        <f>'Estimativa Afastamentos'!D25/30.4375/12</f>
        <v>1.8926762491444217E-3</v>
      </c>
      <c r="C87" s="42">
        <f t="shared" si="2"/>
        <v>6.48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153</v>
      </c>
      <c r="B88" s="141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154</v>
      </c>
      <c r="B89" s="123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4">
        <f>SUM(B84:B89)</f>
        <v>9.5951266255989043E-2</v>
      </c>
      <c r="C90" s="63">
        <f>ROUND(SUM(C84:C89),2)</f>
        <v>328.47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39"/>
      <c r="C91" s="140" t="s">
        <v>5</v>
      </c>
    </row>
    <row r="92" spans="1:1022" s="62" customFormat="1" ht="15.75" thickBot="1" x14ac:dyDescent="0.25">
      <c r="A92" s="40" t="s">
        <v>25</v>
      </c>
      <c r="B92" s="141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6" t="s">
        <v>26</v>
      </c>
      <c r="B94" s="147"/>
      <c r="C94" s="134" t="s">
        <v>5</v>
      </c>
      <c r="E94" s="65"/>
    </row>
    <row r="95" spans="1:1022" s="62" customFormat="1" ht="15" x14ac:dyDescent="0.2">
      <c r="A95" s="148" t="s">
        <v>155</v>
      </c>
      <c r="B95" s="149">
        <f>B90</f>
        <v>9.5951266255989043E-2</v>
      </c>
      <c r="C95" s="56">
        <f>C90</f>
        <v>328.47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8" t="s">
        <v>156</v>
      </c>
      <c r="B96" s="149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7" t="s">
        <v>11</v>
      </c>
      <c r="B97" s="138"/>
      <c r="C97" s="113">
        <f>SUM(C95:C96)</f>
        <v>328.47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4" t="s">
        <v>27</v>
      </c>
      <c r="B99" s="214"/>
      <c r="C99" s="214"/>
      <c r="D99" s="65"/>
      <c r="E99" s="65"/>
    </row>
    <row r="100" spans="1:42" x14ac:dyDescent="0.2">
      <c r="A100" s="132" t="s">
        <v>28</v>
      </c>
      <c r="B100" s="133"/>
      <c r="C100" s="134" t="s">
        <v>5</v>
      </c>
    </row>
    <row r="101" spans="1:42" ht="15" x14ac:dyDescent="0.2">
      <c r="A101" s="78" t="s">
        <v>29</v>
      </c>
      <c r="B101" s="142"/>
      <c r="C101" s="79">
        <f>Insumos!E8</f>
        <v>18.510000000000002</v>
      </c>
    </row>
    <row r="102" spans="1:42" ht="15" x14ac:dyDescent="0.2">
      <c r="A102" s="78" t="s">
        <v>30</v>
      </c>
      <c r="B102" s="142"/>
      <c r="C102" s="79">
        <f>Insumos!E16</f>
        <v>14.17</v>
      </c>
    </row>
    <row r="103" spans="1:42" ht="15" x14ac:dyDescent="0.2">
      <c r="A103" s="78" t="s">
        <v>31</v>
      </c>
      <c r="B103" s="142"/>
      <c r="C103" s="79">
        <f>Insumos!E25</f>
        <v>31.29</v>
      </c>
    </row>
    <row r="104" spans="1:42" ht="15" x14ac:dyDescent="0.2">
      <c r="A104" s="137" t="s">
        <v>11</v>
      </c>
      <c r="B104" s="145"/>
      <c r="C104" s="113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4" t="s">
        <v>32</v>
      </c>
      <c r="B106" s="214"/>
      <c r="C106" s="214"/>
    </row>
    <row r="107" spans="1:42" x14ac:dyDescent="0.2">
      <c r="A107" s="132" t="s">
        <v>33</v>
      </c>
      <c r="B107" s="133"/>
      <c r="C107" s="134" t="s">
        <v>5</v>
      </c>
    </row>
    <row r="108" spans="1:42" ht="15" x14ac:dyDescent="0.2">
      <c r="A108" s="148" t="s">
        <v>34</v>
      </c>
      <c r="B108" s="150">
        <v>0.06</v>
      </c>
      <c r="C108" s="56">
        <f>ROUND($B108*(C41+C70+C80+C97+C104),2)</f>
        <v>228.95</v>
      </c>
    </row>
    <row r="109" spans="1:42" ht="15" x14ac:dyDescent="0.2">
      <c r="A109" s="148" t="s">
        <v>35</v>
      </c>
      <c r="B109" s="150">
        <v>6.7900000000000002E-2</v>
      </c>
      <c r="C109" s="67">
        <f>ROUND($B109*(C41+C70+C80+C97+C104+C108),2)</f>
        <v>274.64</v>
      </c>
    </row>
    <row r="110" spans="1:42" ht="15" x14ac:dyDescent="0.2">
      <c r="A110" s="148" t="s">
        <v>36</v>
      </c>
      <c r="B110" s="149">
        <f>SUM(B111:B114)</f>
        <v>8.6499999999999994E-2</v>
      </c>
      <c r="C110" s="67">
        <f>ROUND(((C41+C70+C80+C97+C104+C108+C109)/(1-($B$110)))*$B110,2)</f>
        <v>409.01</v>
      </c>
    </row>
    <row r="111" spans="1:42" ht="14.25" x14ac:dyDescent="0.2">
      <c r="A111" s="148" t="s">
        <v>37</v>
      </c>
      <c r="B111" s="149">
        <f>0.0065+0.03</f>
        <v>3.6499999999999998E-2</v>
      </c>
      <c r="C111" s="80">
        <f>((C41+C70+C80+C97+C104+C108+C109)/(1-($B$110)))*$B111</f>
        <v>172.58686371100163</v>
      </c>
    </row>
    <row r="112" spans="1:42" ht="14.25" x14ac:dyDescent="0.2">
      <c r="A112" s="148" t="s">
        <v>38</v>
      </c>
      <c r="B112" s="149"/>
      <c r="C112" s="80"/>
    </row>
    <row r="113" spans="1:42" ht="14.25" x14ac:dyDescent="0.2">
      <c r="A113" s="148" t="s">
        <v>39</v>
      </c>
      <c r="B113" s="150">
        <v>0.05</v>
      </c>
      <c r="C113" s="80">
        <f>((C41+C70+C80+C97+C104+C108+C109)/(1-($B$110)))*$B113</f>
        <v>236.42036124794745</v>
      </c>
    </row>
    <row r="114" spans="1:42" ht="14.25" x14ac:dyDescent="0.2">
      <c r="A114" s="148" t="s">
        <v>40</v>
      </c>
      <c r="B114" s="151"/>
      <c r="C114" s="81"/>
    </row>
    <row r="115" spans="1:42" ht="15" x14ac:dyDescent="0.2">
      <c r="A115" s="143" t="s">
        <v>11</v>
      </c>
      <c r="B115" s="152"/>
      <c r="C115" s="144">
        <f>SUM(C108:C110)</f>
        <v>912.59999999999991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2" t="s">
        <v>41</v>
      </c>
      <c r="B118" s="222"/>
      <c r="C118" s="222"/>
    </row>
    <row r="119" spans="1:42" ht="13.9" customHeight="1" x14ac:dyDescent="0.2">
      <c r="A119" s="223" t="s">
        <v>42</v>
      </c>
      <c r="B119" s="223"/>
      <c r="C119" s="154" t="s">
        <v>5</v>
      </c>
    </row>
    <row r="120" spans="1:42" ht="15" customHeight="1" x14ac:dyDescent="0.2">
      <c r="A120" s="224" t="s">
        <v>43</v>
      </c>
      <c r="B120" s="224"/>
      <c r="C120" s="82">
        <f>C41</f>
        <v>1416.75</v>
      </c>
    </row>
    <row r="121" spans="1:42" ht="15" customHeight="1" x14ac:dyDescent="0.2">
      <c r="A121" s="220" t="s">
        <v>44</v>
      </c>
      <c r="B121" s="220"/>
      <c r="C121" s="83">
        <f>C70</f>
        <v>1913.1100000000001</v>
      </c>
    </row>
    <row r="122" spans="1:42" ht="13.9" customHeight="1" x14ac:dyDescent="0.2">
      <c r="A122" s="220" t="s">
        <v>45</v>
      </c>
      <c r="B122" s="220"/>
      <c r="C122" s="83">
        <f>C80</f>
        <v>93.51</v>
      </c>
    </row>
    <row r="123" spans="1:42" ht="15" customHeight="1" x14ac:dyDescent="0.2">
      <c r="A123" s="220" t="s">
        <v>46</v>
      </c>
      <c r="B123" s="220"/>
      <c r="C123" s="83">
        <f>C97</f>
        <v>328.47</v>
      </c>
    </row>
    <row r="124" spans="1:42" ht="15.75" customHeight="1" x14ac:dyDescent="0.2">
      <c r="A124" s="220" t="s">
        <v>47</v>
      </c>
      <c r="B124" s="220"/>
      <c r="C124" s="83">
        <f>C104</f>
        <v>63.97</v>
      </c>
    </row>
    <row r="125" spans="1:42" ht="15.75" customHeight="1" x14ac:dyDescent="0.2">
      <c r="A125" s="221" t="s">
        <v>48</v>
      </c>
      <c r="B125" s="221"/>
      <c r="C125" s="84">
        <f>SUM(C120:C124)</f>
        <v>3815.81</v>
      </c>
    </row>
    <row r="126" spans="1:42" ht="15.75" customHeight="1" x14ac:dyDescent="0.2">
      <c r="A126" s="238" t="s">
        <v>49</v>
      </c>
      <c r="B126" s="238"/>
      <c r="C126" s="85">
        <f>C115</f>
        <v>912.59999999999991</v>
      </c>
    </row>
    <row r="127" spans="1:42" ht="15.75" customHeight="1" x14ac:dyDescent="0.2">
      <c r="A127" s="239" t="s">
        <v>50</v>
      </c>
      <c r="B127" s="239"/>
      <c r="C127" s="155">
        <f>C120+C121+C122+C123+C124+C126</f>
        <v>4728.41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40" t="s">
        <v>51</v>
      </c>
      <c r="B129" s="240"/>
      <c r="C129" s="24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6" t="s">
        <v>52</v>
      </c>
      <c r="B130" s="157"/>
      <c r="C130" s="158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7">
        <v>177</v>
      </c>
      <c r="C131" s="242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171</v>
      </c>
      <c r="B132" s="107">
        <v>10</v>
      </c>
      <c r="C132" s="24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172</v>
      </c>
      <c r="B133" s="88">
        <v>500</v>
      </c>
      <c r="C133" s="153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41" t="s">
        <v>174</v>
      </c>
      <c r="B134" s="241"/>
      <c r="C134" s="159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7"/>
      <c r="B135" s="227"/>
      <c r="C135" s="227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5" t="s">
        <v>53</v>
      </c>
      <c r="B136" s="226"/>
      <c r="C136" s="22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30" t="s">
        <v>54</v>
      </c>
      <c r="B137" s="231"/>
      <c r="C137" s="160" t="s">
        <v>173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2" t="s">
        <v>55</v>
      </c>
      <c r="B138" s="233"/>
      <c r="C138" s="108">
        <f>C127</f>
        <v>4728.41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4" t="s">
        <v>56</v>
      </c>
      <c r="B139" s="235"/>
      <c r="C139" s="109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6" t="s">
        <v>57</v>
      </c>
      <c r="B140" s="237"/>
      <c r="C140" s="161">
        <f>C138+C139</f>
        <v>6998.41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7"/>
      <c r="B141" s="227"/>
      <c r="C141" s="227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8" t="s">
        <v>175</v>
      </c>
      <c r="B142" s="228"/>
      <c r="C142" s="22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3" t="s">
        <v>54</v>
      </c>
      <c r="B143" s="164" t="s">
        <v>58</v>
      </c>
      <c r="C143" s="164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2">
        <f>B19</f>
        <v>4</v>
      </c>
      <c r="C144" s="92">
        <f>C140*B144</f>
        <v>27993.64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9"/>
      <c r="B145" s="229"/>
      <c r="C145" s="22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5" t="s">
        <v>61</v>
      </c>
      <c r="B146" s="164" t="s">
        <v>176</v>
      </c>
      <c r="C146" s="164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177</v>
      </c>
      <c r="B147" s="162">
        <f>B18</f>
        <v>30</v>
      </c>
      <c r="C147" s="90">
        <f>C144*B147</f>
        <v>839809.2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6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3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8" t="s">
        <v>179</v>
      </c>
      <c r="B1" s="249"/>
      <c r="C1" s="249"/>
      <c r="D1" s="249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4" t="s">
        <v>84</v>
      </c>
      <c r="B4" s="244"/>
      <c r="C4" s="245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7" t="s">
        <v>11</v>
      </c>
      <c r="B14" s="168"/>
      <c r="C14" s="169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6" t="s">
        <v>94</v>
      </c>
      <c r="B17" s="246"/>
      <c r="C17" s="246"/>
      <c r="D17" s="247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6" t="s">
        <v>99</v>
      </c>
      <c r="B24" s="246"/>
      <c r="C24" s="246"/>
      <c r="D24" s="247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50" t="s">
        <v>101</v>
      </c>
      <c r="B28" s="251"/>
      <c r="C28" s="251"/>
      <c r="D28" s="252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3"/>
  <sheetViews>
    <sheetView showGridLines="0" view="pageBreakPreview" zoomScale="90" zoomScaleNormal="85" zoomScalePageLayoutView="90" workbookViewId="0">
      <selection activeCell="A8" sqref="A8:D8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" ht="15" customHeight="1" x14ac:dyDescent="0.25">
      <c r="A1" s="253" t="s">
        <v>62</v>
      </c>
      <c r="B1" s="253"/>
      <c r="C1" s="253"/>
      <c r="D1" s="253"/>
      <c r="E1" s="253"/>
      <c r="F1"/>
    </row>
    <row r="2" spans="1:6" ht="15" customHeight="1" x14ac:dyDescent="0.2">
      <c r="A2" s="2"/>
      <c r="B2" s="2"/>
      <c r="C2" s="2"/>
      <c r="D2" s="2"/>
      <c r="E2" s="2"/>
      <c r="F2"/>
    </row>
    <row r="3" spans="1:6" ht="15" customHeight="1" x14ac:dyDescent="0.25">
      <c r="A3" s="254" t="s">
        <v>63</v>
      </c>
      <c r="B3" s="254"/>
      <c r="C3" s="254"/>
      <c r="D3" s="254"/>
      <c r="E3" s="254"/>
      <c r="F3"/>
    </row>
    <row r="4" spans="1:6" ht="15" customHeight="1" x14ac:dyDescent="0.25">
      <c r="A4" s="255"/>
      <c r="B4" s="255"/>
      <c r="C4" s="255"/>
      <c r="D4" s="255"/>
      <c r="E4" s="255"/>
      <c r="F4"/>
    </row>
    <row r="5" spans="1:6" ht="15" customHeight="1" x14ac:dyDescent="0.2">
      <c r="A5" s="256"/>
      <c r="B5" s="256"/>
      <c r="C5" s="256"/>
      <c r="D5" s="256"/>
      <c r="E5" s="4"/>
      <c r="F5" s="5"/>
    </row>
    <row r="6" spans="1:6" ht="42.6" customHeight="1" x14ac:dyDescent="0.2">
      <c r="A6" s="257" t="s">
        <v>64</v>
      </c>
      <c r="B6" s="171" t="s">
        <v>65</v>
      </c>
      <c r="C6" s="171" t="s">
        <v>66</v>
      </c>
      <c r="D6" s="172" t="s">
        <v>67</v>
      </c>
      <c r="E6" s="173" t="s">
        <v>68</v>
      </c>
    </row>
    <row r="7" spans="1:6" ht="15" customHeight="1" x14ac:dyDescent="0.2">
      <c r="A7" s="257" t="s">
        <v>69</v>
      </c>
      <c r="B7" s="101">
        <v>2</v>
      </c>
      <c r="C7" s="102">
        <v>22</v>
      </c>
      <c r="D7" s="98">
        <v>5.5</v>
      </c>
      <c r="E7" s="103">
        <f>B7*C7*D7</f>
        <v>242</v>
      </c>
    </row>
    <row r="8" spans="1:6" ht="15" customHeight="1" x14ac:dyDescent="0.2">
      <c r="A8" s="259" t="s">
        <v>70</v>
      </c>
      <c r="B8" s="259"/>
      <c r="C8" s="259"/>
      <c r="D8" s="259"/>
      <c r="E8" s="103">
        <f>ROUND('Planilha Estimativa'!C35*0.06,2)</f>
        <v>85.01</v>
      </c>
    </row>
    <row r="9" spans="1:6" ht="15" customHeight="1" x14ac:dyDescent="0.2">
      <c r="A9" s="260" t="s">
        <v>71</v>
      </c>
      <c r="B9" s="260"/>
      <c r="C9" s="260"/>
      <c r="D9" s="260"/>
      <c r="E9" s="170">
        <f>(E7-E8)</f>
        <v>156.99</v>
      </c>
    </row>
    <row r="10" spans="1:6" ht="15" customHeight="1" x14ac:dyDescent="0.2">
      <c r="A10" s="6"/>
      <c r="B10" s="7"/>
      <c r="C10" s="7"/>
      <c r="D10" s="8"/>
      <c r="E10" s="3"/>
    </row>
    <row r="11" spans="1:6" ht="8.25" customHeight="1" x14ac:dyDescent="0.2">
      <c r="A11" s="256"/>
      <c r="B11" s="256"/>
      <c r="C11" s="256"/>
      <c r="D11" s="256"/>
      <c r="E11" s="256"/>
    </row>
    <row r="12" spans="1:6" ht="39.6" customHeight="1" x14ac:dyDescent="0.2">
      <c r="A12" s="258" t="s">
        <v>72</v>
      </c>
      <c r="B12" s="258"/>
      <c r="C12" s="172" t="s">
        <v>73</v>
      </c>
      <c r="D12" s="174" t="s">
        <v>74</v>
      </c>
      <c r="E12" s="174" t="s">
        <v>68</v>
      </c>
    </row>
    <row r="13" spans="1:6" ht="15" customHeight="1" x14ac:dyDescent="0.2">
      <c r="A13" s="258"/>
      <c r="B13" s="258"/>
      <c r="C13" s="98">
        <f>38*22</f>
        <v>836</v>
      </c>
      <c r="D13" s="99">
        <v>0</v>
      </c>
      <c r="E13" s="100">
        <f>C13-D13</f>
        <v>836</v>
      </c>
    </row>
    <row r="14" spans="1:6" ht="15" customHeight="1" x14ac:dyDescent="0.2">
      <c r="A14" s="256"/>
      <c r="B14" s="256"/>
      <c r="C14" s="256"/>
      <c r="D14" s="256"/>
      <c r="E14" s="4"/>
    </row>
    <row r="15" spans="1:6" ht="27" customHeight="1" x14ac:dyDescent="0.2">
      <c r="A15" s="258" t="s">
        <v>198</v>
      </c>
      <c r="B15" s="258"/>
      <c r="C15" s="174" t="s">
        <v>187</v>
      </c>
      <c r="D15" s="186"/>
      <c r="E15" s="4"/>
    </row>
    <row r="16" spans="1:6" ht="15" customHeight="1" x14ac:dyDescent="0.2">
      <c r="A16" s="258"/>
      <c r="B16" s="258"/>
      <c r="C16" s="188">
        <v>169.67</v>
      </c>
      <c r="D16" s="186"/>
      <c r="E16" s="4"/>
    </row>
    <row r="17" spans="1:5" ht="15" customHeight="1" x14ac:dyDescent="0.2">
      <c r="A17" s="186"/>
      <c r="B17" s="186"/>
      <c r="C17" s="186"/>
      <c r="D17" s="186"/>
      <c r="E17" s="4"/>
    </row>
    <row r="18" spans="1:5" ht="24.75" customHeight="1" x14ac:dyDescent="0.2">
      <c r="A18" s="258" t="s">
        <v>201</v>
      </c>
      <c r="B18" s="258"/>
      <c r="C18" s="174" t="s">
        <v>187</v>
      </c>
      <c r="D18" s="189"/>
      <c r="E18" s="4"/>
    </row>
    <row r="19" spans="1:5" ht="15" customHeight="1" x14ac:dyDescent="0.2">
      <c r="A19" s="258"/>
      <c r="B19" s="258"/>
      <c r="C19" s="188">
        <v>11.27</v>
      </c>
      <c r="D19" s="189"/>
      <c r="E19" s="4"/>
    </row>
    <row r="20" spans="1:5" ht="15" customHeight="1" x14ac:dyDescent="0.2">
      <c r="A20" s="189"/>
      <c r="B20" s="189"/>
      <c r="C20" s="189"/>
      <c r="D20" s="189"/>
      <c r="E20" s="4"/>
    </row>
    <row r="21" spans="1:5" ht="42.6" customHeight="1" x14ac:dyDescent="0.2">
      <c r="A21" s="187" t="s">
        <v>136</v>
      </c>
      <c r="B21" s="175" t="s">
        <v>137</v>
      </c>
      <c r="C21" s="176" t="s">
        <v>68</v>
      </c>
      <c r="D21" s="175" t="s">
        <v>139</v>
      </c>
      <c r="E21" s="176" t="s">
        <v>68</v>
      </c>
    </row>
    <row r="22" spans="1:5" ht="15" customHeight="1" x14ac:dyDescent="0.2">
      <c r="A22" s="187"/>
      <c r="B22" s="106">
        <f>2.5*12</f>
        <v>30</v>
      </c>
      <c r="C22" s="105">
        <f>ROUND(B22/12,2)</f>
        <v>2.5</v>
      </c>
      <c r="D22" s="106"/>
      <c r="E22" s="105">
        <f>C22-D22</f>
        <v>2.5</v>
      </c>
    </row>
    <row r="23" spans="1:5" ht="15" customHeight="1" x14ac:dyDescent="0.2">
      <c r="A23" s="256"/>
      <c r="B23" s="256"/>
      <c r="C23" s="256"/>
      <c r="D23" s="256"/>
      <c r="E23" s="256"/>
    </row>
  </sheetData>
  <mergeCells count="13">
    <mergeCell ref="A14:D14"/>
    <mergeCell ref="A15:B16"/>
    <mergeCell ref="A23:E23"/>
    <mergeCell ref="A8:D8"/>
    <mergeCell ref="A9:D9"/>
    <mergeCell ref="A11:E11"/>
    <mergeCell ref="A12:B13"/>
    <mergeCell ref="A18:B19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D30" sqref="D30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5" width="16.42578125" customWidth="1"/>
    <col min="6" max="6" width="20"/>
  </cols>
  <sheetData>
    <row r="1" spans="1:5" ht="15" x14ac:dyDescent="0.2">
      <c r="A1" s="267" t="s">
        <v>180</v>
      </c>
      <c r="B1" s="267"/>
      <c r="C1" s="267"/>
      <c r="D1" s="267"/>
      <c r="E1" s="268"/>
    </row>
    <row r="2" spans="1:5" ht="15" x14ac:dyDescent="0.2">
      <c r="A2" s="184"/>
      <c r="B2" s="184"/>
      <c r="C2" s="184"/>
      <c r="D2" s="184"/>
      <c r="E2" s="185"/>
    </row>
    <row r="3" spans="1:5" ht="25.5" x14ac:dyDescent="0.2">
      <c r="A3" s="182" t="s">
        <v>54</v>
      </c>
      <c r="B3" s="182" t="s">
        <v>182</v>
      </c>
      <c r="C3" s="182" t="s">
        <v>75</v>
      </c>
      <c r="D3" s="183" t="s">
        <v>76</v>
      </c>
      <c r="E3" s="182" t="s">
        <v>181</v>
      </c>
    </row>
    <row r="4" spans="1:5" ht="14.25" customHeight="1" x14ac:dyDescent="0.2">
      <c r="A4" s="262" t="s">
        <v>77</v>
      </c>
      <c r="B4" s="262"/>
      <c r="C4" s="262"/>
      <c r="D4" s="262"/>
      <c r="E4" s="262"/>
    </row>
    <row r="5" spans="1:5" ht="25.5" x14ac:dyDescent="0.2">
      <c r="A5" s="177" t="s">
        <v>157</v>
      </c>
      <c r="B5" s="178">
        <v>53.68</v>
      </c>
      <c r="C5" s="179">
        <v>12</v>
      </c>
      <c r="D5" s="179">
        <v>2</v>
      </c>
      <c r="E5" s="9">
        <f>ROUND(B5*D5/C5,2)</f>
        <v>8.9499999999999993</v>
      </c>
    </row>
    <row r="6" spans="1:5" ht="25.5" x14ac:dyDescent="0.2">
      <c r="A6" s="177" t="s">
        <v>158</v>
      </c>
      <c r="B6" s="178">
        <v>39.74</v>
      </c>
      <c r="C6" s="179">
        <v>12</v>
      </c>
      <c r="D6" s="179">
        <v>2</v>
      </c>
      <c r="E6" s="9">
        <f>ROUND(B6*D6/C6,2)</f>
        <v>6.62</v>
      </c>
    </row>
    <row r="7" spans="1:5" ht="25.5" x14ac:dyDescent="0.2">
      <c r="A7" s="177" t="s">
        <v>159</v>
      </c>
      <c r="B7" s="178">
        <v>5.87</v>
      </c>
      <c r="C7" s="179">
        <v>12</v>
      </c>
      <c r="D7" s="179">
        <v>6</v>
      </c>
      <c r="E7" s="9">
        <f>ROUND(B7*D7/C7,2)</f>
        <v>2.94</v>
      </c>
    </row>
    <row r="8" spans="1:5" ht="14.25" customHeight="1" x14ac:dyDescent="0.2">
      <c r="A8" s="263" t="s">
        <v>78</v>
      </c>
      <c r="B8" s="263"/>
      <c r="C8" s="263"/>
      <c r="D8" s="263"/>
      <c r="E8" s="181">
        <f>ROUND(SUM(E5:E7),2)</f>
        <v>18.510000000000002</v>
      </c>
    </row>
    <row r="9" spans="1:5" ht="14.25" customHeight="1" x14ac:dyDescent="0.2">
      <c r="A9" s="264" t="s">
        <v>79</v>
      </c>
      <c r="B9" s="264"/>
      <c r="C9" s="264"/>
      <c r="D9" s="264"/>
      <c r="E9" s="264"/>
    </row>
    <row r="10" spans="1:5" ht="51" x14ac:dyDescent="0.2">
      <c r="A10" s="177" t="s">
        <v>165</v>
      </c>
      <c r="B10" s="178">
        <v>15.94</v>
      </c>
      <c r="C10" s="179">
        <v>12</v>
      </c>
      <c r="D10" s="179">
        <v>1</v>
      </c>
      <c r="E10" s="9">
        <f t="shared" ref="E10:E15" si="0">ROUND(B10*D10/C10,2)</f>
        <v>1.33</v>
      </c>
    </row>
    <row r="11" spans="1:5" ht="25.5" x14ac:dyDescent="0.2">
      <c r="A11" s="177" t="s">
        <v>164</v>
      </c>
      <c r="B11" s="178">
        <v>1.72</v>
      </c>
      <c r="C11" s="179">
        <v>12</v>
      </c>
      <c r="D11" s="179">
        <v>1</v>
      </c>
      <c r="E11" s="9">
        <f t="shared" si="0"/>
        <v>0.14000000000000001</v>
      </c>
    </row>
    <row r="12" spans="1:5" ht="63.75" x14ac:dyDescent="0.2">
      <c r="A12" s="177" t="s">
        <v>163</v>
      </c>
      <c r="B12" s="178">
        <v>43.19</v>
      </c>
      <c r="C12" s="179">
        <v>12</v>
      </c>
      <c r="D12" s="179">
        <v>2</v>
      </c>
      <c r="E12" s="9">
        <f>ROUND(B12*D12/C12,2)</f>
        <v>7.2</v>
      </c>
    </row>
    <row r="13" spans="1:5" ht="51" x14ac:dyDescent="0.2">
      <c r="A13" s="177" t="s">
        <v>160</v>
      </c>
      <c r="B13" s="178">
        <v>44.01</v>
      </c>
      <c r="C13" s="179">
        <v>12</v>
      </c>
      <c r="D13" s="179">
        <v>1</v>
      </c>
      <c r="E13" s="9">
        <f>ROUND(B13*D13/C13,2)</f>
        <v>3.67</v>
      </c>
    </row>
    <row r="14" spans="1:5" ht="63.75" x14ac:dyDescent="0.2">
      <c r="A14" s="177" t="s">
        <v>161</v>
      </c>
      <c r="B14" s="178">
        <v>18.05</v>
      </c>
      <c r="C14" s="179">
        <v>12</v>
      </c>
      <c r="D14" s="179">
        <v>1</v>
      </c>
      <c r="E14" s="9">
        <f t="shared" si="0"/>
        <v>1.5</v>
      </c>
    </row>
    <row r="15" spans="1:5" ht="63.75" x14ac:dyDescent="0.2">
      <c r="A15" s="177" t="s">
        <v>162</v>
      </c>
      <c r="B15" s="178">
        <v>3.97</v>
      </c>
      <c r="C15" s="179">
        <v>12</v>
      </c>
      <c r="D15" s="179">
        <v>1</v>
      </c>
      <c r="E15" s="9">
        <f t="shared" si="0"/>
        <v>0.33</v>
      </c>
    </row>
    <row r="16" spans="1:5" ht="14.25" customHeight="1" x14ac:dyDescent="0.2">
      <c r="A16" s="265" t="s">
        <v>80</v>
      </c>
      <c r="B16" s="265"/>
      <c r="C16" s="265"/>
      <c r="D16" s="265"/>
      <c r="E16" s="181">
        <f>ROUND(SUM(E10:E15),2)</f>
        <v>14.17</v>
      </c>
    </row>
    <row r="17" spans="1:5" ht="14.25" customHeight="1" x14ac:dyDescent="0.2">
      <c r="A17" s="266" t="s">
        <v>81</v>
      </c>
      <c r="B17" s="266"/>
      <c r="C17" s="266"/>
      <c r="D17" s="266"/>
      <c r="E17" s="266"/>
    </row>
    <row r="18" spans="1:5" ht="38.25" x14ac:dyDescent="0.2">
      <c r="A18" s="177" t="s">
        <v>166</v>
      </c>
      <c r="B18" s="178">
        <v>1212.98</v>
      </c>
      <c r="C18" s="179">
        <v>30</v>
      </c>
      <c r="D18" s="179">
        <v>2</v>
      </c>
      <c r="E18" s="9">
        <f>ROUND(B18*D18/C18,2)</f>
        <v>80.87</v>
      </c>
    </row>
    <row r="19" spans="1:5" ht="38.25" x14ac:dyDescent="0.2">
      <c r="A19" s="177" t="s">
        <v>167</v>
      </c>
      <c r="B19" s="178">
        <v>361.86</v>
      </c>
      <c r="C19" s="179">
        <v>30</v>
      </c>
      <c r="D19" s="179">
        <v>2</v>
      </c>
      <c r="E19" s="9">
        <f>ROUND(B19*D19/C19,2)</f>
        <v>24.12</v>
      </c>
    </row>
    <row r="20" spans="1:5" ht="60.75" customHeight="1" x14ac:dyDescent="0.2">
      <c r="A20" s="177" t="s">
        <v>169</v>
      </c>
      <c r="B20" s="178">
        <v>228.28</v>
      </c>
      <c r="C20" s="179">
        <v>30</v>
      </c>
      <c r="D20" s="179">
        <v>2</v>
      </c>
      <c r="E20" s="9">
        <f>ROUND(B20*D20/C20,2)</f>
        <v>15.22</v>
      </c>
    </row>
    <row r="21" spans="1:5" ht="64.5" customHeight="1" x14ac:dyDescent="0.2">
      <c r="A21" s="177" t="s">
        <v>168</v>
      </c>
      <c r="B21" s="178">
        <v>48.9</v>
      </c>
      <c r="C21" s="179">
        <v>30</v>
      </c>
      <c r="D21" s="179">
        <v>2</v>
      </c>
      <c r="E21" s="9">
        <f>ROUND(B21*D21/C21,2)</f>
        <v>3.26</v>
      </c>
    </row>
    <row r="22" spans="1:5" ht="38.25" x14ac:dyDescent="0.2">
      <c r="A22" s="177" t="s">
        <v>170</v>
      </c>
      <c r="B22" s="178">
        <v>25.15</v>
      </c>
      <c r="C22" s="179">
        <v>30</v>
      </c>
      <c r="D22" s="179">
        <v>2</v>
      </c>
      <c r="E22" s="9">
        <f>ROUND(B22*D22/C22,2)</f>
        <v>1.68</v>
      </c>
    </row>
    <row r="23" spans="1:5" ht="14.25" customHeight="1" x14ac:dyDescent="0.2">
      <c r="A23" s="271" t="s">
        <v>82</v>
      </c>
      <c r="B23" s="271"/>
      <c r="C23" s="271"/>
      <c r="D23" s="271"/>
      <c r="E23" s="10">
        <f>ROUND(SUM(E18:E22),2)</f>
        <v>125.15</v>
      </c>
    </row>
    <row r="24" spans="1:5" ht="14.25" x14ac:dyDescent="0.2">
      <c r="A24" s="271" t="s">
        <v>183</v>
      </c>
      <c r="B24" s="271"/>
      <c r="C24" s="271"/>
      <c r="D24" s="271"/>
      <c r="E24" s="180">
        <f>'Planilha Estimativa'!B19</f>
        <v>4</v>
      </c>
    </row>
    <row r="25" spans="1:5" ht="14.25" x14ac:dyDescent="0.2">
      <c r="A25" s="265" t="s">
        <v>82</v>
      </c>
      <c r="B25" s="265"/>
      <c r="C25" s="265"/>
      <c r="D25" s="265"/>
      <c r="E25" s="181">
        <f>ROUND(E23/E24,2)</f>
        <v>31.29</v>
      </c>
    </row>
    <row r="26" spans="1:5" ht="14.25" customHeight="1" x14ac:dyDescent="0.2">
      <c r="A26" s="269"/>
      <c r="B26" s="270"/>
      <c r="C26" s="270"/>
      <c r="D26" s="270"/>
      <c r="E26" s="270"/>
    </row>
    <row r="27" spans="1:5" ht="14.25" x14ac:dyDescent="0.2">
      <c r="A27" s="261" t="s">
        <v>83</v>
      </c>
      <c r="B27" s="261"/>
      <c r="C27" s="261"/>
      <c r="D27" s="261"/>
      <c r="E27" s="181">
        <f>SUM(E8+E16+E25)</f>
        <v>63.97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7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4CD08CDF-3F62-4A19-B7DB-A10E15C3DF0A}"/>
</file>

<file path=customXml/itemProps2.xml><?xml version="1.0" encoding="utf-8"?>
<ds:datastoreItem xmlns:ds="http://schemas.openxmlformats.org/officeDocument/2006/customXml" ds:itemID="{86436459-7859-46E8-9F74-6C717B309C6C}"/>
</file>

<file path=customXml/itemProps3.xml><?xml version="1.0" encoding="utf-8"?>
<ds:datastoreItem xmlns:ds="http://schemas.openxmlformats.org/officeDocument/2006/customXml" ds:itemID="{14131477-CD08-4810-BDEB-29814748C0A6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2022-04-20T00:48:20Z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