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ili\OneDrive\Área de Trabalho\Trabalho\André\Licitações\Manutenção Predial\Roraima\"/>
    </mc:Choice>
  </mc:AlternateContent>
  <xr:revisionPtr revIDLastSave="0" documentId="13_ncr:1_{D9B2DA7D-D42D-4BE0-87FA-696DFC0DD62B}" xr6:coauthVersionLast="47" xr6:coauthVersionMax="47" xr10:uidLastSave="{00000000-0000-0000-0000-000000000000}"/>
  <bookViews>
    <workbookView xWindow="-105" yWindow="0" windowWidth="19410" windowHeight="15585" tabRatio="987" activeTab="2" xr2:uid="{00000000-000D-0000-FFFF-FFFF00000000}"/>
  </bookViews>
  <sheets>
    <sheet name="Orientações" sheetId="1" r:id="rId1"/>
    <sheet name="II - Planilha Consolidada" sheetId="2" r:id="rId2"/>
    <sheet name="III - Parcela Fixa" sheetId="3" r:id="rId3"/>
    <sheet name="III-A - Mão de Obra (CCT)" sheetId="4" r:id="rId4"/>
    <sheet name="CCT E VT" sheetId="23" r:id="rId5"/>
    <sheet name="III-A.1 - Memorial de Cálculo" sheetId="5" r:id="rId6"/>
    <sheet name="III-A.2 - Uniforme, EPI e Equip" sheetId="6" r:id="rId7"/>
    <sheet name="III-C - Desloc, Pern e Sistema" sheetId="8" r:id="rId8"/>
    <sheet name="Rotas" sheetId="28" state="hidden" r:id="rId9"/>
    <sheet name="III-C1-Ajuste Deslocamento" sheetId="26" r:id="rId10"/>
    <sheet name="III-E - Materiais de Consumo" sheetId="10" r:id="rId11"/>
    <sheet name="V - BDI" sheetId="13" r:id="rId12"/>
    <sheet name="V-A - ISS" sheetId="14" r:id="rId13"/>
  </sheets>
  <definedNames>
    <definedName name="_xlnm.Print_Area" localSheetId="4">'CCT E VT'!$A$1:$D$28</definedName>
    <definedName name="_xlnm.Print_Area" localSheetId="1">'II - Planilha Consolidada'!$A$1:$I$49</definedName>
    <definedName name="_xlnm.Print_Area" localSheetId="2">'III - Parcela Fixa'!$A$1:$G$28</definedName>
    <definedName name="_xlnm.Print_Area" localSheetId="3">'III-A - Mão de Obra (CCT)'!$A$1:$O$123</definedName>
    <definedName name="_xlnm.Print_Area" localSheetId="5">'III-A.1 - Memorial de Cálculo'!$A$1:$B$64</definedName>
    <definedName name="_xlnm.Print_Area" localSheetId="7">'III-C - Desloc, Pern e Sistema'!$A$1:$J$10</definedName>
    <definedName name="_xlnm.Print_Area" localSheetId="10">'III-E - Materiais de Consumo'!$A$1:$I$329</definedName>
    <definedName name="_xlnm.Print_Area" localSheetId="12">'V-A - ISS'!$A$1:$G$84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0" i="8" l="1"/>
  <c r="H10" i="8"/>
  <c r="O14" i="4"/>
  <c r="M73" i="26" l="1"/>
  <c r="M72" i="26"/>
  <c r="M71" i="26"/>
  <c r="M70" i="26"/>
  <c r="M69" i="26"/>
  <c r="M68" i="26"/>
  <c r="M67" i="26"/>
  <c r="M66" i="26"/>
  <c r="M65" i="26"/>
  <c r="M64" i="26"/>
  <c r="M63" i="26"/>
  <c r="M62" i="26"/>
  <c r="M61" i="26"/>
  <c r="M60" i="26"/>
  <c r="M59" i="26"/>
  <c r="M58" i="26"/>
  <c r="M57" i="26"/>
  <c r="M56" i="26"/>
  <c r="M55" i="26"/>
  <c r="M54" i="26"/>
  <c r="M53" i="26"/>
  <c r="M52" i="26"/>
  <c r="M51" i="26"/>
  <c r="M50" i="26"/>
  <c r="M49" i="26"/>
  <c r="M48" i="26"/>
  <c r="M47" i="26"/>
  <c r="M46" i="26"/>
  <c r="M45" i="26"/>
  <c r="M44" i="26"/>
  <c r="M43" i="26"/>
  <c r="M42" i="26"/>
  <c r="M41" i="26"/>
  <c r="M40" i="26"/>
  <c r="M39" i="26"/>
  <c r="M38" i="26"/>
  <c r="M37" i="26"/>
  <c r="M36" i="26"/>
  <c r="M35" i="26"/>
  <c r="M34" i="26"/>
  <c r="M33" i="26"/>
  <c r="M32" i="26"/>
  <c r="M31" i="26"/>
  <c r="M30" i="26"/>
  <c r="M29" i="26"/>
  <c r="M28" i="26"/>
  <c r="M27" i="26"/>
  <c r="M26" i="26"/>
  <c r="M25" i="26"/>
  <c r="M24" i="26"/>
  <c r="M23" i="26"/>
  <c r="M22" i="26"/>
  <c r="M21" i="26"/>
  <c r="M20" i="26"/>
  <c r="M19" i="26"/>
  <c r="M18" i="26"/>
  <c r="M17" i="26"/>
  <c r="M16" i="26"/>
  <c r="M15" i="26"/>
  <c r="M14" i="26"/>
  <c r="M13" i="26"/>
  <c r="M12" i="26"/>
  <c r="M11" i="26"/>
  <c r="M10" i="26"/>
  <c r="M9" i="26"/>
  <c r="M8" i="26"/>
  <c r="M7" i="26"/>
  <c r="M6" i="26"/>
  <c r="J12" i="4" l="1"/>
  <c r="G12" i="4"/>
  <c r="B9" i="3"/>
  <c r="B8" i="3"/>
  <c r="B7" i="3"/>
  <c r="C13" i="2"/>
  <c r="C11" i="2"/>
  <c r="C10" i="2" l="1"/>
  <c r="C9" i="2"/>
  <c r="D12" i="4"/>
  <c r="E20" i="2" l="1"/>
  <c r="E14" i="4" l="1"/>
  <c r="E10" i="2" l="1"/>
  <c r="E11" i="2"/>
  <c r="M36" i="28"/>
  <c r="F36" i="28"/>
  <c r="G35" i="28"/>
  <c r="I35" i="28" s="1"/>
  <c r="D35" i="28"/>
  <c r="I34" i="28"/>
  <c r="G34" i="28"/>
  <c r="H34" i="28" s="1"/>
  <c r="M33" i="28"/>
  <c r="F33" i="28"/>
  <c r="I32" i="28"/>
  <c r="H32" i="28"/>
  <c r="K32" i="28" s="1"/>
  <c r="G32" i="28"/>
  <c r="D32" i="28"/>
  <c r="G31" i="28"/>
  <c r="I31" i="28" s="1"/>
  <c r="D31" i="28"/>
  <c r="I30" i="28"/>
  <c r="H30" i="28"/>
  <c r="G30" i="28"/>
  <c r="G33" i="28" s="1"/>
  <c r="I33" i="28" s="1"/>
  <c r="M29" i="28"/>
  <c r="F29" i="28"/>
  <c r="G28" i="28"/>
  <c r="I28" i="28" s="1"/>
  <c r="D28" i="28"/>
  <c r="G27" i="28"/>
  <c r="H27" i="28" s="1"/>
  <c r="D27" i="28"/>
  <c r="G26" i="28"/>
  <c r="I26" i="28" s="1"/>
  <c r="D26" i="28"/>
  <c r="G25" i="28"/>
  <c r="I25" i="28" s="1"/>
  <c r="M24" i="28"/>
  <c r="F24" i="28"/>
  <c r="H23" i="28"/>
  <c r="K23" i="28" s="1"/>
  <c r="G23" i="28"/>
  <c r="I23" i="28" s="1"/>
  <c r="D23" i="28"/>
  <c r="G22" i="28"/>
  <c r="H22" i="28" s="1"/>
  <c r="D22" i="28"/>
  <c r="G21" i="28"/>
  <c r="I21" i="28" s="1"/>
  <c r="M17" i="28"/>
  <c r="F17" i="28"/>
  <c r="G16" i="28"/>
  <c r="H16" i="28" s="1"/>
  <c r="D16" i="28"/>
  <c r="G15" i="28"/>
  <c r="I15" i="28" s="1"/>
  <c r="M11" i="28"/>
  <c r="F11" i="28"/>
  <c r="G10" i="28"/>
  <c r="H10" i="28" s="1"/>
  <c r="D10" i="28"/>
  <c r="G9" i="28"/>
  <c r="M5" i="28"/>
  <c r="F5" i="28"/>
  <c r="I4" i="28"/>
  <c r="G4" i="28"/>
  <c r="H4" i="28" s="1"/>
  <c r="D4" i="28"/>
  <c r="G3" i="28"/>
  <c r="G5" i="28" s="1"/>
  <c r="G11" i="28" l="1"/>
  <c r="I11" i="28" s="1"/>
  <c r="H21" i="28"/>
  <c r="H24" i="28" s="1"/>
  <c r="I27" i="28"/>
  <c r="H35" i="28"/>
  <c r="K35" i="28" s="1"/>
  <c r="G17" i="28"/>
  <c r="I17" i="28" s="1"/>
  <c r="I24" i="28"/>
  <c r="K10" i="28"/>
  <c r="K16" i="28"/>
  <c r="K4" i="28"/>
  <c r="I5" i="28"/>
  <c r="I29" i="28"/>
  <c r="H36" i="28"/>
  <c r="H26" i="28"/>
  <c r="G29" i="28"/>
  <c r="G36" i="28"/>
  <c r="I36" i="28" s="1"/>
  <c r="I3" i="28"/>
  <c r="I22" i="28"/>
  <c r="H25" i="28"/>
  <c r="H9" i="28"/>
  <c r="H11" i="28" s="1"/>
  <c r="I16" i="28"/>
  <c r="G24" i="28"/>
  <c r="I10" i="28"/>
  <c r="H28" i="28"/>
  <c r="K28" i="28" s="1"/>
  <c r="I9" i="28"/>
  <c r="H31" i="28"/>
  <c r="H33" i="28" s="1"/>
  <c r="H3" i="28"/>
  <c r="H5" i="28" s="1"/>
  <c r="H15" i="28"/>
  <c r="K16" i="4"/>
  <c r="H16" i="4"/>
  <c r="E16" i="4"/>
  <c r="M18" i="4"/>
  <c r="K18" i="4"/>
  <c r="J18" i="4"/>
  <c r="H18" i="4"/>
  <c r="G18" i="4"/>
  <c r="E18" i="4"/>
  <c r="D18" i="4"/>
  <c r="M16" i="4"/>
  <c r="J16" i="4"/>
  <c r="G16" i="4"/>
  <c r="D16" i="4"/>
  <c r="H29" i="28" l="1"/>
  <c r="H17" i="28"/>
  <c r="K77" i="26"/>
  <c r="K78" i="26" s="1"/>
  <c r="M5" i="26" l="1"/>
  <c r="M76" i="26" l="1"/>
  <c r="D15" i="2" l="1"/>
  <c r="C15" i="2"/>
  <c r="B15" i="2"/>
  <c r="D14" i="2"/>
  <c r="C14" i="2"/>
  <c r="B14" i="2"/>
  <c r="D13" i="2"/>
  <c r="B13" i="2"/>
  <c r="D11" i="2"/>
  <c r="B11" i="2"/>
  <c r="D10" i="2"/>
  <c r="B10" i="2"/>
  <c r="E9" i="2"/>
  <c r="D9" i="2"/>
  <c r="B9" i="2"/>
  <c r="G77" i="26" l="1"/>
  <c r="D13" i="3" l="1"/>
  <c r="D12" i="3"/>
  <c r="D11" i="3"/>
  <c r="M51" i="4"/>
  <c r="L51" i="4"/>
  <c r="K51" i="4"/>
  <c r="J51" i="4"/>
  <c r="I51" i="4"/>
  <c r="H51" i="4"/>
  <c r="G51" i="4"/>
  <c r="F51" i="4"/>
  <c r="E51" i="4"/>
  <c r="M21" i="4"/>
  <c r="M54" i="4" s="1"/>
  <c r="D14" i="4"/>
  <c r="G14" i="4"/>
  <c r="G17" i="4" s="1"/>
  <c r="J14" i="4"/>
  <c r="J17" i="4" s="1"/>
  <c r="E17" i="4"/>
  <c r="F14" i="4"/>
  <c r="F17" i="4" s="1"/>
  <c r="H14" i="4"/>
  <c r="H17" i="4" s="1"/>
  <c r="I14" i="4"/>
  <c r="I17" i="4" s="1"/>
  <c r="K14" i="4"/>
  <c r="K17" i="4" s="1"/>
  <c r="L14" i="4"/>
  <c r="L17" i="4" s="1"/>
  <c r="M14" i="4"/>
  <c r="M17" i="4" s="1"/>
  <c r="D9" i="3"/>
  <c r="D8" i="3"/>
  <c r="D7" i="3"/>
  <c r="M114" i="4"/>
  <c r="O114" i="4"/>
  <c r="N114" i="4"/>
  <c r="L114" i="4"/>
  <c r="K114" i="4"/>
  <c r="J114" i="4"/>
  <c r="I114" i="4"/>
  <c r="H114" i="4"/>
  <c r="G114" i="4"/>
  <c r="F114" i="4"/>
  <c r="E114" i="4"/>
  <c r="M113" i="4"/>
  <c r="O113" i="4"/>
  <c r="N113" i="4"/>
  <c r="L113" i="4"/>
  <c r="K113" i="4"/>
  <c r="J113" i="4"/>
  <c r="I113" i="4"/>
  <c r="H113" i="4"/>
  <c r="G113" i="4"/>
  <c r="F113" i="4"/>
  <c r="E113" i="4"/>
  <c r="D114" i="4"/>
  <c r="D113" i="4"/>
  <c r="M82" i="4"/>
  <c r="M85" i="4" s="1"/>
  <c r="O82" i="4"/>
  <c r="O85" i="4" s="1"/>
  <c r="N82" i="4"/>
  <c r="N85" i="4" s="1"/>
  <c r="L82" i="4"/>
  <c r="L85" i="4" s="1"/>
  <c r="K82" i="4"/>
  <c r="K85" i="4" s="1"/>
  <c r="J82" i="4"/>
  <c r="J85" i="4" s="1"/>
  <c r="I82" i="4"/>
  <c r="I85" i="4" s="1"/>
  <c r="H82" i="4"/>
  <c r="H85" i="4" s="1"/>
  <c r="G82" i="4"/>
  <c r="G85" i="4" s="1"/>
  <c r="F82" i="4"/>
  <c r="F85" i="4" s="1"/>
  <c r="E82" i="4"/>
  <c r="E85" i="4" s="1"/>
  <c r="O54" i="4"/>
  <c r="N54" i="4"/>
  <c r="M53" i="4"/>
  <c r="O53" i="4"/>
  <c r="N53" i="4"/>
  <c r="L53" i="4"/>
  <c r="K53" i="4"/>
  <c r="J53" i="4"/>
  <c r="I53" i="4"/>
  <c r="H53" i="4"/>
  <c r="G53" i="4"/>
  <c r="F53" i="4"/>
  <c r="E53" i="4"/>
  <c r="M52" i="4"/>
  <c r="O52" i="4"/>
  <c r="N52" i="4"/>
  <c r="L52" i="4"/>
  <c r="K52" i="4"/>
  <c r="J52" i="4"/>
  <c r="I52" i="4"/>
  <c r="H52" i="4"/>
  <c r="G52" i="4"/>
  <c r="F52" i="4"/>
  <c r="E52" i="4"/>
  <c r="O51" i="4"/>
  <c r="N51" i="4"/>
  <c r="N14" i="4"/>
  <c r="C13" i="13"/>
  <c r="B106" i="4" s="1"/>
  <c r="D4" i="13"/>
  <c r="C4" i="13"/>
  <c r="M92" i="4"/>
  <c r="B107" i="4"/>
  <c r="B105" i="4"/>
  <c r="B104" i="4"/>
  <c r="B101" i="4"/>
  <c r="B100" i="4"/>
  <c r="B99" i="4"/>
  <c r="B98" i="4"/>
  <c r="D82" i="4"/>
  <c r="D85" i="4" s="1"/>
  <c r="B78" i="4"/>
  <c r="B77" i="4"/>
  <c r="B76" i="4"/>
  <c r="B75" i="4"/>
  <c r="B74" i="4"/>
  <c r="B69" i="4"/>
  <c r="B67" i="4"/>
  <c r="B64" i="4"/>
  <c r="D53" i="4"/>
  <c r="D52" i="4"/>
  <c r="B40" i="4"/>
  <c r="B37" i="4"/>
  <c r="B36" i="4"/>
  <c r="D51" i="4"/>
  <c r="F69" i="2"/>
  <c r="I218" i="10" l="1"/>
  <c r="D17" i="4"/>
  <c r="D50" i="4" s="1"/>
  <c r="D26" i="4"/>
  <c r="D27" i="4" s="1"/>
  <c r="F64" i="2"/>
  <c r="F54" i="4"/>
  <c r="G21" i="4"/>
  <c r="G54" i="4" s="1"/>
  <c r="H21" i="4"/>
  <c r="H54" i="4" s="1"/>
  <c r="I54" i="4"/>
  <c r="J21" i="4"/>
  <c r="J54" i="4" s="1"/>
  <c r="K21" i="4"/>
  <c r="K54" i="4" s="1"/>
  <c r="D21" i="4"/>
  <c r="D54" i="4" s="1"/>
  <c r="L54" i="4"/>
  <c r="E21" i="4"/>
  <c r="E54" i="4" s="1"/>
  <c r="N26" i="4"/>
  <c r="N32" i="4" s="1"/>
  <c r="N116" i="4" s="1"/>
  <c r="N17" i="4"/>
  <c r="N50" i="4" s="1"/>
  <c r="N55" i="4" s="1"/>
  <c r="N59" i="4" s="1"/>
  <c r="O26" i="4"/>
  <c r="O32" i="4" s="1"/>
  <c r="O116" i="4" s="1"/>
  <c r="O17" i="4"/>
  <c r="O50" i="4" s="1"/>
  <c r="O55" i="4" s="1"/>
  <c r="O59" i="4" s="1"/>
  <c r="F90" i="4"/>
  <c r="E90" i="4"/>
  <c r="I90" i="4"/>
  <c r="H90" i="4"/>
  <c r="G90" i="4"/>
  <c r="L90" i="4"/>
  <c r="K90" i="4"/>
  <c r="J90" i="4"/>
  <c r="O90" i="4"/>
  <c r="N90" i="4"/>
  <c r="M90" i="4"/>
  <c r="M93" i="4" s="1"/>
  <c r="M120" i="4" s="1"/>
  <c r="F92" i="4"/>
  <c r="E92" i="4"/>
  <c r="D92" i="4"/>
  <c r="I92" i="4"/>
  <c r="H92" i="4"/>
  <c r="G92" i="4"/>
  <c r="L92" i="4"/>
  <c r="K92" i="4"/>
  <c r="J92" i="4"/>
  <c r="O92" i="4"/>
  <c r="N92" i="4"/>
  <c r="E26" i="4"/>
  <c r="E50" i="4"/>
  <c r="F26" i="4"/>
  <c r="F50" i="4"/>
  <c r="G26" i="4"/>
  <c r="G32" i="4" s="1"/>
  <c r="G116" i="4" s="1"/>
  <c r="G50" i="4"/>
  <c r="H26" i="4"/>
  <c r="H32" i="4" s="1"/>
  <c r="H116" i="4" s="1"/>
  <c r="H50" i="4"/>
  <c r="I26" i="4"/>
  <c r="I32" i="4" s="1"/>
  <c r="I116" i="4" s="1"/>
  <c r="I50" i="4"/>
  <c r="J26" i="4"/>
  <c r="J32" i="4" s="1"/>
  <c r="J116" i="4" s="1"/>
  <c r="J50" i="4"/>
  <c r="K26" i="4"/>
  <c r="K32" i="4" s="1"/>
  <c r="K116" i="4" s="1"/>
  <c r="K50" i="4"/>
  <c r="L26" i="4"/>
  <c r="L32" i="4" s="1"/>
  <c r="L116" i="4" s="1"/>
  <c r="L50" i="4"/>
  <c r="M26" i="4"/>
  <c r="M32" i="4" s="1"/>
  <c r="M116" i="4" s="1"/>
  <c r="M50" i="4"/>
  <c r="M55" i="4" s="1"/>
  <c r="M59" i="4" s="1"/>
  <c r="D90" i="4"/>
  <c r="B38" i="4"/>
  <c r="B48" i="4"/>
  <c r="B68" i="4" s="1"/>
  <c r="B65" i="4"/>
  <c r="H7" i="8"/>
  <c r="I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97" i="10"/>
  <c r="I198" i="10"/>
  <c r="I199" i="10"/>
  <c r="I200" i="10"/>
  <c r="I201" i="10"/>
  <c r="I204" i="10"/>
  <c r="I205" i="10"/>
  <c r="I206" i="10"/>
  <c r="I207" i="10"/>
  <c r="I208" i="10"/>
  <c r="I209" i="10"/>
  <c r="I210" i="10"/>
  <c r="I211" i="10"/>
  <c r="I212" i="10"/>
  <c r="I213" i="10"/>
  <c r="I216" i="10"/>
  <c r="I217" i="10"/>
  <c r="I219" i="10"/>
  <c r="I220" i="10"/>
  <c r="I221" i="10"/>
  <c r="I222" i="10"/>
  <c r="I224" i="10"/>
  <c r="I226" i="10"/>
  <c r="I228" i="10"/>
  <c r="I230" i="10"/>
  <c r="I231" i="10"/>
  <c r="I232" i="10"/>
  <c r="I233" i="10"/>
  <c r="I234" i="10"/>
  <c r="I235" i="10"/>
  <c r="I236" i="10"/>
  <c r="I237" i="10"/>
  <c r="I238" i="10"/>
  <c r="I239" i="10"/>
  <c r="I240" i="10"/>
  <c r="I241" i="10"/>
  <c r="I242" i="10"/>
  <c r="I243" i="10"/>
  <c r="I244" i="10"/>
  <c r="I245" i="10"/>
  <c r="I246" i="10"/>
  <c r="I247" i="10"/>
  <c r="I248" i="10"/>
  <c r="I249" i="10"/>
  <c r="I250" i="10"/>
  <c r="I251" i="10"/>
  <c r="I252" i="10"/>
  <c r="I255" i="10"/>
  <c r="I256" i="10"/>
  <c r="I257" i="10"/>
  <c r="I258" i="10"/>
  <c r="I259" i="10"/>
  <c r="I260" i="10"/>
  <c r="I261" i="10"/>
  <c r="I262" i="10"/>
  <c r="I263" i="10"/>
  <c r="I264" i="10"/>
  <c r="I269" i="10"/>
  <c r="I305" i="10"/>
  <c r="I306" i="10"/>
  <c r="I307" i="10"/>
  <c r="I308" i="10"/>
  <c r="I309" i="10"/>
  <c r="I310" i="10"/>
  <c r="I311" i="10"/>
  <c r="I312" i="10"/>
  <c r="I313" i="10"/>
  <c r="I314" i="10"/>
  <c r="I315" i="10"/>
  <c r="I316" i="10"/>
  <c r="I317" i="10"/>
  <c r="I318" i="10"/>
  <c r="I320" i="10"/>
  <c r="D13" i="13"/>
  <c r="C73" i="14"/>
  <c r="D4" i="14" s="1"/>
  <c r="F4" i="14" s="1"/>
  <c r="I214" i="10" l="1"/>
  <c r="I223" i="10"/>
  <c r="I215" i="10"/>
  <c r="I267" i="10"/>
  <c r="I227" i="10"/>
  <c r="I225" i="10"/>
  <c r="I229" i="10"/>
  <c r="D55" i="4"/>
  <c r="D59" i="4" s="1"/>
  <c r="I55" i="4"/>
  <c r="I59" i="4" s="1"/>
  <c r="I319" i="10"/>
  <c r="D32" i="4"/>
  <c r="D37" i="4" s="1"/>
  <c r="E77" i="26"/>
  <c r="J55" i="4"/>
  <c r="J59" i="4" s="1"/>
  <c r="O36" i="4"/>
  <c r="F55" i="4"/>
  <c r="F59" i="4" s="1"/>
  <c r="E55" i="4"/>
  <c r="E59" i="4" s="1"/>
  <c r="N93" i="4"/>
  <c r="N120" i="4" s="1"/>
  <c r="O93" i="4"/>
  <c r="O120" i="4" s="1"/>
  <c r="I253" i="10"/>
  <c r="I254" i="10"/>
  <c r="I304" i="10"/>
  <c r="I266" i="10"/>
  <c r="I280" i="10"/>
  <c r="I202" i="10"/>
  <c r="I268" i="10"/>
  <c r="I113" i="10"/>
  <c r="I203" i="10"/>
  <c r="I265" i="10"/>
  <c r="I270" i="10"/>
  <c r="O37" i="4"/>
  <c r="O38" i="4" s="1"/>
  <c r="N37" i="4"/>
  <c r="N36" i="4"/>
  <c r="N38" i="4" s="1"/>
  <c r="L55" i="4"/>
  <c r="L59" i="4" s="1"/>
  <c r="H55" i="4"/>
  <c r="H59" i="4" s="1"/>
  <c r="K55" i="4"/>
  <c r="K59" i="4" s="1"/>
  <c r="G55" i="4"/>
  <c r="G59" i="4" s="1"/>
  <c r="J34" i="28"/>
  <c r="J31" i="28"/>
  <c r="K31" i="28" s="1"/>
  <c r="D36" i="4"/>
  <c r="M36" i="4"/>
  <c r="M37" i="4"/>
  <c r="L36" i="4"/>
  <c r="L37" i="4"/>
  <c r="K36" i="4"/>
  <c r="K37" i="4"/>
  <c r="J36" i="4"/>
  <c r="J37" i="4"/>
  <c r="I36" i="4"/>
  <c r="I37" i="4"/>
  <c r="H36" i="4"/>
  <c r="H37" i="4"/>
  <c r="G36" i="4"/>
  <c r="G37" i="4"/>
  <c r="F27" i="4"/>
  <c r="F32" i="4" s="1"/>
  <c r="F116" i="4" s="1"/>
  <c r="E27" i="4"/>
  <c r="E32" i="4" s="1"/>
  <c r="E116" i="4" s="1"/>
  <c r="J93" i="4"/>
  <c r="J120" i="4" s="1"/>
  <c r="K93" i="4"/>
  <c r="K120" i="4" s="1"/>
  <c r="L93" i="4"/>
  <c r="L120" i="4" s="1"/>
  <c r="G93" i="4"/>
  <c r="G120" i="4" s="1"/>
  <c r="H93" i="4"/>
  <c r="H120" i="4" s="1"/>
  <c r="I93" i="4"/>
  <c r="I120" i="4" s="1"/>
  <c r="E93" i="4"/>
  <c r="E120" i="4" s="1"/>
  <c r="F93" i="4"/>
  <c r="F120" i="4" s="1"/>
  <c r="D93" i="4"/>
  <c r="D120" i="4" s="1"/>
  <c r="J21" i="28"/>
  <c r="J22" i="28"/>
  <c r="K22" i="28" s="1"/>
  <c r="J15" i="28"/>
  <c r="J9" i="28"/>
  <c r="J30" i="28"/>
  <c r="J27" i="28"/>
  <c r="K27" i="28" s="1"/>
  <c r="J26" i="28"/>
  <c r="K26" i="28" s="1"/>
  <c r="J25" i="28"/>
  <c r="J3" i="28"/>
  <c r="D5" i="14"/>
  <c r="F5" i="14" s="1"/>
  <c r="D6" i="14"/>
  <c r="F6" i="14" s="1"/>
  <c r="D7" i="14"/>
  <c r="F7" i="14" s="1"/>
  <c r="D8" i="14"/>
  <c r="F8" i="14" s="1"/>
  <c r="D9" i="14"/>
  <c r="F9" i="14" s="1"/>
  <c r="D10" i="14"/>
  <c r="F10" i="14" s="1"/>
  <c r="D11" i="14"/>
  <c r="F11" i="14" s="1"/>
  <c r="D12" i="14"/>
  <c r="F12" i="14" s="1"/>
  <c r="D13" i="14"/>
  <c r="F13" i="14" s="1"/>
  <c r="D14" i="14"/>
  <c r="F14" i="14" s="1"/>
  <c r="D15" i="14"/>
  <c r="F15" i="14" s="1"/>
  <c r="D16" i="14"/>
  <c r="F16" i="14" s="1"/>
  <c r="D17" i="14"/>
  <c r="F17" i="14" s="1"/>
  <c r="D18" i="14"/>
  <c r="F18" i="14" s="1"/>
  <c r="D19" i="14"/>
  <c r="F19" i="14" s="1"/>
  <c r="D20" i="14"/>
  <c r="F20" i="14" s="1"/>
  <c r="D21" i="14"/>
  <c r="F21" i="14" s="1"/>
  <c r="D22" i="14"/>
  <c r="F22" i="14" s="1"/>
  <c r="D23" i="14"/>
  <c r="F23" i="14" s="1"/>
  <c r="D24" i="14"/>
  <c r="F24" i="14" s="1"/>
  <c r="D25" i="14"/>
  <c r="F25" i="14" s="1"/>
  <c r="D26" i="14"/>
  <c r="F26" i="14" s="1"/>
  <c r="D27" i="14"/>
  <c r="F27" i="14" s="1"/>
  <c r="D28" i="14"/>
  <c r="F28" i="14" s="1"/>
  <c r="D29" i="14"/>
  <c r="F29" i="14" s="1"/>
  <c r="D30" i="14"/>
  <c r="F30" i="14" s="1"/>
  <c r="D31" i="14"/>
  <c r="F31" i="14" s="1"/>
  <c r="D32" i="14"/>
  <c r="F32" i="14" s="1"/>
  <c r="D33" i="14"/>
  <c r="F33" i="14" s="1"/>
  <c r="D34" i="14"/>
  <c r="F34" i="14" s="1"/>
  <c r="D35" i="14"/>
  <c r="F35" i="14" s="1"/>
  <c r="D36" i="14"/>
  <c r="F36" i="14" s="1"/>
  <c r="D37" i="14"/>
  <c r="F37" i="14" s="1"/>
  <c r="D38" i="14"/>
  <c r="F38" i="14" s="1"/>
  <c r="D39" i="14"/>
  <c r="F39" i="14" s="1"/>
  <c r="D40" i="14"/>
  <c r="F40" i="14" s="1"/>
  <c r="D41" i="14"/>
  <c r="F41" i="14" s="1"/>
  <c r="D42" i="14"/>
  <c r="F42" i="14" s="1"/>
  <c r="D43" i="14"/>
  <c r="F43" i="14" s="1"/>
  <c r="D44" i="14"/>
  <c r="F44" i="14" s="1"/>
  <c r="D45" i="14"/>
  <c r="F45" i="14" s="1"/>
  <c r="D46" i="14"/>
  <c r="F46" i="14" s="1"/>
  <c r="D47" i="14"/>
  <c r="F47" i="14" s="1"/>
  <c r="D49" i="14"/>
  <c r="F49" i="14" s="1"/>
  <c r="D50" i="14"/>
  <c r="F50" i="14" s="1"/>
  <c r="D51" i="14"/>
  <c r="F51" i="14" s="1"/>
  <c r="D52" i="14"/>
  <c r="F52" i="14" s="1"/>
  <c r="D53" i="14"/>
  <c r="F53" i="14" s="1"/>
  <c r="D54" i="14"/>
  <c r="F54" i="14" s="1"/>
  <c r="D55" i="14"/>
  <c r="F55" i="14" s="1"/>
  <c r="D56" i="14"/>
  <c r="F56" i="14" s="1"/>
  <c r="D57" i="14"/>
  <c r="F57" i="14" s="1"/>
  <c r="D58" i="14"/>
  <c r="F58" i="14" s="1"/>
  <c r="D59" i="14"/>
  <c r="F59" i="14" s="1"/>
  <c r="D60" i="14"/>
  <c r="F60" i="14" s="1"/>
  <c r="D61" i="14"/>
  <c r="F61" i="14" s="1"/>
  <c r="D62" i="14"/>
  <c r="F62" i="14" s="1"/>
  <c r="D63" i="14"/>
  <c r="F63" i="14" s="1"/>
  <c r="D64" i="14"/>
  <c r="F64" i="14" s="1"/>
  <c r="D65" i="14"/>
  <c r="F65" i="14" s="1"/>
  <c r="D66" i="14"/>
  <c r="F66" i="14" s="1"/>
  <c r="D67" i="14"/>
  <c r="F67" i="14" s="1"/>
  <c r="D68" i="14"/>
  <c r="F68" i="14" s="1"/>
  <c r="D69" i="14"/>
  <c r="F69" i="14" s="1"/>
  <c r="D70" i="14"/>
  <c r="F70" i="14" s="1"/>
  <c r="D71" i="14"/>
  <c r="F71" i="14" s="1"/>
  <c r="D72" i="14"/>
  <c r="F72" i="14" s="1"/>
  <c r="D48" i="14"/>
  <c r="F48" i="14" s="1"/>
  <c r="D19" i="13"/>
  <c r="D9" i="13"/>
  <c r="B70" i="4"/>
  <c r="D116" i="4"/>
  <c r="D38" i="4" l="1"/>
  <c r="D66" i="4" s="1"/>
  <c r="J17" i="28"/>
  <c r="K15" i="28"/>
  <c r="K17" i="28" s="1"/>
  <c r="J11" i="28"/>
  <c r="K9" i="28"/>
  <c r="K11" i="28" s="1"/>
  <c r="J29" i="28"/>
  <c r="K25" i="28"/>
  <c r="K29" i="28" s="1"/>
  <c r="J24" i="28"/>
  <c r="K21" i="28"/>
  <c r="K24" i="28" s="1"/>
  <c r="J5" i="28"/>
  <c r="K3" i="28"/>
  <c r="K5" i="28" s="1"/>
  <c r="J33" i="28"/>
  <c r="K30" i="28"/>
  <c r="K33" i="28" s="1"/>
  <c r="J36" i="28"/>
  <c r="K34" i="28"/>
  <c r="K36" i="28" s="1"/>
  <c r="F73" i="14"/>
  <c r="H9" i="8"/>
  <c r="I191" i="10"/>
  <c r="I142" i="10"/>
  <c r="I99" i="10"/>
  <c r="I45" i="10"/>
  <c r="I194" i="10"/>
  <c r="I192" i="10"/>
  <c r="I186" i="10"/>
  <c r="I175" i="10"/>
  <c r="I158" i="10"/>
  <c r="I157" i="10"/>
  <c r="I154" i="10"/>
  <c r="I143" i="10"/>
  <c r="I138" i="10"/>
  <c r="I127" i="10"/>
  <c r="I123" i="10"/>
  <c r="I115" i="10"/>
  <c r="I106" i="10"/>
  <c r="I100" i="10"/>
  <c r="I77" i="10"/>
  <c r="I85" i="10"/>
  <c r="I72" i="10"/>
  <c r="I58" i="10"/>
  <c r="I66" i="10"/>
  <c r="I46" i="10"/>
  <c r="I38" i="10"/>
  <c r="I30" i="10"/>
  <c r="I22" i="10"/>
  <c r="I298" i="10"/>
  <c r="I290" i="10"/>
  <c r="I281" i="10"/>
  <c r="I185" i="10"/>
  <c r="I126" i="10"/>
  <c r="I84" i="10"/>
  <c r="I29" i="10"/>
  <c r="I187" i="10"/>
  <c r="I179" i="10"/>
  <c r="I176" i="10"/>
  <c r="I159" i="10"/>
  <c r="I161" i="10"/>
  <c r="I148" i="10"/>
  <c r="I144" i="10"/>
  <c r="I132" i="10"/>
  <c r="I128" i="10"/>
  <c r="I120" i="10"/>
  <c r="I109" i="10"/>
  <c r="I103" i="10"/>
  <c r="I93" i="10"/>
  <c r="I78" i="10"/>
  <c r="I86" i="10"/>
  <c r="I73" i="10"/>
  <c r="I59" i="10"/>
  <c r="I67" i="10"/>
  <c r="I47" i="10"/>
  <c r="I39" i="10"/>
  <c r="I31" i="10"/>
  <c r="I23" i="10"/>
  <c r="I295" i="10"/>
  <c r="I287" i="10"/>
  <c r="I282" i="10"/>
  <c r="I153" i="10"/>
  <c r="I105" i="10"/>
  <c r="I53" i="10"/>
  <c r="I289" i="10"/>
  <c r="I188" i="10"/>
  <c r="I180" i="10"/>
  <c r="I171" i="10"/>
  <c r="I160" i="10"/>
  <c r="I162" i="10"/>
  <c r="I149" i="10"/>
  <c r="I139" i="10"/>
  <c r="I133" i="10"/>
  <c r="I121" i="10"/>
  <c r="I110" i="10"/>
  <c r="I104" i="10"/>
  <c r="I94" i="10"/>
  <c r="I79" i="10"/>
  <c r="I87" i="10"/>
  <c r="I70" i="10"/>
  <c r="I60" i="10"/>
  <c r="I68" i="10"/>
  <c r="I48" i="10"/>
  <c r="I40" i="10"/>
  <c r="I32" i="10"/>
  <c r="I24" i="10"/>
  <c r="I301" i="10"/>
  <c r="I296" i="10"/>
  <c r="I288" i="10"/>
  <c r="I170" i="10"/>
  <c r="I114" i="10"/>
  <c r="I65" i="10"/>
  <c r="I297" i="10"/>
  <c r="I189" i="10"/>
  <c r="I181" i="10"/>
  <c r="I172" i="10"/>
  <c r="I165" i="10"/>
  <c r="I163" i="10"/>
  <c r="I150" i="10"/>
  <c r="I140" i="10"/>
  <c r="I134" i="10"/>
  <c r="I118" i="10"/>
  <c r="I111" i="10"/>
  <c r="I95" i="10"/>
  <c r="I80" i="10"/>
  <c r="I88" i="10"/>
  <c r="I71" i="10"/>
  <c r="I61" i="10"/>
  <c r="I69" i="10"/>
  <c r="I49" i="10"/>
  <c r="I41" i="10"/>
  <c r="I33" i="10"/>
  <c r="I25" i="10"/>
  <c r="I302" i="10"/>
  <c r="I293" i="10"/>
  <c r="I285" i="10"/>
  <c r="I278" i="10"/>
  <c r="I137" i="10"/>
  <c r="I76" i="10"/>
  <c r="I37" i="10"/>
  <c r="I273" i="10"/>
  <c r="I190" i="10"/>
  <c r="I182" i="10"/>
  <c r="I173" i="10"/>
  <c r="I166" i="10"/>
  <c r="I164" i="10"/>
  <c r="I145" i="10"/>
  <c r="I141" i="10"/>
  <c r="I129" i="10"/>
  <c r="I119" i="10"/>
  <c r="I112" i="10"/>
  <c r="I102" i="10"/>
  <c r="I96" i="10"/>
  <c r="I81" i="10"/>
  <c r="I89" i="10"/>
  <c r="I62" i="10"/>
  <c r="I54" i="10"/>
  <c r="I50" i="10"/>
  <c r="I42" i="10"/>
  <c r="I34" i="10"/>
  <c r="I26" i="10"/>
  <c r="I18" i="10"/>
  <c r="I303" i="10"/>
  <c r="I294" i="10"/>
  <c r="I286" i="10"/>
  <c r="I279" i="10"/>
  <c r="I195" i="10"/>
  <c r="I174" i="10"/>
  <c r="I122" i="10"/>
  <c r="I92" i="10"/>
  <c r="I21" i="10"/>
  <c r="I183" i="10"/>
  <c r="I177" i="10"/>
  <c r="I168" i="10"/>
  <c r="I167" i="10"/>
  <c r="I151" i="10"/>
  <c r="I146" i="10"/>
  <c r="I135" i="10"/>
  <c r="I130" i="10"/>
  <c r="I124" i="10"/>
  <c r="I116" i="10"/>
  <c r="I107" i="10"/>
  <c r="I97" i="10"/>
  <c r="I74" i="10"/>
  <c r="I82" i="10"/>
  <c r="I90" i="10"/>
  <c r="I63" i="10"/>
  <c r="I55" i="10"/>
  <c r="I51" i="10"/>
  <c r="I43" i="10"/>
  <c r="I35" i="10"/>
  <c r="I27" i="10"/>
  <c r="I19" i="10"/>
  <c r="I299" i="10"/>
  <c r="I291" i="10"/>
  <c r="I283" i="10"/>
  <c r="I271" i="10"/>
  <c r="I196" i="10"/>
  <c r="I156" i="10"/>
  <c r="I57" i="10"/>
  <c r="I184" i="10"/>
  <c r="I178" i="10"/>
  <c r="I169" i="10"/>
  <c r="I155" i="10"/>
  <c r="I152" i="10"/>
  <c r="I147" i="10"/>
  <c r="I136" i="10"/>
  <c r="I131" i="10"/>
  <c r="I125" i="10"/>
  <c r="I117" i="10"/>
  <c r="I108" i="10"/>
  <c r="I98" i="10"/>
  <c r="I75" i="10"/>
  <c r="I83" i="10"/>
  <c r="I91" i="10"/>
  <c r="I64" i="10"/>
  <c r="I56" i="10"/>
  <c r="I52" i="10"/>
  <c r="I44" i="10"/>
  <c r="I36" i="10"/>
  <c r="I28" i="10"/>
  <c r="I20" i="10"/>
  <c r="I300" i="10"/>
  <c r="I292" i="10"/>
  <c r="I284" i="10"/>
  <c r="I272" i="10"/>
  <c r="I193" i="10"/>
  <c r="D47" i="4"/>
  <c r="D46" i="4"/>
  <c r="D45" i="4"/>
  <c r="D44" i="4"/>
  <c r="D43" i="4"/>
  <c r="D42" i="4"/>
  <c r="D41" i="4"/>
  <c r="D40" i="4"/>
  <c r="O57" i="4"/>
  <c r="O40" i="4"/>
  <c r="O64" i="4"/>
  <c r="O67" i="4"/>
  <c r="O69" i="4"/>
  <c r="O66" i="4"/>
  <c r="O47" i="4"/>
  <c r="O46" i="4"/>
  <c r="O45" i="4"/>
  <c r="O44" i="4"/>
  <c r="O43" i="4"/>
  <c r="O42" i="4"/>
  <c r="O41" i="4"/>
  <c r="O65" i="4"/>
  <c r="O68" i="4"/>
  <c r="N57" i="4"/>
  <c r="N40" i="4"/>
  <c r="N64" i="4"/>
  <c r="N67" i="4"/>
  <c r="N69" i="4"/>
  <c r="N66" i="4"/>
  <c r="N47" i="4"/>
  <c r="N46" i="4"/>
  <c r="N45" i="4"/>
  <c r="N44" i="4"/>
  <c r="N43" i="4"/>
  <c r="N42" i="4"/>
  <c r="N41" i="4"/>
  <c r="N65" i="4"/>
  <c r="N68" i="4"/>
  <c r="E36" i="4"/>
  <c r="E37" i="4"/>
  <c r="F36" i="4"/>
  <c r="F37" i="4"/>
  <c r="G38" i="4"/>
  <c r="H38" i="4"/>
  <c r="I38" i="4"/>
  <c r="J38" i="4"/>
  <c r="K38" i="4"/>
  <c r="L38" i="4"/>
  <c r="M38" i="4"/>
  <c r="D57" i="4"/>
  <c r="D64" i="4"/>
  <c r="D67" i="4"/>
  <c r="D69" i="4"/>
  <c r="D65" i="4"/>
  <c r="D68" i="4"/>
  <c r="E19" i="2" l="1"/>
  <c r="I101" i="10"/>
  <c r="D48" i="4"/>
  <c r="D78" i="4" s="1"/>
  <c r="I276" i="10"/>
  <c r="I277" i="10"/>
  <c r="I274" i="10"/>
  <c r="I275" i="10"/>
  <c r="H8" i="8"/>
  <c r="M57" i="4"/>
  <c r="M65" i="4"/>
  <c r="M68" i="4"/>
  <c r="M66" i="4"/>
  <c r="M47" i="4"/>
  <c r="M46" i="4"/>
  <c r="M45" i="4"/>
  <c r="M44" i="4"/>
  <c r="M43" i="4"/>
  <c r="M42" i="4"/>
  <c r="M41" i="4"/>
  <c r="M40" i="4"/>
  <c r="M64" i="4"/>
  <c r="M67" i="4"/>
  <c r="M69" i="4"/>
  <c r="L57" i="4"/>
  <c r="L65" i="4"/>
  <c r="L68" i="4"/>
  <c r="L66" i="4"/>
  <c r="L47" i="4"/>
  <c r="L46" i="4"/>
  <c r="L45" i="4"/>
  <c r="L44" i="4"/>
  <c r="L43" i="4"/>
  <c r="L42" i="4"/>
  <c r="L41" i="4"/>
  <c r="L40" i="4"/>
  <c r="L64" i="4"/>
  <c r="L67" i="4"/>
  <c r="L69" i="4"/>
  <c r="K57" i="4"/>
  <c r="K65" i="4"/>
  <c r="K68" i="4"/>
  <c r="K66" i="4"/>
  <c r="K47" i="4"/>
  <c r="K46" i="4"/>
  <c r="K45" i="4"/>
  <c r="K44" i="4"/>
  <c r="K43" i="4"/>
  <c r="K42" i="4"/>
  <c r="K41" i="4"/>
  <c r="K40" i="4"/>
  <c r="K64" i="4"/>
  <c r="K67" i="4"/>
  <c r="K69" i="4"/>
  <c r="J57" i="4"/>
  <c r="J65" i="4"/>
  <c r="J68" i="4"/>
  <c r="J66" i="4"/>
  <c r="J47" i="4"/>
  <c r="J46" i="4"/>
  <c r="J45" i="4"/>
  <c r="J44" i="4"/>
  <c r="J43" i="4"/>
  <c r="J42" i="4"/>
  <c r="J41" i="4"/>
  <c r="J40" i="4"/>
  <c r="J64" i="4"/>
  <c r="J67" i="4"/>
  <c r="J69" i="4"/>
  <c r="I57" i="4"/>
  <c r="I65" i="4"/>
  <c r="I68" i="4"/>
  <c r="I66" i="4"/>
  <c r="I47" i="4"/>
  <c r="I46" i="4"/>
  <c r="I45" i="4"/>
  <c r="I44" i="4"/>
  <c r="I43" i="4"/>
  <c r="I42" i="4"/>
  <c r="I41" i="4"/>
  <c r="I40" i="4"/>
  <c r="I64" i="4"/>
  <c r="I67" i="4"/>
  <c r="I69" i="4"/>
  <c r="H57" i="4"/>
  <c r="H65" i="4"/>
  <c r="H68" i="4"/>
  <c r="H66" i="4"/>
  <c r="H47" i="4"/>
  <c r="H46" i="4"/>
  <c r="H45" i="4"/>
  <c r="H44" i="4"/>
  <c r="H43" i="4"/>
  <c r="H42" i="4"/>
  <c r="H41" i="4"/>
  <c r="H40" i="4"/>
  <c r="H64" i="4"/>
  <c r="H67" i="4"/>
  <c r="H69" i="4"/>
  <c r="G57" i="4"/>
  <c r="G65" i="4"/>
  <c r="G68" i="4"/>
  <c r="G66" i="4"/>
  <c r="G47" i="4"/>
  <c r="G46" i="4"/>
  <c r="G45" i="4"/>
  <c r="G44" i="4"/>
  <c r="G43" i="4"/>
  <c r="G42" i="4"/>
  <c r="G41" i="4"/>
  <c r="G40" i="4"/>
  <c r="G64" i="4"/>
  <c r="G67" i="4"/>
  <c r="G69" i="4"/>
  <c r="F38" i="4"/>
  <c r="E38" i="4"/>
  <c r="N70" i="4"/>
  <c r="N118" i="4" s="1"/>
  <c r="N48" i="4"/>
  <c r="O70" i="4"/>
  <c r="O118" i="4" s="1"/>
  <c r="O48" i="4"/>
  <c r="D70" i="4"/>
  <c r="D118" i="4" s="1"/>
  <c r="D58" i="4"/>
  <c r="D60" i="4" s="1"/>
  <c r="E18" i="2" l="1"/>
  <c r="I48" i="4"/>
  <c r="I58" i="4" s="1"/>
  <c r="I60" i="4" s="1"/>
  <c r="I117" i="4" s="1"/>
  <c r="J48" i="4"/>
  <c r="J58" i="4" s="1"/>
  <c r="J60" i="4" s="1"/>
  <c r="J117" i="4" s="1"/>
  <c r="K48" i="4"/>
  <c r="K78" i="4" s="1"/>
  <c r="G48" i="4"/>
  <c r="G58" i="4" s="1"/>
  <c r="G60" i="4" s="1"/>
  <c r="G117" i="4" s="1"/>
  <c r="H48" i="4"/>
  <c r="H78" i="4" s="1"/>
  <c r="L48" i="4"/>
  <c r="L78" i="4" s="1"/>
  <c r="M48" i="4"/>
  <c r="M58" i="4" s="1"/>
  <c r="M60" i="4" s="1"/>
  <c r="M117" i="4" s="1"/>
  <c r="I323" i="10"/>
  <c r="I325" i="10" s="1"/>
  <c r="O58" i="4"/>
  <c r="O60" i="4" s="1"/>
  <c r="O117" i="4" s="1"/>
  <c r="O78" i="4"/>
  <c r="N58" i="4"/>
  <c r="N60" i="4" s="1"/>
  <c r="N117" i="4" s="1"/>
  <c r="N78" i="4"/>
  <c r="E57" i="4"/>
  <c r="E66" i="4"/>
  <c r="E47" i="4"/>
  <c r="E46" i="4"/>
  <c r="E45" i="4"/>
  <c r="E44" i="4"/>
  <c r="E43" i="4"/>
  <c r="E42" i="4"/>
  <c r="E41" i="4"/>
  <c r="E40" i="4"/>
  <c r="E64" i="4"/>
  <c r="E67" i="4"/>
  <c r="E69" i="4"/>
  <c r="E65" i="4"/>
  <c r="E68" i="4"/>
  <c r="F57" i="4"/>
  <c r="F66" i="4"/>
  <c r="F47" i="4"/>
  <c r="F46" i="4"/>
  <c r="F45" i="4"/>
  <c r="F44" i="4"/>
  <c r="F43" i="4"/>
  <c r="F42" i="4"/>
  <c r="F41" i="4"/>
  <c r="F40" i="4"/>
  <c r="F64" i="4"/>
  <c r="F67" i="4"/>
  <c r="F69" i="4"/>
  <c r="F65" i="4"/>
  <c r="F68" i="4"/>
  <c r="G70" i="4"/>
  <c r="G118" i="4" s="1"/>
  <c r="G78" i="4"/>
  <c r="H70" i="4"/>
  <c r="H118" i="4" s="1"/>
  <c r="I70" i="4"/>
  <c r="I118" i="4" s="1"/>
  <c r="J70" i="4"/>
  <c r="J118" i="4" s="1"/>
  <c r="K70" i="4"/>
  <c r="K118" i="4" s="1"/>
  <c r="L70" i="4"/>
  <c r="L118" i="4" s="1"/>
  <c r="M70" i="4"/>
  <c r="M118" i="4" s="1"/>
  <c r="D117" i="4"/>
  <c r="D74" i="4"/>
  <c r="D75" i="4"/>
  <c r="D76" i="4"/>
  <c r="D77" i="4"/>
  <c r="L58" i="4" l="1"/>
  <c r="L60" i="4" s="1"/>
  <c r="L117" i="4" s="1"/>
  <c r="K58" i="4"/>
  <c r="K60" i="4" s="1"/>
  <c r="K117" i="4" s="1"/>
  <c r="J78" i="4"/>
  <c r="H58" i="4"/>
  <c r="H60" i="4" s="1"/>
  <c r="H117" i="4" s="1"/>
  <c r="M78" i="4"/>
  <c r="I78" i="4"/>
  <c r="F48" i="4"/>
  <c r="F58" i="4" s="1"/>
  <c r="F60" i="4" s="1"/>
  <c r="F117" i="4" s="1"/>
  <c r="E48" i="4"/>
  <c r="E58" i="4" s="1"/>
  <c r="E60" i="4" s="1"/>
  <c r="E117" i="4" s="1"/>
  <c r="C80" i="14"/>
  <c r="M74" i="4"/>
  <c r="M75" i="4"/>
  <c r="M76" i="4"/>
  <c r="M77" i="4"/>
  <c r="L74" i="4"/>
  <c r="L75" i="4"/>
  <c r="L76" i="4"/>
  <c r="L77" i="4"/>
  <c r="K74" i="4"/>
  <c r="K75" i="4"/>
  <c r="K76" i="4"/>
  <c r="K77" i="4"/>
  <c r="J74" i="4"/>
  <c r="J75" i="4"/>
  <c r="J76" i="4"/>
  <c r="J77" i="4"/>
  <c r="I74" i="4"/>
  <c r="I75" i="4"/>
  <c r="I76" i="4"/>
  <c r="I77" i="4"/>
  <c r="G74" i="4"/>
  <c r="G75" i="4"/>
  <c r="G76" i="4"/>
  <c r="G77" i="4"/>
  <c r="F70" i="4"/>
  <c r="F118" i="4" s="1"/>
  <c r="E70" i="4"/>
  <c r="E118" i="4" s="1"/>
  <c r="N74" i="4"/>
  <c r="N75" i="4"/>
  <c r="N76" i="4"/>
  <c r="N77" i="4"/>
  <c r="O74" i="4"/>
  <c r="O75" i="4"/>
  <c r="O76" i="4"/>
  <c r="O77" i="4"/>
  <c r="D79" i="4"/>
  <c r="H77" i="4" l="1"/>
  <c r="H76" i="4"/>
  <c r="H75" i="4"/>
  <c r="H74" i="4"/>
  <c r="F78" i="4"/>
  <c r="E78" i="4"/>
  <c r="H6" i="8"/>
  <c r="O79" i="4"/>
  <c r="N79" i="4"/>
  <c r="E74" i="4"/>
  <c r="E75" i="4"/>
  <c r="E76" i="4"/>
  <c r="E77" i="4"/>
  <c r="F74" i="4"/>
  <c r="F75" i="4"/>
  <c r="F76" i="4"/>
  <c r="F77" i="4"/>
  <c r="G79" i="4"/>
  <c r="I79" i="4"/>
  <c r="J79" i="4"/>
  <c r="K79" i="4"/>
  <c r="L79" i="4"/>
  <c r="M79" i="4"/>
  <c r="D119" i="4"/>
  <c r="D121" i="4" s="1"/>
  <c r="D84" i="4"/>
  <c r="D86" i="4" s="1"/>
  <c r="H79" i="4" l="1"/>
  <c r="J77" i="26"/>
  <c r="H7" i="3"/>
  <c r="I7" i="3" s="1"/>
  <c r="C82" i="14"/>
  <c r="M84" i="4"/>
  <c r="M86" i="4" s="1"/>
  <c r="M119" i="4"/>
  <c r="M121" i="4" s="1"/>
  <c r="L84" i="4"/>
  <c r="L86" i="4" s="1"/>
  <c r="L119" i="4"/>
  <c r="L121" i="4" s="1"/>
  <c r="H16" i="3" s="1"/>
  <c r="I16" i="3" s="1"/>
  <c r="K84" i="4"/>
  <c r="K86" i="4" s="1"/>
  <c r="K119" i="4"/>
  <c r="K121" i="4" s="1"/>
  <c r="J84" i="4"/>
  <c r="J86" i="4" s="1"/>
  <c r="J119" i="4"/>
  <c r="J121" i="4" s="1"/>
  <c r="I84" i="4"/>
  <c r="I86" i="4" s="1"/>
  <c r="I119" i="4"/>
  <c r="I121" i="4" s="1"/>
  <c r="H17" i="3" s="1"/>
  <c r="I17" i="3" s="1"/>
  <c r="H84" i="4"/>
  <c r="H86" i="4" s="1"/>
  <c r="H119" i="4"/>
  <c r="H121" i="4" s="1"/>
  <c r="G84" i="4"/>
  <c r="G86" i="4" s="1"/>
  <c r="G119" i="4"/>
  <c r="G121" i="4" s="1"/>
  <c r="N84" i="4"/>
  <c r="N86" i="4" s="1"/>
  <c r="N119" i="4"/>
  <c r="N121" i="4" s="1"/>
  <c r="O84" i="4"/>
  <c r="O86" i="4" s="1"/>
  <c r="O119" i="4"/>
  <c r="O121" i="4" s="1"/>
  <c r="F79" i="4"/>
  <c r="E79" i="4"/>
  <c r="L21" i="26" l="1"/>
  <c r="L11" i="26"/>
  <c r="L6" i="26"/>
  <c r="L7" i="26"/>
  <c r="L17" i="26"/>
  <c r="L8" i="26"/>
  <c r="L73" i="26"/>
  <c r="L12" i="26"/>
  <c r="L10" i="26"/>
  <c r="L5" i="26"/>
  <c r="L9" i="26"/>
  <c r="L14" i="26"/>
  <c r="L64" i="26"/>
  <c r="L15" i="26"/>
  <c r="L13" i="26"/>
  <c r="L43" i="26"/>
  <c r="L50" i="26"/>
  <c r="L65" i="26"/>
  <c r="L31" i="26"/>
  <c r="L56" i="26"/>
  <c r="L52" i="26"/>
  <c r="L25" i="26"/>
  <c r="L53" i="26"/>
  <c r="L63" i="26"/>
  <c r="L39" i="26"/>
  <c r="L28" i="26"/>
  <c r="L48" i="26"/>
  <c r="L66" i="26"/>
  <c r="L67" i="26"/>
  <c r="L41" i="26"/>
  <c r="L61" i="26"/>
  <c r="L36" i="26"/>
  <c r="L26" i="26"/>
  <c r="L44" i="26"/>
  <c r="L24" i="26"/>
  <c r="L23" i="26"/>
  <c r="L69" i="26"/>
  <c r="L35" i="26"/>
  <c r="L59" i="26"/>
  <c r="L62" i="26"/>
  <c r="L57" i="26"/>
  <c r="L51" i="26"/>
  <c r="L27" i="26"/>
  <c r="L71" i="26"/>
  <c r="L70" i="26"/>
  <c r="L19" i="26"/>
  <c r="L18" i="26"/>
  <c r="L30" i="26"/>
  <c r="L37" i="26"/>
  <c r="L46" i="26"/>
  <c r="L34" i="26"/>
  <c r="L58" i="26"/>
  <c r="L55" i="26"/>
  <c r="L42" i="26"/>
  <c r="L29" i="26"/>
  <c r="L45" i="26"/>
  <c r="L60" i="26"/>
  <c r="L72" i="26"/>
  <c r="L68" i="26"/>
  <c r="L22" i="26"/>
  <c r="L38" i="26"/>
  <c r="L49" i="26"/>
  <c r="L33" i="26"/>
  <c r="L20" i="26"/>
  <c r="L47" i="26"/>
  <c r="L40" i="26"/>
  <c r="L54" i="26"/>
  <c r="L32" i="26"/>
  <c r="L16" i="26"/>
  <c r="H21" i="3"/>
  <c r="I21" i="3" s="1"/>
  <c r="H20" i="3"/>
  <c r="I20" i="3" s="1"/>
  <c r="H12" i="3"/>
  <c r="I12" i="3" s="1"/>
  <c r="H22" i="3"/>
  <c r="I22" i="3" s="1"/>
  <c r="H9" i="3"/>
  <c r="I9" i="3" s="1"/>
  <c r="H8" i="3"/>
  <c r="I8" i="3" s="1"/>
  <c r="H13" i="3"/>
  <c r="I13" i="3" s="1"/>
  <c r="C78" i="14"/>
  <c r="E84" i="4"/>
  <c r="E86" i="4" s="1"/>
  <c r="E119" i="4"/>
  <c r="E121" i="4" s="1"/>
  <c r="F84" i="4"/>
  <c r="F86" i="4" s="1"/>
  <c r="F119" i="4"/>
  <c r="F121" i="4" s="1"/>
  <c r="H15" i="3" s="1"/>
  <c r="I15" i="3" s="1"/>
  <c r="L76" i="26" l="1"/>
  <c r="H11" i="3"/>
  <c r="I11" i="3" s="1"/>
  <c r="I23" i="3" l="1"/>
  <c r="I33" i="2" l="1"/>
  <c r="I34" i="2" s="1"/>
  <c r="C81" i="14"/>
  <c r="C83" i="14" s="1"/>
  <c r="C77" i="14"/>
  <c r="C79" i="14" s="1"/>
  <c r="C84" i="14" l="1"/>
  <c r="D79" i="14" s="1"/>
  <c r="F74" i="14" s="1"/>
  <c r="F75" i="14" s="1"/>
  <c r="C9" i="13" l="1"/>
  <c r="C17" i="13"/>
  <c r="D83" i="14"/>
  <c r="D84" i="14" s="1"/>
  <c r="D80" i="14"/>
  <c r="D82" i="14"/>
  <c r="D78" i="14"/>
  <c r="D81" i="14"/>
  <c r="D77" i="14"/>
  <c r="B109" i="4" l="1"/>
  <c r="C18" i="13"/>
  <c r="I10" i="8" s="1"/>
  <c r="J10" i="8" s="1"/>
  <c r="F26" i="2" s="1"/>
  <c r="B110" i="4" l="1"/>
  <c r="I8" i="8"/>
  <c r="J8" i="8" s="1"/>
  <c r="F23" i="2" s="1"/>
  <c r="H35" i="2"/>
  <c r="F24" i="2" s="1"/>
  <c r="I6" i="8"/>
  <c r="J6" i="8" s="1"/>
  <c r="F21" i="2" s="1"/>
  <c r="I9" i="8"/>
  <c r="J9" i="8" s="1"/>
  <c r="I7" i="8"/>
  <c r="J7" i="8" s="1"/>
  <c r="F24" i="3" s="1"/>
  <c r="G24" i="3" s="1"/>
  <c r="I327" i="10"/>
  <c r="I329" i="10" s="1"/>
  <c r="F25" i="2" s="1"/>
  <c r="G25" i="2" s="1"/>
  <c r="H25" i="2" s="1"/>
  <c r="G26" i="2"/>
  <c r="H26" i="2" s="1"/>
  <c r="I110" i="4"/>
  <c r="I122" i="4" s="1"/>
  <c r="I123" i="4" s="1"/>
  <c r="G110" i="4"/>
  <c r="G122" i="4" s="1"/>
  <c r="G123" i="4" s="1"/>
  <c r="H110" i="4"/>
  <c r="H122" i="4" s="1"/>
  <c r="H123" i="4" s="1"/>
  <c r="D110" i="4"/>
  <c r="D122" i="4" s="1"/>
  <c r="D123" i="4" s="1"/>
  <c r="O110" i="4"/>
  <c r="O122" i="4" s="1"/>
  <c r="O123" i="4" s="1"/>
  <c r="N110" i="4"/>
  <c r="N122" i="4" s="1"/>
  <c r="N123" i="4" s="1"/>
  <c r="F110" i="4"/>
  <c r="F122" i="4" s="1"/>
  <c r="F123" i="4" s="1"/>
  <c r="J110" i="4"/>
  <c r="J122" i="4" s="1"/>
  <c r="J123" i="4" s="1"/>
  <c r="E110" i="4"/>
  <c r="E122" i="4" s="1"/>
  <c r="E123" i="4" s="1"/>
  <c r="M110" i="4"/>
  <c r="M122" i="4" s="1"/>
  <c r="M123" i="4" s="1"/>
  <c r="K110" i="4"/>
  <c r="K122" i="4" s="1"/>
  <c r="K123" i="4" s="1"/>
  <c r="L110" i="4"/>
  <c r="L122" i="4" s="1"/>
  <c r="L123" i="4" s="1"/>
  <c r="F25" i="3" l="1"/>
  <c r="G25" i="3" s="1"/>
  <c r="I35" i="2"/>
  <c r="I36" i="2" s="1"/>
  <c r="F23" i="3"/>
  <c r="G23" i="3" s="1"/>
  <c r="F22" i="2"/>
  <c r="G22" i="2" s="1"/>
  <c r="H22" i="2" s="1"/>
  <c r="H41" i="2"/>
  <c r="F26" i="3"/>
  <c r="G26" i="3" s="1"/>
  <c r="F19" i="2"/>
  <c r="F21" i="3"/>
  <c r="G21" i="3" s="1"/>
  <c r="F9" i="2"/>
  <c r="F7" i="3"/>
  <c r="G7" i="3" s="1"/>
  <c r="F18" i="2"/>
  <c r="F20" i="3"/>
  <c r="G20" i="3" s="1"/>
  <c r="G24" i="2"/>
  <c r="H24" i="2" s="1"/>
  <c r="G23" i="2"/>
  <c r="H23" i="2" s="1"/>
  <c r="F10" i="2"/>
  <c r="F8" i="3"/>
  <c r="G8" i="3" s="1"/>
  <c r="F15" i="2"/>
  <c r="G13" i="3"/>
  <c r="F20" i="2"/>
  <c r="F22" i="3"/>
  <c r="G22" i="3" s="1"/>
  <c r="F14" i="2"/>
  <c r="G12" i="3"/>
  <c r="F13" i="2"/>
  <c r="G11" i="3"/>
  <c r="F11" i="2"/>
  <c r="F9" i="3"/>
  <c r="G9" i="3" s="1"/>
  <c r="G21" i="2"/>
  <c r="F65" i="2"/>
  <c r="F70" i="2" s="1"/>
  <c r="F72" i="2" s="1"/>
  <c r="G4" i="3" l="1"/>
  <c r="G28" i="3"/>
  <c r="G30" i="3" s="1"/>
  <c r="H21" i="2"/>
  <c r="G14" i="2"/>
  <c r="H14" i="2" s="1"/>
  <c r="G10" i="2"/>
  <c r="H10" i="2" s="1"/>
  <c r="G20" i="2"/>
  <c r="H20" i="2" s="1"/>
  <c r="G11" i="2"/>
  <c r="H11" i="2" s="1"/>
  <c r="G9" i="2"/>
  <c r="G13" i="2"/>
  <c r="H13" i="2" s="1"/>
  <c r="G15" i="2"/>
  <c r="H15" i="2" s="1"/>
  <c r="G18" i="2"/>
  <c r="H18" i="2" s="1"/>
  <c r="G19" i="2"/>
  <c r="H19" i="2" s="1"/>
  <c r="G6" i="2" l="1"/>
  <c r="H9" i="2"/>
  <c r="H6" i="2" s="1"/>
  <c r="I27" i="2" s="1"/>
  <c r="H40" i="2" l="1"/>
  <c r="H42" i="2" s="1"/>
  <c r="N67" i="26" l="1"/>
  <c r="N59" i="26"/>
  <c r="N51" i="26"/>
  <c r="N43" i="26"/>
  <c r="N35" i="26"/>
  <c r="N27" i="26"/>
  <c r="N19" i="26"/>
  <c r="N11" i="26"/>
  <c r="N65" i="26"/>
  <c r="N17" i="26"/>
  <c r="N72" i="26"/>
  <c r="N64" i="26"/>
  <c r="N56" i="26"/>
  <c r="N48" i="26"/>
  <c r="N40" i="26"/>
  <c r="N32" i="26"/>
  <c r="N24" i="26"/>
  <c r="N16" i="26"/>
  <c r="N8" i="26"/>
  <c r="N25" i="26"/>
  <c r="N69" i="26"/>
  <c r="N61" i="26"/>
  <c r="N53" i="26"/>
  <c r="N45" i="26"/>
  <c r="N37" i="26"/>
  <c r="N29" i="26"/>
  <c r="N21" i="26"/>
  <c r="N13" i="26"/>
  <c r="N9" i="26"/>
  <c r="N66" i="26"/>
  <c r="N58" i="26"/>
  <c r="N50" i="26"/>
  <c r="N42" i="26"/>
  <c r="N34" i="26"/>
  <c r="N26" i="26"/>
  <c r="N18" i="26"/>
  <c r="N10" i="26"/>
  <c r="N57" i="26"/>
  <c r="N33" i="26"/>
  <c r="N71" i="26"/>
  <c r="N63" i="26"/>
  <c r="N55" i="26"/>
  <c r="N47" i="26"/>
  <c r="N39" i="26"/>
  <c r="N31" i="26"/>
  <c r="N23" i="26"/>
  <c r="N15" i="26"/>
  <c r="N7" i="26"/>
  <c r="N68" i="26"/>
  <c r="N60" i="26"/>
  <c r="N52" i="26"/>
  <c r="N44" i="26"/>
  <c r="N36" i="26"/>
  <c r="N28" i="26"/>
  <c r="N20" i="26"/>
  <c r="N12" i="26"/>
  <c r="N73" i="26"/>
  <c r="N49" i="26"/>
  <c r="N41" i="26"/>
  <c r="N70" i="26"/>
  <c r="N62" i="26"/>
  <c r="N54" i="26"/>
  <c r="N46" i="26"/>
  <c r="N38" i="26"/>
  <c r="N30" i="26"/>
  <c r="N22" i="26"/>
  <c r="N14" i="26"/>
  <c r="N6" i="26"/>
  <c r="N5" i="26"/>
  <c r="N76" i="26" l="1"/>
</calcChain>
</file>

<file path=xl/sharedStrings.xml><?xml version="1.0" encoding="utf-8"?>
<sst xmlns="http://schemas.openxmlformats.org/spreadsheetml/2006/main" count="2288" uniqueCount="841">
  <si>
    <t>ORIENTAÇÕES DE PREENCHIMENTO</t>
  </si>
  <si>
    <t>Os campos em azul são calculados automaticamente. Não há necessidade de intervenção do orçamentista.</t>
  </si>
  <si>
    <r>
      <t xml:space="preserve">II - </t>
    </r>
    <r>
      <rPr>
        <b/>
        <sz val="11"/>
        <color rgb="FF000000"/>
        <rFont val="Arial"/>
        <family val="2"/>
        <charset val="1"/>
      </rPr>
      <t>Planilha Consolidada</t>
    </r>
    <r>
      <rPr>
        <sz val="11"/>
        <color rgb="FF000000"/>
        <rFont val="Arial"/>
        <family val="2"/>
        <charset val="1"/>
      </rPr>
      <t xml:space="preserve"> - Escolher o Regime de Tributação o qual a empresa pertence. (Desonedada ou Não desonerada) </t>
    </r>
    <r>
      <rPr>
        <b/>
        <sz val="11"/>
        <color rgb="FF000000"/>
        <rFont val="Arial"/>
        <family val="2"/>
      </rPr>
      <t>*Célula H47*</t>
    </r>
  </si>
  <si>
    <r>
      <t xml:space="preserve">Preencher a </t>
    </r>
    <r>
      <rPr>
        <b/>
        <sz val="11"/>
        <color rgb="FF000000"/>
        <rFont val="Arial"/>
        <family val="2"/>
      </rPr>
      <t>Célula H31</t>
    </r>
    <r>
      <rPr>
        <sz val="11"/>
        <color rgb="FF000000"/>
        <rFont val="Arial"/>
        <family val="2"/>
      </rPr>
      <t xml:space="preserve"> com o desconto aplicado pela empresa</t>
    </r>
  </si>
  <si>
    <r>
      <t xml:space="preserve">III - Parcela Fixa </t>
    </r>
    <r>
      <rPr>
        <sz val="11"/>
        <color rgb="FF000000"/>
        <rFont val="Arial"/>
        <family val="2"/>
        <charset val="1"/>
      </rPr>
      <t>- Recomenda não alterar, pois os cálculos são automáticos</t>
    </r>
  </si>
  <si>
    <r>
      <t>III-A - Mão de Obra (CCT)</t>
    </r>
    <r>
      <rPr>
        <sz val="11"/>
        <color rgb="FF000000"/>
        <rFont val="Arial"/>
        <family val="2"/>
        <charset val="1"/>
      </rPr>
      <t xml:space="preserve"> - Recomenda não alterar, pois os cálculos são automáticos.</t>
    </r>
  </si>
  <si>
    <r>
      <t>ABA CCT E VT</t>
    </r>
    <r>
      <rPr>
        <sz val="11"/>
        <color rgb="FF000000"/>
        <rFont val="Arial"/>
        <family val="2"/>
        <charset val="1"/>
      </rPr>
      <t xml:space="preserve"> - Deve-se preencher a </t>
    </r>
    <r>
      <rPr>
        <b/>
        <sz val="11"/>
        <color rgb="FF000000"/>
        <rFont val="Arial"/>
        <family val="2"/>
      </rPr>
      <t>coluna B</t>
    </r>
    <r>
      <rPr>
        <sz val="11"/>
        <color rgb="FF000000"/>
        <rFont val="Arial"/>
        <family val="2"/>
      </rPr>
      <t xml:space="preserve">, com a respectiva lei/CCT adotada pelo licitante, e a coluna </t>
    </r>
    <r>
      <rPr>
        <b/>
        <sz val="11"/>
        <color rgb="FF000000"/>
        <rFont val="Arial"/>
        <family val="2"/>
        <charset val="1"/>
      </rPr>
      <t>D e E com os valores desta Lei/CCT .</t>
    </r>
  </si>
  <si>
    <r>
      <t>III-A.1 - Memorial de Cálculo</t>
    </r>
    <r>
      <rPr>
        <sz val="11"/>
        <color rgb="FF000000"/>
        <rFont val="Arial"/>
        <family val="2"/>
        <charset val="1"/>
      </rPr>
      <t xml:space="preserve"> - Aba com informações mais relevantes da metodologia utilizada para formação do preço referencial da mão de obra. Devendo ser alterada, caso haja alteração nas fórmulas da </t>
    </r>
    <r>
      <rPr>
        <b/>
        <sz val="11"/>
        <color rgb="FF000000"/>
        <rFont val="Arial"/>
        <family val="2"/>
      </rPr>
      <t xml:space="preserve">aba III-A - Mão de Obra (CCT) </t>
    </r>
  </si>
  <si>
    <r>
      <t>III-A.2 - Uniforme, EPI e Equip</t>
    </r>
    <r>
      <rPr>
        <sz val="11"/>
        <color rgb="FF000000"/>
        <rFont val="Arial"/>
        <family val="2"/>
        <charset val="1"/>
      </rPr>
      <t xml:space="preserve"> - Deve-se preencher a </t>
    </r>
    <r>
      <rPr>
        <b/>
        <sz val="11"/>
        <color rgb="FF000000"/>
        <rFont val="Arial"/>
        <family val="2"/>
      </rPr>
      <t>coluna E</t>
    </r>
    <r>
      <rPr>
        <sz val="11"/>
        <color rgb="FF000000"/>
        <rFont val="Arial"/>
        <family val="2"/>
        <charset val="1"/>
      </rPr>
      <t xml:space="preserve"> com o respectivo custo unitário adotado para os EPIs e Ferramentas do profissional relacionado.</t>
    </r>
  </si>
  <si>
    <r>
      <t>III-C - Desloc e Pern</t>
    </r>
    <r>
      <rPr>
        <sz val="11"/>
        <color rgb="FF000000"/>
        <rFont val="Arial"/>
        <family val="2"/>
        <charset val="1"/>
      </rPr>
      <t xml:space="preserve"> - Deve-se preencher a </t>
    </r>
    <r>
      <rPr>
        <b/>
        <sz val="11"/>
        <color rgb="FF000000"/>
        <rFont val="Arial"/>
        <family val="2"/>
      </rPr>
      <t xml:space="preserve">coluna G, </t>
    </r>
    <r>
      <rPr>
        <sz val="11"/>
        <color rgb="FF000000"/>
        <rFont val="Arial"/>
        <family val="2"/>
      </rPr>
      <t xml:space="preserve">com o respectivo custo unitário relacionado ao item da </t>
    </r>
    <r>
      <rPr>
        <b/>
        <sz val="11"/>
        <color rgb="FF000000"/>
        <rFont val="Arial"/>
        <family val="2"/>
      </rPr>
      <t>coluna B</t>
    </r>
  </si>
  <si>
    <r>
      <t xml:space="preserve">Item 01 - Estimativa de Pernoite e Alimentação (Jantar) - </t>
    </r>
    <r>
      <rPr>
        <sz val="11"/>
        <color rgb="FF000000"/>
        <rFont val="Arial"/>
        <family val="2"/>
      </rPr>
      <t>Custo Unitário, para 01 funcionário da empresa, por pernoite na execução dos serviços.</t>
    </r>
  </si>
  <si>
    <r>
      <t xml:space="preserve">Item 02 - Estimativa - Pedágio/Passagem Transporte Fluvial/ Passagem Transporte Aéreo/Balsa - </t>
    </r>
    <r>
      <rPr>
        <sz val="11"/>
        <color rgb="FF000000"/>
        <rFont val="Arial"/>
        <family val="2"/>
      </rPr>
      <t>Custo Unitário (mensal) com 01 funcionário da empresa com pedágio, Transporte Fluvial, Passagem Aéra e Balsa nos deslocamentos para atender os serviços preventivos, corretivos e eventual.</t>
    </r>
  </si>
  <si>
    <r>
      <t>Item 03 - Estimativa de gasto com os deslocamentos dos Veículos da Manutenção Predial. -</t>
    </r>
    <r>
      <rPr>
        <sz val="11"/>
        <color rgb="FF000000"/>
        <rFont val="Arial"/>
        <family val="2"/>
      </rPr>
      <t xml:space="preserve"> Custo Unitário (mensal) com os deslocamentos dos veículos da manutenção predial. (combustível e manutenção do véiculo)</t>
    </r>
    <r>
      <rPr>
        <b/>
        <i/>
        <sz val="11"/>
        <color rgb="FF000000"/>
        <rFont val="Arial"/>
        <family val="2"/>
      </rPr>
      <t>.</t>
    </r>
  </si>
  <si>
    <r>
      <t xml:space="preserve">Item 04 - Estimativa de Gasto pela disponibilidade do Veículo -- </t>
    </r>
    <r>
      <rPr>
        <sz val="11"/>
        <color rgb="FF000000"/>
        <rFont val="Arial"/>
        <family val="2"/>
      </rPr>
      <t>Custo Unitário (mensal) pela</t>
    </r>
    <r>
      <rPr>
        <b/>
        <i/>
        <sz val="11"/>
        <color rgb="FF000000"/>
        <rFont val="Arial"/>
        <family val="2"/>
      </rPr>
      <t xml:space="preserve"> disponibilidade por veículo </t>
    </r>
    <r>
      <rPr>
        <sz val="11"/>
        <color rgb="FF000000"/>
        <rFont val="Arial"/>
        <family val="2"/>
      </rPr>
      <t>para o serviço de manutenção predial.</t>
    </r>
    <r>
      <rPr>
        <b/>
        <i/>
        <sz val="11"/>
        <color rgb="FF000000"/>
        <rFont val="Arial"/>
        <family val="2"/>
      </rPr>
      <t xml:space="preserve"> </t>
    </r>
    <r>
      <rPr>
        <sz val="11"/>
        <color rgb="FF000000"/>
        <rFont val="Arial"/>
        <family val="2"/>
      </rPr>
      <t>(Depreciação, Juros e Impostos)</t>
    </r>
  </si>
  <si>
    <r>
      <t>III-E - Materiais de Consumo</t>
    </r>
    <r>
      <rPr>
        <sz val="11"/>
        <color rgb="FF000000"/>
        <rFont val="Arial"/>
        <family val="2"/>
        <charset val="1"/>
      </rPr>
      <t xml:space="preserve"> - Deve-se preencher a </t>
    </r>
    <r>
      <rPr>
        <b/>
        <sz val="11"/>
        <color rgb="FF000000"/>
        <rFont val="Arial"/>
        <family val="2"/>
      </rPr>
      <t>coluna H</t>
    </r>
    <r>
      <rPr>
        <sz val="11"/>
        <color rgb="FF000000"/>
        <rFont val="Arial"/>
        <family val="2"/>
        <charset val="1"/>
      </rPr>
      <t xml:space="preserve">, com o respectivo custo unitário relacionado ao item da </t>
    </r>
    <r>
      <rPr>
        <b/>
        <sz val="11"/>
        <color rgb="FF000000"/>
        <rFont val="Arial"/>
        <family val="2"/>
      </rPr>
      <t>coluna D</t>
    </r>
  </si>
  <si>
    <r>
      <t>V - BDI</t>
    </r>
    <r>
      <rPr>
        <sz val="11"/>
        <color rgb="FF000000"/>
        <rFont val="Arial"/>
        <family val="2"/>
        <charset val="1"/>
      </rPr>
      <t xml:space="preserve"> - Deve-se preencher os percentuais do BDI</t>
    </r>
    <r>
      <rPr>
        <b/>
        <sz val="11"/>
        <color rgb="FF000000"/>
        <rFont val="Arial"/>
        <family val="2"/>
        <charset val="1"/>
      </rPr>
      <t xml:space="preserve">.  A célula C17 </t>
    </r>
    <r>
      <rPr>
        <sz val="11"/>
        <color rgb="FF000000"/>
        <rFont val="Arial"/>
        <family val="2"/>
      </rPr>
      <t xml:space="preserve">traz a sugestão de ISS para adotar na </t>
    </r>
    <r>
      <rPr>
        <b/>
        <sz val="11"/>
        <color rgb="FF000000"/>
        <rFont val="Arial"/>
        <family val="2"/>
      </rPr>
      <t>Célula C16</t>
    </r>
  </si>
  <si>
    <r>
      <t>V-A - ISS</t>
    </r>
    <r>
      <rPr>
        <sz val="11"/>
        <color rgb="FF000000"/>
        <rFont val="Arial"/>
        <family val="2"/>
        <charset val="1"/>
      </rPr>
      <t xml:space="preserve"> - É apenas para realizar o cálculo do ISS da </t>
    </r>
    <r>
      <rPr>
        <b/>
        <sz val="11"/>
        <color rgb="FF000000"/>
        <rFont val="Arial"/>
        <family val="2"/>
      </rPr>
      <t>célula C17 da aba V - BDI.</t>
    </r>
  </si>
  <si>
    <t>PLANILHA DE CUSTO E FORMAÇÃO DE PREÇO
ESTADO DE RORAIMA - GERÊNCIA EXECUTIVA DE BAV/RR</t>
  </si>
  <si>
    <t>PLANILHA CONSOLIDADA</t>
  </si>
  <si>
    <t>QUADRO RESUMO - SERVIÇOS DE MANUTENÇÃO (EMPREITADA A PREÇO GLOBAL)</t>
  </si>
  <si>
    <t>ITEM 1.1</t>
  </si>
  <si>
    <t>Tipo de Serviço (A)</t>
  </si>
  <si>
    <t>Unidade</t>
  </si>
  <si>
    <t>Quantidade (A)</t>
  </si>
  <si>
    <t>Valor proposto por mês (B)</t>
  </si>
  <si>
    <t>Valor Total  Mensal do Serviço (C) = (A x B)</t>
  </si>
  <si>
    <t>Valor Anual (12 meses de contrato = (Cx12)</t>
  </si>
  <si>
    <t>Obs</t>
  </si>
  <si>
    <t>1.1.1</t>
  </si>
  <si>
    <t>Mão de obra</t>
  </si>
  <si>
    <t>Equipe Técnica de Manutenção</t>
  </si>
  <si>
    <t>POLO BOA VISTA</t>
  </si>
  <si>
    <t>POLO ????? - ADOTADO APENAS 1 POLO EM BAV</t>
  </si>
  <si>
    <t>1.1.2</t>
  </si>
  <si>
    <t>Equipe Técnica Administrativa</t>
  </si>
  <si>
    <t>1.1.2.1</t>
  </si>
  <si>
    <t>posto/mês</t>
  </si>
  <si>
    <t>1.1.2.2</t>
  </si>
  <si>
    <t>1.1.2.3</t>
  </si>
  <si>
    <t>Encarregado de Manutenção – CBO 7102-05 - Jornada 44h</t>
  </si>
  <si>
    <t>Estimativa de Pernoite e Alimentação (Jantar) (Anexo III-C)</t>
  </si>
  <si>
    <t>1.1.3</t>
  </si>
  <si>
    <t>Estimativa de Pedágio e outras Tarifas (Anexo III-C)</t>
  </si>
  <si>
    <t>1.1.4</t>
  </si>
  <si>
    <t>Estimativa - Deslocamento Veículo Manut. Predial.</t>
  </si>
  <si>
    <t>1.1.5</t>
  </si>
  <si>
    <t>Estimativa de Gasto Por Veículo</t>
  </si>
  <si>
    <t>1.1.6</t>
  </si>
  <si>
    <t>Materiais de consumo (Anexo III-E)</t>
  </si>
  <si>
    <t>1.1.7</t>
  </si>
  <si>
    <t>Sistema de Gerenciamento</t>
  </si>
  <si>
    <t>1.1</t>
  </si>
  <si>
    <t>TOTAL ESTIMADO DA PROPOSTA PARA SERVIÇOS DE MANUTENÇÃO (PARCELA FIXA)</t>
  </si>
  <si>
    <t>QUADRO RESUMO - MATERIAIS DE MANUTENÇÃO PREDIAL SOB DEMANDA (EMPREITADA A PREÇO UNITÁRIO)</t>
  </si>
  <si>
    <t>ITEM 1.2</t>
  </si>
  <si>
    <t>VALOR TOTAL ESTIMADO PARA OS MATERIAIS E INSUMOS DE MANUTENÇÃO</t>
  </si>
  <si>
    <t>Ref</t>
  </si>
  <si>
    <t>Descrição</t>
  </si>
  <si>
    <t>%</t>
  </si>
  <si>
    <t>Valor</t>
  </si>
  <si>
    <t>A</t>
  </si>
  <si>
    <t xml:space="preserve">Valor Total Estimado com Material de Insumo e Serviço Eventual para Manutenção Predial (Sem BDI) </t>
  </si>
  <si>
    <t>B</t>
  </si>
  <si>
    <t>(-) Percentual de Desconto sobre a Tabela SINAPI, ofertado pelo licitante, a incidir sobre o montante de custos estimado para materiais  = (% de desconto x 'A')</t>
  </si>
  <si>
    <t>C</t>
  </si>
  <si>
    <t>Valor Total Estimado com Material de Insumo e Serviço Eventual para Manutenção Predial (Com desconto PROPOSTO e Sem BDI)</t>
  </si>
  <si>
    <t>D</t>
  </si>
  <si>
    <t>Valor Total Estimado para Contratação de Material de Consumo para Manutenção Predial (Com desconto e BDI)</t>
  </si>
  <si>
    <t>BDI:</t>
  </si>
  <si>
    <t>1.2</t>
  </si>
  <si>
    <t>TOTAL ESTIMADO DA PROPOSTA PARA MATERIAIS DE MANUTENÇÃO PREDIAL SOB DEMANDA</t>
  </si>
  <si>
    <t>PREÇO GLOBAL</t>
  </si>
  <si>
    <t>VALOR GLOBAL ESTIMADO DA PROPOSTA</t>
  </si>
  <si>
    <t>Ref.</t>
  </si>
  <si>
    <t>Valor (R$)</t>
  </si>
  <si>
    <t>Valor Total estimado dos Serviços de Manutenção Predial (Empreitada a preço Global)</t>
  </si>
  <si>
    <t>Valor Total Estimado com Material de Insumo e Serviço Eventual para Manutenção Predial por DEMANDA (Empreitada a preços unitários)</t>
  </si>
  <si>
    <t>VALOR TOTAL DA PROPOSTA ( 12 meses)</t>
  </si>
  <si>
    <t>LEGENDA</t>
  </si>
  <si>
    <t>Extrair do orçamento de referência elaborado pela CONTRATANTE</t>
  </si>
  <si>
    <t>Valor do desconto ofertado pela LICITANTE</t>
  </si>
  <si>
    <t>Custo do item ofetado pela LICITANTE (sem BDI)</t>
  </si>
  <si>
    <t>Valor do item com o desconto ofertado e BDI da LICITANTE</t>
  </si>
  <si>
    <t>Obs:</t>
  </si>
  <si>
    <t>REGIME DE TRIBUTAÇÃO UTILIZADO</t>
  </si>
  <si>
    <t>DESONERADO</t>
  </si>
  <si>
    <t>Área total contratada (m²)</t>
  </si>
  <si>
    <t>R$/m²xmês</t>
  </si>
  <si>
    <t>ANÁLISE</t>
  </si>
  <si>
    <t>INCC FEV 2022</t>
  </si>
  <si>
    <t>INCC OUT 2019</t>
  </si>
  <si>
    <t>k</t>
  </si>
  <si>
    <t>R$/m²xmês - retroagido para out 2019</t>
  </si>
  <si>
    <t>Referência custo/m²</t>
  </si>
  <si>
    <r>
      <t xml:space="preserve">PLANILHA DE CUSTO E FORMAÇÃO DE PREÇO
</t>
    </r>
    <r>
      <rPr>
        <sz val="8"/>
        <color rgb="FF000000"/>
        <rFont val="Arial"/>
        <family val="2"/>
        <charset val="1"/>
      </rPr>
      <t xml:space="preserve">
</t>
    </r>
    <r>
      <rPr>
        <b/>
        <sz val="10"/>
        <color rgb="FF000000"/>
        <rFont val="Arial"/>
        <family val="2"/>
        <charset val="1"/>
      </rPr>
      <t>III – Planilha estimativa de custos mensais da parcela fixa (item 1.1 – Manutenção Predial)</t>
    </r>
  </si>
  <si>
    <t>CÓDIGO</t>
  </si>
  <si>
    <t>DESCRIÇÃO</t>
  </si>
  <si>
    <t>UNIDADE</t>
  </si>
  <si>
    <t>LOCAL</t>
  </si>
  <si>
    <t>QUANTIDADE</t>
  </si>
  <si>
    <t>VALOR UNITÁRIO
(BDI JÁ INCLUSO)</t>
  </si>
  <si>
    <t>VALOR MENSAL
(BDI JÁ INCLUSO)</t>
  </si>
  <si>
    <r>
      <rPr>
        <b/>
        <sz val="8"/>
        <rFont val="Arial"/>
        <family val="2"/>
        <charset val="1"/>
      </rPr>
      <t xml:space="preserve">Mão de Obra </t>
    </r>
    <r>
      <rPr>
        <b/>
        <sz val="11"/>
        <rFont val="Arial"/>
        <family val="2"/>
        <charset val="1"/>
      </rPr>
      <t>(Anexo III-A)</t>
    </r>
  </si>
  <si>
    <t>1.1.1.1</t>
  </si>
  <si>
    <t>1.1.1.2</t>
  </si>
  <si>
    <t>1.1.1.3</t>
  </si>
  <si>
    <t>POLO ???? - Apenas 1 polo em Boa Vista</t>
  </si>
  <si>
    <t>1.1.1.4</t>
  </si>
  <si>
    <t>Oficial de Manutenção A (Eletricista/Instalador-Reparador de Redes Telefônicas e de comunicação de dados) - CBO 5143-25 - Jornada 44h</t>
  </si>
  <si>
    <t>1.1.1.5</t>
  </si>
  <si>
    <t>Oficial de Manutenção B (Pedreiro/Bombeiro Hidráulico) - CBO 5143-25 - Jornada 44h</t>
  </si>
  <si>
    <t>1.1.1.6</t>
  </si>
  <si>
    <t>Auxiliar de Manutenção Predial - CBO 5143-10 (Qualificação: auxiliar de eletricista/auxiliar hidráulica/auxiliar de pedreiro) – Jornada de 44h semanais</t>
  </si>
  <si>
    <r>
      <rPr>
        <b/>
        <sz val="8"/>
        <color rgb="FF000000"/>
        <rFont val="Arial"/>
        <family val="2"/>
        <charset val="1"/>
      </rPr>
      <t xml:space="preserve">Estimativa de Pernoite e Alimentação (Jantar) </t>
    </r>
    <r>
      <rPr>
        <b/>
        <sz val="11"/>
        <color rgb="FFC9211E"/>
        <rFont val="Arial"/>
        <family val="2"/>
        <charset val="1"/>
      </rPr>
      <t>(Anexo III-C)</t>
    </r>
  </si>
  <si>
    <t>mês</t>
  </si>
  <si>
    <t>1.3</t>
  </si>
  <si>
    <r>
      <rPr>
        <b/>
        <sz val="8"/>
        <color rgb="FF000000"/>
        <rFont val="Arial"/>
        <family val="2"/>
        <charset val="1"/>
      </rPr>
      <t xml:space="preserve">Estimativa de Pedágio e outras Tarifas </t>
    </r>
    <r>
      <rPr>
        <b/>
        <sz val="11"/>
        <color rgb="FFC9211E"/>
        <rFont val="Arial"/>
        <family val="2"/>
        <charset val="1"/>
      </rPr>
      <t>(Anexo III-C)</t>
    </r>
  </si>
  <si>
    <t>1.4</t>
  </si>
  <si>
    <t>1.5</t>
  </si>
  <si>
    <r>
      <rPr>
        <b/>
        <sz val="8"/>
        <color rgb="FF000000"/>
        <rFont val="Arial"/>
        <family val="2"/>
        <charset val="1"/>
      </rPr>
      <t xml:space="preserve">Materiais de consumo </t>
    </r>
    <r>
      <rPr>
        <b/>
        <sz val="11"/>
        <color rgb="FFC9211E"/>
        <rFont val="Arial"/>
        <family val="2"/>
        <charset val="1"/>
      </rPr>
      <t>(Anexo III-E)</t>
    </r>
  </si>
  <si>
    <t>VALOR MENSAL DA PARCELA FIXA – SUBITEM 1.1 – MANUTENÇÃO PREDIAL (BDI JÁ INCLUSO)</t>
  </si>
  <si>
    <r>
      <t xml:space="preserve">PLANILHA DE CUSTO E FORMAÇÃO DE PREÇO
</t>
    </r>
    <r>
      <rPr>
        <sz val="8"/>
        <color rgb="FF000000"/>
        <rFont val="Arial"/>
        <family val="2"/>
        <charset val="1"/>
      </rPr>
      <t xml:space="preserve">
</t>
    </r>
    <r>
      <rPr>
        <b/>
        <sz val="10"/>
        <color rgb="FF000000"/>
        <rFont val="Arial"/>
        <family val="2"/>
        <charset val="1"/>
      </rPr>
      <t xml:space="preserve">III – Planilha estimativa de custos mensais da parcela fixa (item 1.1 – Manutenção Predial)
</t>
    </r>
    <r>
      <rPr>
        <sz val="8"/>
        <color rgb="FF000000"/>
        <rFont val="Arial"/>
        <family val="2"/>
        <charset val="1"/>
      </rPr>
      <t xml:space="preserve">
</t>
    </r>
    <r>
      <rPr>
        <sz val="10"/>
        <color rgb="FF000000"/>
        <rFont val="Arial"/>
        <family val="2"/>
        <charset val="1"/>
      </rPr>
      <t>III-A – Planilha estimativa de custos da Mão de Obra</t>
    </r>
  </si>
  <si>
    <t>Dados CCT DE REFERÊNCIA</t>
  </si>
  <si>
    <t>Número do Registro</t>
  </si>
  <si>
    <t>Termo Aditivo</t>
  </si>
  <si>
    <t>Vigência</t>
  </si>
  <si>
    <t>Data Base</t>
  </si>
  <si>
    <t>Nº da Solicitação</t>
  </si>
  <si>
    <t>CNPJ Sindicato</t>
  </si>
  <si>
    <t xml:space="preserve">Profissionais </t>
  </si>
  <si>
    <t>Extensão Territorial</t>
  </si>
  <si>
    <t>Boa Vista</t>
  </si>
  <si>
    <t>PROFISSIONAL</t>
  </si>
  <si>
    <t>Encarregado de Manutenção – Jornada 44h semanais</t>
  </si>
  <si>
    <t>Local do Posto</t>
  </si>
  <si>
    <t>Boa Vista/RR</t>
  </si>
  <si>
    <t>Apenas posto em BAV</t>
  </si>
  <si>
    <t>NÃO ADOTADO</t>
  </si>
  <si>
    <t>SALÁRIO NORMATIVO DA CATEGORIA</t>
  </si>
  <si>
    <t>CBO</t>
  </si>
  <si>
    <t>5143-25</t>
  </si>
  <si>
    <t xml:space="preserve"> 5143-25</t>
  </si>
  <si>
    <t>5143-10</t>
  </si>
  <si>
    <t>7102-05</t>
  </si>
  <si>
    <t>CONV. COLETIVA</t>
  </si>
  <si>
    <t>NÚMERO</t>
  </si>
  <si>
    <t>VALE REFEIÇÃO / Alimentação</t>
  </si>
  <si>
    <t>Assistência Médica</t>
  </si>
  <si>
    <t>ASSISTÊNCIA ODONTOLÓGICA</t>
  </si>
  <si>
    <t>Outros (Seguro Mensalista / Pariticipação nos lucros)</t>
  </si>
  <si>
    <t>OBSERVAÇÃO</t>
  </si>
  <si>
    <t>MÓDULO 1: COMPOSIÇÃO DA REMUNERAÇÃO</t>
  </si>
  <si>
    <t>1 - Composição da Remuneração</t>
  </si>
  <si>
    <t>Percentuais</t>
  </si>
  <si>
    <t xml:space="preserve">Valor (R$)  </t>
  </si>
  <si>
    <t>A - Salário-Base</t>
  </si>
  <si>
    <t>B - Adicional de Periculosidade</t>
  </si>
  <si>
    <t>C - Adicional de Insalubridade</t>
  </si>
  <si>
    <t>D - Adicional Noturno</t>
  </si>
  <si>
    <t>E - Adicional de Hora Noturna Reduzida</t>
  </si>
  <si>
    <t>F – Outros</t>
  </si>
  <si>
    <t>Total</t>
  </si>
  <si>
    <t>MÓDULO 2: ENCARGOS E BENEFÍCIOS ANUAIS, MENSAIS E DIÁRIOS</t>
  </si>
  <si>
    <t>2.1 - 13º (décimo terceiro) Salário, Férias e Adicional de Férias</t>
  </si>
  <si>
    <t>A - 13º (décimo terceiro) Salário</t>
  </si>
  <si>
    <t>B - Férias e Adicional de Férias</t>
  </si>
  <si>
    <t>Subtotal</t>
  </si>
  <si>
    <t>2.2 - GPS, FGTS e outras contribuições
Incide sobre os Módulos 1 e 2.1</t>
  </si>
  <si>
    <r>
      <rPr>
        <sz val="8"/>
        <color rgb="FF000000"/>
        <rFont val="Arial"/>
        <family val="2"/>
        <charset val="1"/>
      </rPr>
      <t xml:space="preserve">A – INSS
</t>
    </r>
    <r>
      <rPr>
        <sz val="11"/>
        <color rgb="FFC9211E"/>
        <rFont val="Arial"/>
        <family val="2"/>
        <charset val="1"/>
      </rPr>
      <t>20% - Regime Não Desonerado
0% - Regime Desonerado</t>
    </r>
  </si>
  <si>
    <t>B - Salário Educação</t>
  </si>
  <si>
    <r>
      <rPr>
        <sz val="8"/>
        <color rgb="FF000000"/>
        <rFont val="Arial"/>
        <family val="2"/>
        <charset val="1"/>
      </rPr>
      <t xml:space="preserve">C - SAT
</t>
    </r>
    <r>
      <rPr>
        <sz val="11"/>
        <color rgb="FFC9211E"/>
        <rFont val="Arial"/>
        <family val="2"/>
        <charset val="1"/>
      </rPr>
      <t>Utilizar o RAT Ajustado conforme GFIP: RAT x FAP</t>
    </r>
  </si>
  <si>
    <t>D – SESI ou SESC</t>
  </si>
  <si>
    <t>E - SENAI - SENAC</t>
  </si>
  <si>
    <t>F - SEBRAE</t>
  </si>
  <si>
    <t>G - INCRA</t>
  </si>
  <si>
    <t>F - FGTS</t>
  </si>
  <si>
    <t>2.3 - Benefícios Mensais e Diários</t>
  </si>
  <si>
    <t>Valores</t>
  </si>
  <si>
    <t>A – Transporte</t>
  </si>
  <si>
    <t>B – Auxílio-Refeição/Alimentação</t>
  </si>
  <si>
    <t>C – Assistência Médica e Familiar</t>
  </si>
  <si>
    <t>D – Assistência Odontológica</t>
  </si>
  <si>
    <t>E – Outros</t>
  </si>
  <si>
    <t>2 - Encargos e Benefícios Anuais, Mensais e Diários</t>
  </si>
  <si>
    <t>2.2 - GPS, FGTS e outras contribuições</t>
  </si>
  <si>
    <t>MÓDULO 3: PROVISÃO PARA RESCISÃO</t>
  </si>
  <si>
    <t>3 - Provisão para Rescisão</t>
  </si>
  <si>
    <t>A - Aviso Prévio Indenizado</t>
  </si>
  <si>
    <t>B - Incidência do FGTS sobre Aviso Prévio Indenizado</t>
  </si>
  <si>
    <r>
      <rPr>
        <sz val="8"/>
        <color rgb="FF000000"/>
        <rFont val="Arial"/>
        <family val="2"/>
        <charset val="1"/>
      </rPr>
      <t xml:space="preserve">C - Multa do FGTS e contribuições sociais sobre o Aviso Prévio Indenizado
</t>
    </r>
    <r>
      <rPr>
        <sz val="11"/>
        <color rgb="FFC9211E"/>
        <rFont val="Arial"/>
        <family val="2"/>
        <charset val="1"/>
      </rPr>
      <t>Considerando que a multa do FGTS e Contribuição Social incide uma única vez sobre a totalidade dos meses de contrato, independentemente da espécie de Aviso Prévio - trabalhado ou indenizado -, zeramos essa rubrica e aportamos na sua totalidade na alínea “f” deste mesmo módulo</t>
    </r>
  </si>
  <si>
    <r>
      <rPr>
        <sz val="8"/>
        <color rgb="FF000000"/>
        <rFont val="Arial"/>
        <family val="2"/>
        <charset val="1"/>
      </rPr>
      <t xml:space="preserve">D - Aviso Prévio Trabalhado
</t>
    </r>
    <r>
      <rPr>
        <sz val="11"/>
        <color rgb="FFC9211E"/>
        <rFont val="Arial"/>
        <family val="2"/>
        <charset val="1"/>
      </rPr>
      <t>Esta parcela deverá ser reduzida após o primeiro ano da contratação para o percentual máximo de 0,194% (Acórdão 1.186/2017-P)</t>
    </r>
  </si>
  <si>
    <t>E - Incidência de GPS, FGTS e outras contribuições sobre o Aviso Prévio Trabalhado</t>
  </si>
  <si>
    <t>F - Multa do FGTS e contribuição social sobre o Aviso Prévio Trabalhado</t>
  </si>
  <si>
    <t>MÓDULO 4: CUSTO DE REPOSIÇÃO DO PROFISSIONAL AUSENTE</t>
  </si>
  <si>
    <t>4.1 -Substituto nas Ausências Legais</t>
  </si>
  <si>
    <t xml:space="preserve">A – Substituto na cobertura de Férias
</t>
  </si>
  <si>
    <t>B – Substituto na cobertura de Ausências Legais</t>
  </si>
  <si>
    <t>C – Substituto na cobertura de Licença-Paternidade</t>
  </si>
  <si>
    <t>D – Substituto na cobertura de Ausência por acidente de trabalho</t>
  </si>
  <si>
    <t>E – Substituto na cobertura de Afastamento Maternidade</t>
  </si>
  <si>
    <t xml:space="preserve">4.2 - Substituto na Intrajornada  </t>
  </si>
  <si>
    <r>
      <rPr>
        <sz val="8"/>
        <color rgb="FF000000"/>
        <rFont val="Arial"/>
        <family val="2"/>
        <charset val="1"/>
      </rPr>
      <t xml:space="preserve">A – Substituto na cobertura de Intervalo para repouso ou alimentação
</t>
    </r>
    <r>
      <rPr>
        <sz val="11"/>
        <color rgb="FFC9211E"/>
        <rFont val="Arial"/>
        <family val="2"/>
        <charset val="1"/>
      </rPr>
      <t>(Para profissionais 12x36)</t>
    </r>
  </si>
  <si>
    <t>4 - Custo de Reposição do Profissional Ausente</t>
  </si>
  <si>
    <t>4.1 - Ausências Legais</t>
  </si>
  <si>
    <t>4.2 – Intrajornada</t>
  </si>
  <si>
    <t>MÓDULO 5: INSUMOS DIVERSOS</t>
  </si>
  <si>
    <t>5 - Insumos Diversos</t>
  </si>
  <si>
    <r>
      <rPr>
        <sz val="8"/>
        <color rgb="FF000000"/>
        <rFont val="Arial"/>
        <family val="2"/>
        <charset val="1"/>
      </rPr>
      <t xml:space="preserve">A – Uniformes </t>
    </r>
    <r>
      <rPr>
        <sz val="11"/>
        <color rgb="FFC9211E"/>
        <rFont val="Arial"/>
        <family val="2"/>
        <charset val="1"/>
      </rPr>
      <t>(Anexo III-A.2)</t>
    </r>
  </si>
  <si>
    <r>
      <rPr>
        <sz val="8"/>
        <color rgb="FF000000"/>
        <rFont val="Arial"/>
        <family val="2"/>
        <charset val="1"/>
      </rPr>
      <t xml:space="preserve">B – Materiais
</t>
    </r>
    <r>
      <rPr>
        <sz val="11"/>
        <color rgb="FFC9211E"/>
        <rFont val="Arial"/>
        <family val="2"/>
        <charset val="1"/>
      </rPr>
      <t>(Valores considerados separadamente na “Planilha II-E – Materiais de Consumo”)</t>
    </r>
  </si>
  <si>
    <r>
      <rPr>
        <sz val="8"/>
        <color rgb="FF000000"/>
        <rFont val="Arial"/>
        <family val="2"/>
        <charset val="1"/>
      </rPr>
      <t xml:space="preserve">C – Equipamentos </t>
    </r>
    <r>
      <rPr>
        <sz val="11"/>
        <color rgb="FFC9211E"/>
        <rFont val="Arial"/>
        <family val="2"/>
        <charset val="1"/>
      </rPr>
      <t>(Anexo III-A.2)</t>
    </r>
  </si>
  <si>
    <t>MÓDULO 6 - CUSTOS INDIRETOS, TRIBUTOS E LUCRO</t>
  </si>
  <si>
    <t>6 - Custos Indiretos, Tributos e Lucro</t>
  </si>
  <si>
    <t>A - Custos Indiretos</t>
  </si>
  <si>
    <t xml:space="preserve"> A.1 - Administração Central (AC)</t>
  </si>
  <si>
    <t xml:space="preserve"> A.2 - Despesas Financeiras (DF)</t>
  </si>
  <si>
    <t xml:space="preserve"> A.3 - Riscos e Garantias (R)  </t>
  </si>
  <si>
    <t>B - Lucro (L)</t>
  </si>
  <si>
    <t>C - Tributos</t>
  </si>
  <si>
    <t xml:space="preserve"> C.1 - Tributos Federais (PIS e COFINS)</t>
  </si>
  <si>
    <t xml:space="preserve">  C.1.1 - PIS</t>
  </si>
  <si>
    <t xml:space="preserve">  C.1.2 - COFINS</t>
  </si>
  <si>
    <r>
      <rPr>
        <sz val="8"/>
        <color rgb="FF000000"/>
        <rFont val="Arial"/>
        <family val="2"/>
        <charset val="1"/>
      </rPr>
      <t xml:space="preserve">C.1.3 – CPRB
</t>
    </r>
    <r>
      <rPr>
        <sz val="11"/>
        <color rgb="FFC9211E"/>
        <rFont val="Arial"/>
        <family val="2"/>
        <charset val="1"/>
      </rPr>
      <t>0% - Regime Onerado
4,5% - Regime Desonerado</t>
    </r>
  </si>
  <si>
    <t xml:space="preserve"> C.2 - Tributos Estaduais</t>
  </si>
  <si>
    <t xml:space="preserve"> C.3 - Tributos Municipais</t>
  </si>
  <si>
    <t xml:space="preserve">  C.3.1 - ISS</t>
  </si>
  <si>
    <r>
      <rPr>
        <sz val="8"/>
        <color rgb="FF000000"/>
        <rFont val="Arial"/>
        <family val="2"/>
        <charset val="1"/>
      </rPr>
      <t xml:space="preserve">TOTAL MÓDULO 6 - CUSTOS INDIRETOS, TRIBUTOS E LUCRO
</t>
    </r>
    <r>
      <rPr>
        <sz val="11"/>
        <color rgb="FFC9211E"/>
        <rFont val="Arial"/>
        <family val="2"/>
        <charset val="1"/>
      </rPr>
      <t>Os índices utilizados nesse Submódulo e a metodologia de cálculo são equivalentes ao do BDI utilizado (“Anexo V – BDI”)</t>
    </r>
  </si>
  <si>
    <t>QUADRO RESUMO DO CUSTO MENSAL POR POSTO</t>
  </si>
  <si>
    <r>
      <rPr>
        <sz val="8"/>
        <color rgb="FF000000"/>
        <rFont val="Arial"/>
        <family val="2"/>
        <charset val="1"/>
      </rPr>
      <t xml:space="preserve">SUB-TOTAL MÓDULOS 1 + 2 + 3 + 4 + 5 </t>
    </r>
    <r>
      <rPr>
        <sz val="11"/>
        <color rgb="FFC9211E"/>
        <rFont val="Arial"/>
        <family val="2"/>
        <charset val="1"/>
      </rPr>
      <t>(CUSTO)</t>
    </r>
  </si>
  <si>
    <t>TOTAL MÓDULO 6 - CUSTOS INDIRETOS, TRIBUTOS E LUCRO</t>
  </si>
  <si>
    <t>VALOR TOTAL POR EMPREGADO</t>
  </si>
  <si>
    <r>
      <rPr>
        <b/>
        <sz val="11"/>
        <color rgb="FF000000"/>
        <rFont val="Arial"/>
        <family val="2"/>
      </rPr>
      <t xml:space="preserve">PLANILHA DE CUSTO E FORMAÇÃO DE PREÇO
</t>
    </r>
    <r>
      <rPr>
        <sz val="10"/>
        <color rgb="FF000000"/>
        <rFont val="Arial"/>
        <family val="2"/>
      </rPr>
      <t xml:space="preserve">
</t>
    </r>
    <r>
      <rPr>
        <b/>
        <sz val="11"/>
        <color rgb="FF000000"/>
        <rFont val="Arial"/>
        <family val="2"/>
      </rPr>
      <t xml:space="preserve">III – Planilha Resumo com os principais valores da mão de Obra
</t>
    </r>
    <r>
      <rPr>
        <sz val="10"/>
        <color rgb="FF000000"/>
        <rFont val="Arial"/>
        <family val="2"/>
      </rPr>
      <t xml:space="preserve">
III-A – Planilha estimativa de custos da mão de obra</t>
    </r>
  </si>
  <si>
    <t>Profissional</t>
  </si>
  <si>
    <t>CCT</t>
  </si>
  <si>
    <t>Local</t>
  </si>
  <si>
    <r>
      <rPr>
        <sz val="11"/>
        <color rgb="FFFF0000"/>
        <rFont val="Arial"/>
        <family val="2"/>
      </rPr>
      <t xml:space="preserve">Oficial de Manutenção Predial I </t>
    </r>
    <r>
      <rPr>
        <sz val="11"/>
        <color rgb="FF000000"/>
        <rFont val="Arial"/>
        <family val="2"/>
        <charset val="1"/>
      </rPr>
      <t>(Eletricista/Instalador-Reparador de Reders Telefônicas e de comunicação de dados) - CBO 5143-25 – Jornada 44h semanais</t>
    </r>
  </si>
  <si>
    <r>
      <rPr>
        <sz val="11"/>
        <color rgb="FFFF0000"/>
        <rFont val="Arial"/>
        <family val="2"/>
      </rPr>
      <t xml:space="preserve">Oficial de Manutenção Predial II </t>
    </r>
    <r>
      <rPr>
        <sz val="11"/>
        <color rgb="FF000000"/>
        <rFont val="Arial"/>
        <family val="2"/>
        <charset val="1"/>
      </rPr>
      <t xml:space="preserve"> (Pedreiro/Bombeiro Hidráulico) - CBO 5143-25 – Jornada 44h semanais</t>
    </r>
  </si>
  <si>
    <r>
      <rPr>
        <sz val="11"/>
        <color rgb="FFFF0000"/>
        <rFont val="Arial"/>
        <family val="2"/>
      </rPr>
      <t xml:space="preserve">Auxiliar de Manutenção Predial </t>
    </r>
    <r>
      <rPr>
        <sz val="11"/>
        <color rgb="FF000000"/>
        <rFont val="Arial"/>
        <family val="2"/>
        <charset val="1"/>
      </rPr>
      <t>- auxiliar de eletricista/auxiliar hidráulica/auxiliar de pedreiro) - CBO 5143-10 – Jornada de 44h semanais</t>
    </r>
  </si>
  <si>
    <t>Engenheiro Civil - Jornada 30h semanais</t>
  </si>
  <si>
    <t>Engenheiro Eletricista - Jornada 30h semanais</t>
  </si>
  <si>
    <t>VALE TRANSPORTE</t>
  </si>
  <si>
    <t>Tipo de Transporte</t>
  </si>
  <si>
    <t>LEI</t>
  </si>
  <si>
    <t>Tarifa de Onibus</t>
  </si>
  <si>
    <t>BOA VISTA</t>
  </si>
  <si>
    <t>ALIMENTAÇÃO</t>
  </si>
  <si>
    <t xml:space="preserve">Tipo </t>
  </si>
  <si>
    <t>EMBASAMENTO</t>
  </si>
  <si>
    <t>Vale Refeição / Café da manhã</t>
  </si>
  <si>
    <t>Outros (Cesta básica)</t>
  </si>
  <si>
    <t>SEGUROS</t>
  </si>
  <si>
    <t>SINAPI ( INSUMO Codigo)</t>
  </si>
  <si>
    <t>Seguro de Vida</t>
  </si>
  <si>
    <t>Participação nos Lucros</t>
  </si>
  <si>
    <r>
      <t xml:space="preserve">PLANILHA DE CUSTO E FORMAÇÃO DE PREÇO
</t>
    </r>
    <r>
      <rPr>
        <sz val="10"/>
        <color rgb="FF000000"/>
        <rFont val="Arial"/>
        <family val="2"/>
        <charset val="1"/>
      </rPr>
      <t xml:space="preserve">
</t>
    </r>
    <r>
      <rPr>
        <b/>
        <sz val="11"/>
        <color rgb="FF000000"/>
        <rFont val="Arial"/>
        <family val="2"/>
        <charset val="1"/>
      </rPr>
      <t xml:space="preserve">III – Planilha estimativa de custos mensais da parcela fixa (item 1.1 – Manutenção Predial)
</t>
    </r>
    <r>
      <rPr>
        <sz val="10"/>
        <color rgb="FF000000"/>
        <rFont val="Arial"/>
        <family val="2"/>
        <charset val="1"/>
      </rPr>
      <t xml:space="preserve">
III-A – Planilha estimativa de custos da mão de obra
III-A.1 – Memorial de Cálculo</t>
    </r>
  </si>
  <si>
    <t>Nas tabelas abaixo estão inseridas as informações mais relevantes da metodologia utilizada para formação do preço referencial</t>
  </si>
  <si>
    <t>GERAL</t>
  </si>
  <si>
    <t>Dias efetivamente trabalhos (Jornada 44h)</t>
  </si>
  <si>
    <t>Salário Mínimo</t>
  </si>
  <si>
    <t>DESCONTOS</t>
  </si>
  <si>
    <t>Vale Transporte  (DECRETO Nº 10.854, DE 10 DE NOVEMBRO DE 2021)</t>
  </si>
  <si>
    <t>FÉRIAS E ADICIONAL DE FÉRIAS</t>
  </si>
  <si>
    <t>Para das férias e do adicional de férias considerou-se 5 anos de contrato com gozo de 4 férias.</t>
  </si>
  <si>
    <t>RAT / FAT / SAT</t>
  </si>
  <si>
    <t>Seguro de Acidente do Trabalho</t>
  </si>
  <si>
    <t>Fator de Acidente do Trabalho</t>
  </si>
  <si>
    <t>AVISO PRÉVIO INDENIZADO</t>
  </si>
  <si>
    <t>Proporção estimada dos empregados demitidos com Aviso Prévio Indenizado, no período de 12 meses, durante a vigência do contrato</t>
  </si>
  <si>
    <t>Aviso prévio indenizado</t>
  </si>
  <si>
    <t>1/12 x 5%</t>
  </si>
  <si>
    <t>[ (100% / 30) x 7] / 12 = 1,94%</t>
  </si>
  <si>
    <t>Aviso Prévio Trabalhado de acordo com Acórdão TCU 1186/2017-Plenário</t>
  </si>
  <si>
    <t>Foi considerado que 100% dos empregados seriam demitidos com Aviso Prévio Trabalhado ao final do contrato.</t>
  </si>
  <si>
    <t>MULTA DO FGTS</t>
  </si>
  <si>
    <t>0,08 x 0,4 x 0,9 x (1 + 5/56 + 5/56 + 1/3 * 5/56) = 3,48%.</t>
  </si>
  <si>
    <t>Foi considerado que 10% dos empregados pedem as contas.</t>
  </si>
  <si>
    <t>AUSÊNCIA LEGAIS (DIVERSAS)</t>
  </si>
  <si>
    <t>4,8860 / 30,4375  / 12 = 1,34%</t>
  </si>
  <si>
    <t>Estimativa de dias por mês</t>
  </si>
  <si>
    <t>Ausência justificada</t>
  </si>
  <si>
    <t>Afastamento por doença</t>
  </si>
  <si>
    <t>Consulta médica filho</t>
  </si>
  <si>
    <t>Óbitos na família</t>
  </si>
  <si>
    <t>Casamento</t>
  </si>
  <si>
    <t>Doação de sangue</t>
  </si>
  <si>
    <t>Testemunho</t>
  </si>
  <si>
    <t>Consulta pré-natal</t>
  </si>
  <si>
    <t>Média total de faltas legais por ano</t>
  </si>
  <si>
    <t>LICENÇA PATERNIDADE</t>
  </si>
  <si>
    <t>5/30,4375/12*1,5%*100% = 0,02%</t>
  </si>
  <si>
    <t>Percentual de Homens (Estimativa com base no histórico observado)</t>
  </si>
  <si>
    <t>Expectativa anual de nascimento de filhos dos trabalhadores (IBGE)</t>
  </si>
  <si>
    <t>AUSÊNCIA POR ACIDENTE DO TRABALHO</t>
  </si>
  <si>
    <t>0,9545/30,4375/12 = 0,26%</t>
  </si>
  <si>
    <t>Média de faltas anuais por acidente de trabalho</t>
  </si>
  <si>
    <t>LICENÇA MATERNIDADE</t>
  </si>
  <si>
    <t>Percentual de Mulheres (Estimativa com base no histórico observado)</t>
  </si>
  <si>
    <t>Expectativa mensal Afastamento Maternidade(Censo IBGE)</t>
  </si>
  <si>
    <t>MÓDULO 5 – INSUMOS DIVERSOS</t>
  </si>
  <si>
    <t>Foram considerados para mão de obra os custos estimativos a Uniformes, EPI e ferramentas e equipamentos comuns da atividade.</t>
  </si>
  <si>
    <t>Os materiais de consumo usualmente utilizados na Manutenção foram considerados em planilhas específicas, que compõem o custo estimado da Parcela Fixa (Planilha III - E)</t>
  </si>
  <si>
    <t>Para padronização dos valores a serem utilizados e ainda em cumprimento ao Anexo VII-D da Instrução Normativa nº 5, foram utilizados os mesmos parâmetros considerados no dimensionamento do BDI, bem como a fórmula de cálculo.
Dessa forma, o cálculo dos custos indiretos, tributos e lucros foi assim calculado:
Módulo 6 = (Médulo 1 + Módulo 2 + Módulo 3 + Módulo 4 + Módulo 5) x BDI</t>
  </si>
  <si>
    <r>
      <t xml:space="preserve">PLANILHA DE CUSTO E FORMAÇÃO DE PREÇO
</t>
    </r>
    <r>
      <rPr>
        <sz val="8"/>
        <color rgb="FF000000"/>
        <rFont val="Arial"/>
        <family val="2"/>
        <charset val="1"/>
      </rPr>
      <t xml:space="preserve">
</t>
    </r>
    <r>
      <rPr>
        <b/>
        <sz val="10"/>
        <color rgb="FF000000"/>
        <rFont val="Arial"/>
        <family val="2"/>
        <charset val="1"/>
      </rPr>
      <t xml:space="preserve">III – Planilha estimativa de custos mensais da parcela fixa (item 1.1 – Manutenção Predial)
</t>
    </r>
    <r>
      <rPr>
        <sz val="8"/>
        <color rgb="FF000000"/>
        <rFont val="Arial"/>
        <family val="2"/>
        <charset val="1"/>
      </rPr>
      <t xml:space="preserve">
</t>
    </r>
    <r>
      <rPr>
        <sz val="10"/>
        <color rgb="FF000000"/>
        <rFont val="Arial"/>
        <family val="2"/>
        <charset val="1"/>
      </rPr>
      <t xml:space="preserve">III-A – Planilha estimativa de custos da mão de obra
</t>
    </r>
    <r>
      <rPr>
        <sz val="8"/>
        <color rgb="FF000000"/>
        <rFont val="Arial"/>
        <family val="2"/>
        <charset val="1"/>
      </rPr>
      <t xml:space="preserve">
</t>
    </r>
    <r>
      <rPr>
        <sz val="10"/>
        <color rgb="FF000000"/>
        <rFont val="Arial"/>
        <family val="2"/>
        <charset val="1"/>
      </rPr>
      <t>III-A.2 – Uniforme, EPI e Equipamentos</t>
    </r>
  </si>
  <si>
    <t>UNIFORMES E EPI</t>
  </si>
  <si>
    <t>OFICIAL DE MANUTENÇÃO A (ELETRICISTA/INSTALADOR-REPARADOR DE REDES TELEFÔNICAS E DE COMUNICAÇÃO DE DADOS) – CBO 5143-25</t>
  </si>
  <si>
    <t>BASE</t>
  </si>
  <si>
    <t>CUSTO UNITÁRIO
(R$)</t>
  </si>
  <si>
    <t>SINAPI</t>
  </si>
  <si>
    <t>EPI - FAMILIA ELETRICISTA - MENSALISTA (ENCARGOS COMPLEMENTARES - COLETADO CAIXA)</t>
  </si>
  <si>
    <t>MÊS</t>
  </si>
  <si>
    <t>OFICIAL DE MANUTENÇÃO B (PEDREIRO/BOMBEIRO HIDRÁULICO) – CBO 5143-25</t>
  </si>
  <si>
    <t>EPI - FAMILIA PEDREIRO - MENSALISTA (ENCARGOS COMPLEMENTARES - COLETADO CAIXA)</t>
  </si>
  <si>
    <t>AJUDANTE DE ELETRICISTA/INSTALADOR-REPARADOR DE REDES TELEFÔNICAS E DE COMUNICAÇÃO DE DADOS – CBO 7156-15</t>
  </si>
  <si>
    <t>EPI - FAMILIA ENGENHEIRO CIVIL - MENSALISTA (ENCARGOS COMPLEMENTARES - COLETADO CAIXA)</t>
  </si>
  <si>
    <t>MES</t>
  </si>
  <si>
    <t>ENCARREGADO DE MANUTENÇÃO – CBO 7102-05</t>
  </si>
  <si>
    <t>EPI - FAMILIA ENCARREGADO GERAL - HORISTA (ENCARGOS COMPLEMENTARES - COLETADO CAIXA)</t>
  </si>
  <si>
    <t>FERRAMENTAS</t>
  </si>
  <si>
    <t>OFICIAL DE MANUTENÇÃO PREDIAL I (ELETRICISTA/INSTALADOR-REPARADOR DE REDES TELEFÔNICAS E DE COMUNICAÇÃO DE DADOS) – CBO 5143-25</t>
  </si>
  <si>
    <t>FERRAMENTAS - FAMILIA ELETRICISTA - MENSALISTA (ENCARGOS COMPLEMENTARES - COLETADO CAIXA)</t>
  </si>
  <si>
    <t>OFICIAL DE MANUTENÇÃO PREDIAL II (PEDREIRO/BOMBEIRO HIDRÁULICO) – CBO 5143-25</t>
  </si>
  <si>
    <t>REF.</t>
  </si>
  <si>
    <t>UNID</t>
  </si>
  <si>
    <t>FERRAMENTAS - FAMILIA PEDREIRO - MENSALISTA (ENCARGOS COMPLEMENTARES - COLETADO CAIXA)</t>
  </si>
  <si>
    <t>AXILIAR DE MANUTENÇÃO PREDIAL – CBO 5143-10</t>
  </si>
  <si>
    <t>FERRAMENTAS - FAMILIA ENGENHEIRO CIVIL - MENSALISTA (ENCARGOS COMPLEMENTARES - COLETADO CAIXA)</t>
  </si>
  <si>
    <t>FERRAMENTAS - FAMILIA ENCARREGADO GERAL - HORISTA (ENCARGOS COMPLEMENTARES - COLETADO CAIXA)</t>
  </si>
  <si>
    <t>Duração do Atendimento (Dias/ Visita)</t>
  </si>
  <si>
    <t>TOTAL</t>
  </si>
  <si>
    <t>ITEM</t>
  </si>
  <si>
    <t>ÁREA (M²)</t>
  </si>
  <si>
    <t>ROTA DE MANUTENÇÃO PREVENTIVA</t>
  </si>
  <si>
    <t>CUSTO UNITÁRIO</t>
  </si>
  <si>
    <t>ROTA</t>
  </si>
  <si>
    <t>UNIDADE ADMINISTRATIVA</t>
  </si>
  <si>
    <t>INDICAÇÃO DA ROTA (O: ORIGEM; N: NOVA ROTA; C: CONTINUAÇÃO DA ROTA; F: FIM DA ROTA)</t>
  </si>
  <si>
    <t>Km - Distância de Deslocamento Mensal (PREVENTIVA)</t>
  </si>
  <si>
    <t>TEMPO DE DESLOCAMENTO (HORAS) - (IDA E VOLTA)</t>
  </si>
  <si>
    <t>TEMPO DE DESLOCAMENTO (DIA DE SERVIÇO)</t>
  </si>
  <si>
    <t>DURAÇÃO (TOTAL DIAS)</t>
  </si>
  <si>
    <t>Necessidade de Pernoitar</t>
  </si>
  <si>
    <t>Diárias/ Pernoites</t>
  </si>
  <si>
    <t>Pedágio/Passagem Transporte Fluvial/ Passagem Transporte Aéreo/Balsa</t>
  </si>
  <si>
    <t>O</t>
  </si>
  <si>
    <t>NÃO</t>
  </si>
  <si>
    <t>Terrestre</t>
  </si>
  <si>
    <t>H</t>
  </si>
  <si>
    <t>N</t>
  </si>
  <si>
    <t>F</t>
  </si>
  <si>
    <t>APS Rorainópolis</t>
  </si>
  <si>
    <t>SIM</t>
  </si>
  <si>
    <t>DISCRIMINAÇÃO</t>
  </si>
  <si>
    <t>Estimativa de gasto com os deslocamentos dos Veículos da Manutenção Predial.</t>
  </si>
  <si>
    <t>BANCO DE DADOS</t>
  </si>
  <si>
    <t>CM</t>
  </si>
  <si>
    <t>UN</t>
  </si>
  <si>
    <t>RESUMO DAS ESTIMATIVAS DE DESLOCAMENTOS E DIÁRIAS</t>
  </si>
  <si>
    <t>QUANTIDADE
(MENSAL)</t>
  </si>
  <si>
    <t>CUSTO TOTAL
(MENSAL)</t>
  </si>
  <si>
    <t>BDI</t>
  </si>
  <si>
    <t>VALOR TOTAL MENSAL</t>
  </si>
  <si>
    <t>01</t>
  </si>
  <si>
    <t>Estimativa de Pernoite e Alimentação (Jantar)</t>
  </si>
  <si>
    <t>02</t>
  </si>
  <si>
    <t>Estimativa - Pedágio/Passagem Transporte Fluvial/ Passagem Transporte Aéreo/Balsa</t>
  </si>
  <si>
    <t>03</t>
  </si>
  <si>
    <t>04</t>
  </si>
  <si>
    <t>Estimativa de Gasto por Veículo</t>
  </si>
  <si>
    <t>UND</t>
  </si>
  <si>
    <t>03.CHOR.CAUX.391/01</t>
  </si>
  <si>
    <t>INSUMO</t>
  </si>
  <si>
    <t>03.CHOR.CAUX.392/01</t>
  </si>
  <si>
    <t>03.CHOR.CAUX.393/01</t>
  </si>
  <si>
    <t>03.CHOR.CAUX.394/01</t>
  </si>
  <si>
    <t>03.CHOR.CAUX.395/01</t>
  </si>
  <si>
    <t>DESLOCAMENTOS</t>
  </si>
  <si>
    <t xml:space="preserve">ORIGEM </t>
  </si>
  <si>
    <t>FIM</t>
  </si>
  <si>
    <t>Distância (km)</t>
  </si>
  <si>
    <t>TEMPO (horas)</t>
  </si>
  <si>
    <t>VELOCIDADE MÉDIA (km/h)</t>
  </si>
  <si>
    <t>Forma</t>
  </si>
  <si>
    <t>Pedágio (R$)</t>
  </si>
  <si>
    <t>NECESSIDADE DE PERNOITE</t>
  </si>
  <si>
    <t>APS Miracema</t>
  </si>
  <si>
    <t>GEX PALMAS</t>
  </si>
  <si>
    <t>APS MIRACEMA</t>
  </si>
  <si>
    <t>TERRESTRE</t>
  </si>
  <si>
    <t>Não</t>
  </si>
  <si>
    <t>TOTALIZAÇÃO</t>
  </si>
  <si>
    <t>APS Paraíso</t>
  </si>
  <si>
    <t>APS PARAÍSO</t>
  </si>
  <si>
    <t>APS Porto Nacional</t>
  </si>
  <si>
    <t>APS PORTO NACIONAL</t>
  </si>
  <si>
    <t>APS Arraias</t>
  </si>
  <si>
    <t>APS ARRAIAS</t>
  </si>
  <si>
    <t>APS Dianópolis</t>
  </si>
  <si>
    <t>APS DIANÓPOLIS</t>
  </si>
  <si>
    <t>APS Guaraí</t>
  </si>
  <si>
    <t>APS ARAGUAÍNA</t>
  </si>
  <si>
    <t>APS GUARAÍ</t>
  </si>
  <si>
    <t>APS Colinas</t>
  </si>
  <si>
    <t>APS COLINAS</t>
  </si>
  <si>
    <t>APS Arapoema</t>
  </si>
  <si>
    <t>APS ARAPOEMA</t>
  </si>
  <si>
    <t>APS Araguatins</t>
  </si>
  <si>
    <t>APS ARAGUATINS</t>
  </si>
  <si>
    <t>APS Tocantinópolis</t>
  </si>
  <si>
    <t>APS TOCANTINÓPOLIS</t>
  </si>
  <si>
    <t>APS Gurupi</t>
  </si>
  <si>
    <t>APS GURUPI</t>
  </si>
  <si>
    <t>MANUTENÇÃO PREVENTIVA - FATORES DE AJUSTE VALORES DE DESLOCAMENTOS POR INEXECUÇÃO DAS VISTORIAS PROGRAMADAS</t>
  </si>
  <si>
    <t>DADOS DO DESLOCAMENTO</t>
  </si>
  <si>
    <t>FATOR DE PARTICIPAÇÃO NO CUSTO - K</t>
  </si>
  <si>
    <t xml:space="preserve"> Kdp (Diárias/Pernoites)</t>
  </si>
  <si>
    <t>Kpp (Pedágio/Passagens)</t>
  </si>
  <si>
    <t>Kgv       (gasto com mautenção e operação deveículos)</t>
  </si>
  <si>
    <t>Total Km:</t>
  </si>
  <si>
    <t>Total (H):</t>
  </si>
  <si>
    <t>Nº de pernoites:</t>
  </si>
  <si>
    <t>Total de deslocamento terrestre (H):</t>
  </si>
  <si>
    <t>Custo de Passagens e tarifas:</t>
  </si>
  <si>
    <t>CÁLCULO DA GLOSA - PARCELAS DE DESLOCAMENTO</t>
  </si>
  <si>
    <t> </t>
  </si>
  <si>
    <t>1 . Premissas</t>
  </si>
  <si>
    <t>1.1  A glosa será feira por unidade não vistoriada, segundo o número de técnicos faltantes ou visitas não realizadas</t>
  </si>
  <si>
    <t>1.2 O Padrão adotado é de uma equipe mínima com 3 técnicos para cada inspeção preventiva</t>
  </si>
  <si>
    <t>2. Parâmetros:</t>
  </si>
  <si>
    <t>Nta:</t>
  </si>
  <si>
    <t>Número de técnicos ausentes</t>
  </si>
  <si>
    <t>Kdp:</t>
  </si>
  <si>
    <t>Fator de ajuste para diárias e pernoites</t>
  </si>
  <si>
    <t>Kpp:</t>
  </si>
  <si>
    <t>Fator de ajuste para passagens e pedágios</t>
  </si>
  <si>
    <t>Kgv:</t>
  </si>
  <si>
    <t>Fator de ajuste para gastos com veículos (despesas de manutenção e operação de veículos)</t>
  </si>
  <si>
    <t>Os Fatores de ajuste variam de acordo com as condições de cada unidade.</t>
  </si>
  <si>
    <t>3. Formulação (Cálculo para cada imóvel com inconsistência na vistoria preventiva):</t>
  </si>
  <si>
    <t>Pernoite e Alimentação (Jantar):</t>
  </si>
  <si>
    <r>
      <t xml:space="preserve">(Nta/3) x Kdp x </t>
    </r>
    <r>
      <rPr>
        <b/>
        <sz val="8"/>
        <color rgb="FF000000"/>
        <rFont val="Arial"/>
        <family val="2"/>
      </rPr>
      <t>R$ TOTAL (MENSAL)</t>
    </r>
    <r>
      <rPr>
        <sz val="8"/>
        <color rgb="FF000000"/>
        <rFont val="Arial"/>
        <family val="2"/>
        <charset val="1"/>
      </rPr>
      <t xml:space="preserve"> item 1.1.2 da planilha II-Planilha Consolidada do contrato</t>
    </r>
  </si>
  <si>
    <t>Pedágio/Passagem:</t>
  </si>
  <si>
    <r>
      <t xml:space="preserve">(Nta/3) x Kpp x </t>
    </r>
    <r>
      <rPr>
        <b/>
        <sz val="8"/>
        <color rgb="FF000000"/>
        <rFont val="Arial"/>
        <family val="2"/>
      </rPr>
      <t>R$ TOTAL (MENSAL)</t>
    </r>
    <r>
      <rPr>
        <sz val="8"/>
        <color rgb="FF000000"/>
        <rFont val="Arial"/>
        <family val="2"/>
        <charset val="1"/>
      </rPr>
      <t xml:space="preserve"> 1.1.3 da planilha II-Planilha Consolidada do contrato</t>
    </r>
  </si>
  <si>
    <t>Manutenção e operação veículo:</t>
  </si>
  <si>
    <r>
      <t xml:space="preserve">Kgv x </t>
    </r>
    <r>
      <rPr>
        <b/>
        <sz val="8"/>
        <color rgb="FF000000"/>
        <rFont val="Arial"/>
        <family val="2"/>
      </rPr>
      <t xml:space="preserve">R$ TOTAL </t>
    </r>
    <r>
      <rPr>
        <sz val="8"/>
        <color rgb="FF000000"/>
        <rFont val="Arial"/>
        <family val="2"/>
      </rPr>
      <t>(MENSAL) item 1.1.4 da planilha II-Planilha Consolidada do contrato(Os deslocamentos em  Boa Vista não serão objeto de ajuste)</t>
    </r>
  </si>
  <si>
    <t>OBSERVAÇÃO:</t>
  </si>
  <si>
    <t>A aplicação dos ajustes, não substitui a aplicação das sanções cabíveis pela inexecução dos serviços na forma adequada.</t>
  </si>
  <si>
    <r>
      <t xml:space="preserve">PLANILHA DE CUSTO E FORMAÇÃO DE PREÇO
III – Planilha estimativa de custos mensais da parcela fixa (item 1.1 – Manutenção Predial)
</t>
    </r>
    <r>
      <rPr>
        <sz val="10"/>
        <rFont val="Arial"/>
        <family val="2"/>
        <charset val="1"/>
      </rPr>
      <t>III-E – Planilha estimativa de custos de materiais de consumo</t>
    </r>
  </si>
  <si>
    <t>Ref SINAPI</t>
  </si>
  <si>
    <t>Coeficiente</t>
  </si>
  <si>
    <t>QUANTIDADE
(ANUAL)</t>
  </si>
  <si>
    <t>CUSTO TOTAL (ANUAL)</t>
  </si>
  <si>
    <t>10.2</t>
  </si>
  <si>
    <t>11.1</t>
  </si>
  <si>
    <t>11.2</t>
  </si>
  <si>
    <t>11.3</t>
  </si>
  <si>
    <t>11.4</t>
  </si>
  <si>
    <t>11.5</t>
  </si>
  <si>
    <t>11.6</t>
  </si>
  <si>
    <t>11.7</t>
  </si>
  <si>
    <t>11.8</t>
  </si>
  <si>
    <t>11.9</t>
  </si>
  <si>
    <t>11.10</t>
  </si>
  <si>
    <t>11.11</t>
  </si>
  <si>
    <t>11.12</t>
  </si>
  <si>
    <t>11.13</t>
  </si>
  <si>
    <t>12.24</t>
  </si>
  <si>
    <t>12.25</t>
  </si>
  <si>
    <t>12.26</t>
  </si>
  <si>
    <t>12.27</t>
  </si>
  <si>
    <t>12.28</t>
  </si>
  <si>
    <t>12.29</t>
  </si>
  <si>
    <t>12.30</t>
  </si>
  <si>
    <t>12.31</t>
  </si>
  <si>
    <t>12.32</t>
  </si>
  <si>
    <t>12.33</t>
  </si>
  <si>
    <t>12.34</t>
  </si>
  <si>
    <t>12.35</t>
  </si>
  <si>
    <t>12.36</t>
  </si>
  <si>
    <t>12.37</t>
  </si>
  <si>
    <t>12.38</t>
  </si>
  <si>
    <t>12.39</t>
  </si>
  <si>
    <t>12.40</t>
  </si>
  <si>
    <t>12.41</t>
  </si>
  <si>
    <t>12.42</t>
  </si>
  <si>
    <t>12.43</t>
  </si>
  <si>
    <t>12.44</t>
  </si>
  <si>
    <t>12.45</t>
  </si>
  <si>
    <t>12.46</t>
  </si>
  <si>
    <t>12.47</t>
  </si>
  <si>
    <t>12.48</t>
  </si>
  <si>
    <t>12.50</t>
  </si>
  <si>
    <t>12.51</t>
  </si>
  <si>
    <t>12.58</t>
  </si>
  <si>
    <t>12.64</t>
  </si>
  <si>
    <t>12.65</t>
  </si>
  <si>
    <t>12.66</t>
  </si>
  <si>
    <t>12.67</t>
  </si>
  <si>
    <t>12.68</t>
  </si>
  <si>
    <t>12.69</t>
  </si>
  <si>
    <t>12.70</t>
  </si>
  <si>
    <t>12.71</t>
  </si>
  <si>
    <t>12.72</t>
  </si>
  <si>
    <t>12.73</t>
  </si>
  <si>
    <t>12.74</t>
  </si>
  <si>
    <t>12.75</t>
  </si>
  <si>
    <t>12.76</t>
  </si>
  <si>
    <t>12.77</t>
  </si>
  <si>
    <t>12.78</t>
  </si>
  <si>
    <t>12.79</t>
  </si>
  <si>
    <t>12.80</t>
  </si>
  <si>
    <t>12.81</t>
  </si>
  <si>
    <t>12.82</t>
  </si>
  <si>
    <t>12.83</t>
  </si>
  <si>
    <t>12.84</t>
  </si>
  <si>
    <t>12.86</t>
  </si>
  <si>
    <t>12.87</t>
  </si>
  <si>
    <t>12.88</t>
  </si>
  <si>
    <t>12.89</t>
  </si>
  <si>
    <t>12.90</t>
  </si>
  <si>
    <t>12.91</t>
  </si>
  <si>
    <t>12.107</t>
  </si>
  <si>
    <t>12.108</t>
  </si>
  <si>
    <t>13.1</t>
  </si>
  <si>
    <t>13.2</t>
  </si>
  <si>
    <t>13.3</t>
  </si>
  <si>
    <t>13.4</t>
  </si>
  <si>
    <t>13.5</t>
  </si>
  <si>
    <t>13.6</t>
  </si>
  <si>
    <t>13.7</t>
  </si>
  <si>
    <t>13.8</t>
  </si>
  <si>
    <t>CONSUMO INT</t>
  </si>
  <si>
    <t>% REPOSIÇÃO</t>
  </si>
  <si>
    <t>13.9</t>
  </si>
  <si>
    <t>13.10</t>
  </si>
  <si>
    <t>REATOR ELETRONICO BIVOLT PARA 1 LAMPADA FLUORESCENTE DE 18/20 W</t>
  </si>
  <si>
    <t>REATOR ELETRONICO BIVOLT PARA 2 LAMPADAS FLUORESCENTES DE 36/40 W</t>
  </si>
  <si>
    <t>13.11</t>
  </si>
  <si>
    <t>REATOR ELETRONICO BIVOLT PARA 2 LAMPADAS FLUORESCENTES DE 18/20 W</t>
  </si>
  <si>
    <t>13.12</t>
  </si>
  <si>
    <t>13.13</t>
  </si>
  <si>
    <t>13.14</t>
  </si>
  <si>
    <t>13.15</t>
  </si>
  <si>
    <t>13.16</t>
  </si>
  <si>
    <t>13.17</t>
  </si>
  <si>
    <t>13.18</t>
  </si>
  <si>
    <t>13.19</t>
  </si>
  <si>
    <t>13.20</t>
  </si>
  <si>
    <t>13.21</t>
  </si>
  <si>
    <t>13.22</t>
  </si>
  <si>
    <t>13.23</t>
  </si>
  <si>
    <t>13.24</t>
  </si>
  <si>
    <t>13.25</t>
  </si>
  <si>
    <t>13.26</t>
  </si>
  <si>
    <t>13.27</t>
  </si>
  <si>
    <t>13.28</t>
  </si>
  <si>
    <t>13.29</t>
  </si>
  <si>
    <t>13.30</t>
  </si>
  <si>
    <t>13.31</t>
  </si>
  <si>
    <t>13.32</t>
  </si>
  <si>
    <t>13.33</t>
  </si>
  <si>
    <t>13.34</t>
  </si>
  <si>
    <t>13.35</t>
  </si>
  <si>
    <t>13.36</t>
  </si>
  <si>
    <t>13.37</t>
  </si>
  <si>
    <t>13.38</t>
  </si>
  <si>
    <t>13.39</t>
  </si>
  <si>
    <t>13.40</t>
  </si>
  <si>
    <t>13.41</t>
  </si>
  <si>
    <t>13.42</t>
  </si>
  <si>
    <t>13.43</t>
  </si>
  <si>
    <t>13.44</t>
  </si>
  <si>
    <t>13.45</t>
  </si>
  <si>
    <t>13.46</t>
  </si>
  <si>
    <t>13.47</t>
  </si>
  <si>
    <t>13.48</t>
  </si>
  <si>
    <t>13.49</t>
  </si>
  <si>
    <t>13.50</t>
  </si>
  <si>
    <t>13.51</t>
  </si>
  <si>
    <t>13.52</t>
  </si>
  <si>
    <t>13.53</t>
  </si>
  <si>
    <t>13.54</t>
  </si>
  <si>
    <t>13.55</t>
  </si>
  <si>
    <t>13.56</t>
  </si>
  <si>
    <t>13.57</t>
  </si>
  <si>
    <t>13.58</t>
  </si>
  <si>
    <t>13.61</t>
  </si>
  <si>
    <t>13.62</t>
  </si>
  <si>
    <t>CUSTO ESTIMADO ANUAL</t>
  </si>
  <si>
    <t>CUSTO ESTIMADO MENSAL</t>
  </si>
  <si>
    <t>VALOR MENSAL</t>
  </si>
  <si>
    <t xml:space="preserve">UN    </t>
  </si>
  <si>
    <t>Insumos</t>
  </si>
  <si>
    <r>
      <rPr>
        <b/>
        <sz val="10"/>
        <color rgb="FF000000"/>
        <rFont val="Arial"/>
        <family val="2"/>
        <charset val="1"/>
      </rPr>
      <t xml:space="preserve">PLANILHA DE CUSTO E FORMAÇÃO DE PREÇO
</t>
    </r>
    <r>
      <rPr>
        <sz val="8"/>
        <color rgb="FF000000"/>
        <rFont val="Arial"/>
        <family val="2"/>
        <charset val="1"/>
      </rPr>
      <t xml:space="preserve">
</t>
    </r>
    <r>
      <rPr>
        <b/>
        <sz val="10"/>
        <color rgb="FF000000"/>
        <rFont val="Arial"/>
        <family val="2"/>
        <charset val="1"/>
      </rPr>
      <t>V – Planilha de composição do BDI</t>
    </r>
  </si>
  <si>
    <t>% DIFERENCIADO</t>
  </si>
  <si>
    <t>CUSTOS INDIRETOS</t>
  </si>
  <si>
    <t>A.1</t>
  </si>
  <si>
    <t>Administração Central (AC)</t>
  </si>
  <si>
    <t>A.2</t>
  </si>
  <si>
    <t>Despesas Financeiras (DF)</t>
  </si>
  <si>
    <t>A.3</t>
  </si>
  <si>
    <t>Riscos, Seguros e Garantias (R+S+G);</t>
  </si>
  <si>
    <t>LUCRO (L)</t>
  </si>
  <si>
    <t>TRIBUTOS (T)</t>
  </si>
  <si>
    <t>C.1</t>
  </si>
  <si>
    <t>FEDERAIS</t>
  </si>
  <si>
    <t>C.1.1</t>
  </si>
  <si>
    <t>PIS</t>
  </si>
  <si>
    <t>C.1.2</t>
  </si>
  <si>
    <t>COFINS</t>
  </si>
  <si>
    <t>C.1.3</t>
  </si>
  <si>
    <r>
      <rPr>
        <sz val="8"/>
        <color rgb="FF000000"/>
        <rFont val="Arial"/>
        <family val="2"/>
        <charset val="1"/>
      </rPr>
      <t xml:space="preserve">CPRB
</t>
    </r>
    <r>
      <rPr>
        <sz val="11"/>
        <color rgb="FFC9211E"/>
        <rFont val="Arial"/>
        <family val="2"/>
        <charset val="1"/>
      </rPr>
      <t>0% - Regime Não Desonerado
4,5% - Regime Desonerado</t>
    </r>
  </si>
  <si>
    <t>C.2</t>
  </si>
  <si>
    <t>ESTADUAIS</t>
  </si>
  <si>
    <t>C.3</t>
  </si>
  <si>
    <t>MUNICIPAIS</t>
  </si>
  <si>
    <t>C.3.1</t>
  </si>
  <si>
    <t>ISS (PONDERADO)</t>
  </si>
  <si>
    <t>BDI Diferenciado</t>
  </si>
  <si>
    <t>Observação</t>
  </si>
  <si>
    <r>
      <rPr>
        <sz val="12"/>
        <color rgb="FF000000"/>
        <rFont val="Arial"/>
        <family val="2"/>
        <charset val="1"/>
      </rPr>
      <t xml:space="preserve">- O percentual do ISS deverá observar a legislação de cada município abrangido pelo contrato, sendo adotado a média ponderada levando em consideração a área dos imóveis.
</t>
    </r>
    <r>
      <rPr>
        <sz val="8"/>
        <color rgb="FF000000"/>
        <rFont val="Arial"/>
        <family val="2"/>
        <charset val="1"/>
      </rPr>
      <t xml:space="preserve">
</t>
    </r>
    <r>
      <rPr>
        <sz val="12"/>
        <color rgb="FF000000"/>
        <rFont val="Arial"/>
        <family val="2"/>
        <charset val="1"/>
      </rPr>
      <t xml:space="preserve">- A licitante deve adotar a correta tributação à qual esteja vinculada e caso tenha havido erro, e a tributação real seja pela CPRB, será promovido o reequilíbrio dos valores pactuados para correção da falha, caso contrário a empresa deve arcar com o ônus de seu equívoco, conforme notas introdutórias das minutas padrão do INSS.
</t>
    </r>
    <r>
      <rPr>
        <sz val="8"/>
        <color rgb="FF000000"/>
        <rFont val="Arial"/>
        <family val="2"/>
        <charset val="1"/>
      </rPr>
      <t xml:space="preserve">
</t>
    </r>
    <r>
      <rPr>
        <sz val="12"/>
        <color rgb="FF000000"/>
        <rFont val="Arial"/>
        <family val="2"/>
        <charset val="1"/>
      </rPr>
      <t xml:space="preserve">- A licitante deve adotar 0% para o CPRB, caso faça parte do regime onerado de folha de pagamento, mas deve declarar o INSS como 20% na Aba "Planilha II-A – Mão de Obra", Submódulo 4.1, letra "A - INSS". Caso faça parte do regime desonerado, a licitante deve adotar 4,5% para o CPRB e 0% para o INSS.
</t>
    </r>
    <r>
      <rPr>
        <sz val="8"/>
        <color rgb="FF000000"/>
        <rFont val="Arial"/>
        <family val="2"/>
        <charset val="1"/>
      </rPr>
      <t xml:space="preserve">
</t>
    </r>
    <r>
      <rPr>
        <sz val="12"/>
        <color rgb="FF000000"/>
        <rFont val="Arial"/>
        <family val="2"/>
        <charset val="1"/>
      </rPr>
      <t xml:space="preserve">- O BDI diferenciado será utilizado para o determinação dos valores de referência dos materiais e peças de reposição, conforme instrução fornecida pela Súmula 253/2010 do TCU
</t>
    </r>
    <r>
      <rPr>
        <sz val="8"/>
        <color rgb="FF000000"/>
        <rFont val="Arial"/>
        <family val="2"/>
        <charset val="1"/>
      </rPr>
      <t xml:space="preserve">
</t>
    </r>
    <r>
      <rPr>
        <sz val="12"/>
        <color rgb="FF000000"/>
        <rFont val="Arial"/>
        <family val="2"/>
        <charset val="1"/>
      </rPr>
      <t>- Os índices utilizados foram colhidos do Acórdão TCU 2622/2013 - BDI para obras de edificações</t>
    </r>
  </si>
  <si>
    <t>Fórmula utilizada para o cálculo</t>
  </si>
  <si>
    <r>
      <rPr>
        <b/>
        <sz val="10"/>
        <color rgb="FF000000"/>
        <rFont val="Arial"/>
        <family val="2"/>
        <charset val="1"/>
      </rPr>
      <t xml:space="preserve">PLANILHA DE CUSTO E FORMAÇÃO DE PREÇO
</t>
    </r>
    <r>
      <rPr>
        <sz val="8"/>
        <color rgb="FF000000"/>
        <rFont val="Arial"/>
        <family val="2"/>
        <charset val="1"/>
      </rPr>
      <t xml:space="preserve">
</t>
    </r>
    <r>
      <rPr>
        <b/>
        <sz val="10"/>
        <color rgb="FF000000"/>
        <rFont val="Arial"/>
        <family val="2"/>
        <charset val="1"/>
      </rPr>
      <t xml:space="preserve">V – Planilha de composição do BDI
</t>
    </r>
    <r>
      <rPr>
        <sz val="8"/>
        <color rgb="FF000000"/>
        <rFont val="Arial"/>
        <family val="2"/>
        <charset val="1"/>
      </rPr>
      <t xml:space="preserve">
</t>
    </r>
    <r>
      <rPr>
        <sz val="10"/>
        <color rgb="FF000000"/>
        <rFont val="Arial"/>
        <family val="2"/>
        <charset val="1"/>
      </rPr>
      <t>V-A – Planilha de cálculo do ISS</t>
    </r>
  </si>
  <si>
    <t>ENDEREÇO</t>
  </si>
  <si>
    <t>PORCENTAGEM DA ÁREA POR APS</t>
  </si>
  <si>
    <t>ISS</t>
  </si>
  <si>
    <t>ISS x % DA ÁREA DA UNIDADE</t>
  </si>
  <si>
    <t>Referência</t>
  </si>
  <si>
    <t>LEI COMPLEMENTAR N° 1.223, DE 29 DE DEZEMBRO DE 2009</t>
  </si>
  <si>
    <t>APS BOA VISTA/RR</t>
  </si>
  <si>
    <t>LEI COMPLEMENTAR N° 1.223, DE 29 DE DEZEMBRO DE 2010</t>
  </si>
  <si>
    <t>Av. Mário Homem de Melo, nº 132 - A</t>
  </si>
  <si>
    <t>LEI COMPLEMENTAR N° 1.223, DE 29 DE DEZEMBRO DE 2011</t>
  </si>
  <si>
    <t>Arquivo Geral da GEXBAV</t>
  </si>
  <si>
    <t>Av. Capitão Ene Garcez, nº 2.91 - São Francisco</t>
  </si>
  <si>
    <t>LEI COMPLEMENTAR N° 1.223, DE 29 DE DEZEMBRO DE 2012</t>
  </si>
  <si>
    <t>LEI COMPLEMENTAR N° 1.223, DE 29 DE DEZEMBRO DE 2013</t>
  </si>
  <si>
    <t>APS Caracaraí</t>
  </si>
  <si>
    <t>Av. Dr. Zanny, s/nº - Centro, Caracaraí</t>
  </si>
  <si>
    <t>LEI COMPLEMENTAR N° 552/ 2013</t>
  </si>
  <si>
    <t>Rua Valdenor Maciel, s/nº - Rorainópolis</t>
  </si>
  <si>
    <t>LEI Nº 251/2013</t>
  </si>
  <si>
    <t>APS Alto Alegre</t>
  </si>
  <si>
    <t>Av. 1º de Julho, Q 29, L 02, Z 03 - Bairro Azul - Alto Alegre</t>
  </si>
  <si>
    <t>LEI COMPLEMENTAR N° 04/2004</t>
  </si>
  <si>
    <t>% correpondente à Mão de obra</t>
  </si>
  <si>
    <t>ISS ponderado</t>
  </si>
  <si>
    <t>SERVIÇOS DE MANUTENÇÃO C/ EVENTUAIS</t>
  </si>
  <si>
    <t>Custo Mensal S/ BDI</t>
  </si>
  <si>
    <t>% DO CUSTO TOTAL</t>
  </si>
  <si>
    <t>Custo de mão de obra</t>
  </si>
  <si>
    <t>Eq Manutenção</t>
  </si>
  <si>
    <t>Eq Administrativa</t>
  </si>
  <si>
    <t>Materiais e deslocamentos</t>
  </si>
  <si>
    <t>Mat consumo</t>
  </si>
  <si>
    <t>Deslocamento e pernoite</t>
  </si>
  <si>
    <t>CUSTO TOTAL (SEM BDI)</t>
  </si>
  <si>
    <t>GEX BOA VISTA/RR</t>
  </si>
  <si>
    <t>AV. Glaycon de Paiva, Nº 132 - CENTRO</t>
  </si>
  <si>
    <t xml:space="preserve">Sala de Treinamento - GEXBAV/RR
</t>
  </si>
  <si>
    <t>Centro de processamento de Dados - Cedocprev/ RR</t>
  </si>
  <si>
    <t xml:space="preserve">Av. Ville Roy, nº 5.112 - São Francisco                   </t>
  </si>
  <si>
    <t>DEPÓSITO DA GEXBAV/RR</t>
  </si>
  <si>
    <t xml:space="preserve">Av. Mário Homem de Melo, nº 132 - B </t>
  </si>
  <si>
    <t>MES DE COLETA: 07/2023</t>
  </si>
  <si>
    <t>ABRACADEIRA EM ACO PARA AMARRACAO DE ELETRODUTOS, TIPO D, COM 1/2" E PARAFUSO DE FIXACAO</t>
  </si>
  <si>
    <t xml:space="preserve">M     </t>
  </si>
  <si>
    <t>ADAPTADOR PVC SOLDAVEL, COM FLANGE E ANEL DE VEDACAO, 32 MM X 1", PARA CAIXA D'AGUA</t>
  </si>
  <si>
    <t>ADAPTADOR PVC SOLDAVEL, LONGO, COM FLANGE LIVRE,  32 MM X 1", PARA CAIXA D' AGUA</t>
  </si>
  <si>
    <t>ADESIVO PLASTICO PARA PVC, FRASCO COM *850* GR</t>
  </si>
  <si>
    <t>ADESIVO PLASTICO PARA PVC, FRASCO COM 175 GR</t>
  </si>
  <si>
    <t>ANEL BORRACHA PARA TUBO ESGOTO PREDIAL, DN 100 MM (NBR 5688)</t>
  </si>
  <si>
    <t>ANEL BORRACHA PARA TUBO ESGOTO PREDIAL, DN 50 MM (NBR 5688)</t>
  </si>
  <si>
    <t>ANEL BORRACHA PARA TUBO ESGOTO PREDIAL, DN 75 MM (NBR 5688)</t>
  </si>
  <si>
    <t>ANEL BORRACHA, DN 100 MM, PARA TUBO SERIE REFORCADA ESGOTO PREDIAL</t>
  </si>
  <si>
    <t>ANEL BORRACHA, DN 75 MM, PARA TUBO SERIE REFORCADA ESGOTO PREDIAL</t>
  </si>
  <si>
    <t>AUTOMATICO DE BOIA SUPERIOR / INFERIOR, *15* A / 250 V</t>
  </si>
  <si>
    <t>BUCHA DE NYLON SEM ABA S6, COM PARAFUSO DE 4,20 X 40 MM EM ACO ZINCADO COM ROSCA SOBERBA, CABECA CHATA E FENDA PHILLIPS</t>
  </si>
  <si>
    <t>CABO DE COBRE NU 50 MM2 MEIO-DURO</t>
  </si>
  <si>
    <t>CABO DE COBRE, FLEXIVEL, CLASSE 4 OU 5, ISOLACAO EM PVC/A, ANTICHAMA BWF-B, COBERTURA PVC-ST1, ANTICHAMA BWF-B, 1 CONDUTOR, 0,6/1 KV, SECAO NOMINAL 10 MM2</t>
  </si>
  <si>
    <t>CABO DE COBRE, FLEXIVEL, CLASSE 4 OU 5, ISOLACAO EM PVC/A, ANTICHAMA BWF-B, COBERTURA PVC-ST1, ANTICHAMA BWF-B, 1 CONDUTOR, 0,6/1 KV, SECAO NOMINAL 16 MM2</t>
  </si>
  <si>
    <t>CABO DE COBRE, FLEXIVEL, CLASSE 4 OU 5, ISOLACAO EM PVC/A, ANTICHAMA BWF-B, COBERTURA PVC-ST1, ANTICHAMA BWF-B, 1 CONDUTOR, 0,6/1 KV, SECAO NOMINAL 50 MM2</t>
  </si>
  <si>
    <t>CABO DE COBRE, FLEXIVEL, CLASSE 4 OU 5, ISOLACAO EM PVC/A, ANTICHAMA BWF-B, COBERTURA PVC-ST1, ANTICHAMA BWF-B, 1 CONDUTOR, 0,6/1 KV, SECAO NOMINAL 95 MM2</t>
  </si>
  <si>
    <t>CABO DE COBRE, FLEXIVEL, CLASSE 4 OU 5, ISOLACAO EM PVC/A, ANTICHAMA BWF-B, 1 CONDUTOR, 450/750 V, SECAO NOMINAL 2,5 MM2</t>
  </si>
  <si>
    <t>CABO DE COBRE, FLEXIVEL, CLASSE 4 OU 5, ISOLACAO EM PVC/A, ANTICHAMA BWF-B, 1 CONDUTOR, 450/750 V, SECAO NOMINAL 25 MM2</t>
  </si>
  <si>
    <t>CABO DE COBRE, FLEXIVEL, CLASSE 4 OU 5, ISOLACAO EM PVC/A, ANTICHAMA BWF-B, 1 CONDUTOR, 450/750 V, SECAO NOMINAL 4 MM2</t>
  </si>
  <si>
    <t>CABO DE COBRE, FLEXIVEL, CLASSE 4 OU 5, ISOLACAO EM PVC/A, ANTICHAMA BWF-B, 1 CONDUTOR, 450/750 V, SECAO NOMINAL 50 MM2</t>
  </si>
  <si>
    <t>CABO DE COBRE, FLEXIVEL, CLASSE 4 OU 5, ISOLACAO EM PVC/A, ANTICHAMA BWF-B, 1 CONDUTOR, 450/750 V, SECAO NOMINAL 6 MM2</t>
  </si>
  <si>
    <t>CABO DE REDE, PAR TRANCADO UTP, 4 PARES, CATEGORIA 6 (CAT 6), ISOLAMENTO PVC (LSZH)</t>
  </si>
  <si>
    <t>CABO TELEFONICO CCI 50, 2 PARES, USO INTERNO, SEM BLINDAGEM</t>
  </si>
  <si>
    <t>CABO TELEFONICO CCI 50, 4 PARES, USO INTERNO, SEM BLINDAGEM</t>
  </si>
  <si>
    <t>CABO TELEFONICO CCI 50, 6 PARES, USO INTERNO, SEM BLINDAGEM</t>
  </si>
  <si>
    <t>CABO TELEFONICO CI 50, 10 PARES, USO INTERNO</t>
  </si>
  <si>
    <t>CABO TELEFONICO CI 50, 50 PARES, USO INTERNO</t>
  </si>
  <si>
    <t>CAP PVC, SOLDAVEL, DN 50 MM, SERIE NORMAL, PARA ESGOTO PREDIAL</t>
  </si>
  <si>
    <t>CAP PVC, SOLDAVEL, DN 75 MM, SERIE NORMAL, PARA ESGOTO PREDIAL</t>
  </si>
  <si>
    <t>CONDULETE DE ALUMINIO TIPO C, PARA ELETRODUTO ROSCAVEL DE 3/4", COM TAMPA CEGA</t>
  </si>
  <si>
    <t>CONDULETE DE ALUMINIO TIPO T, PARA ELETRODUTO ROSCAVEL DE 1", COM TAMPA CEGA</t>
  </si>
  <si>
    <t>CONDULETE EM PVC, TIPO "LB", SEM TAMPA, DE 1/2" OU 3/4"</t>
  </si>
  <si>
    <t>CONDULETE EM PVC, TIPO "LL", SEM TAMPA, DE 1/2" OU 3/4"</t>
  </si>
  <si>
    <t>CONECTOR / TOMADA FEMEA RJ 45, CATEGORIA 6 (CAT 6) PARA CABOS</t>
  </si>
  <si>
    <t>CONECTOR MACHO RJ 45, CATEGORIA 6 (CAT 6) PARA CABOS</t>
  </si>
  <si>
    <t>DISJUNTOR TERMOMAGNETICO TRIPOLAR 200 A / 600 V, TIPO FXD / ICC - 35 KA</t>
  </si>
  <si>
    <t>DISJUNTOR TIPO DIN / IEC, MONOPOLAR DE 40  ATE 50A</t>
  </si>
  <si>
    <t>DISJUNTOR TIPO DIN/IEC, MONOPOLAR DE 6  ATE  32A</t>
  </si>
  <si>
    <t>DISJUNTOR TIPO NEMA, BIPOLAR 10  ATE  50 A, TENSAO MAXIMA 415 V</t>
  </si>
  <si>
    <t>DISJUNTOR TIPO NEMA, TRIPOLAR 60 ATE 100 A, TENSAO MAXIMA DE 415 V</t>
  </si>
  <si>
    <t>ELETRODUTO DE PVC RIGIDO ROSCAVEL DE 1 1/4 ", SEM LUVA</t>
  </si>
  <si>
    <t>ELETRODUTO DE PVC RIGIDO ROSCAVEL DE 2 1/2 ", SEM LUVA</t>
  </si>
  <si>
    <t>ELETRODUTO DE PVC RIGIDO SOLDAVEL, CLASSE B, DE 25 MM</t>
  </si>
  <si>
    <t>ELETRODUTO EM ACO GALVANIZADO ELETROLITICO, LEVE, DIAMETRO 3/4", PAREDE DE 0,90 MM</t>
  </si>
  <si>
    <t>ESPELHO / PLACA CEGA 4" X 2", PARA INSTALACAO DE TOMADAS E INTERRUPTORES</t>
  </si>
  <si>
    <t>ESPELHO / PLACA CEGA 4" X 4", PARA INSTALACAO DE TOMADAS E INTERRUPTORES</t>
  </si>
  <si>
    <t>ESPELHO / PLACA DE 3 POSTOS 4" X 2", PARA INSTALACAO DE TOMADAS E INTERRUPTORES</t>
  </si>
  <si>
    <t>FITA ADESIVA ASFALTICA ALUMINIZADA MULTIUSO, L = 10 CM, ROLO DE 10 M</t>
  </si>
  <si>
    <t>FITA ISOLANTE ADESIVA ANTICHAMA, USO ATE 750 V, EM ROLO DE 19 MM X 5 M</t>
  </si>
  <si>
    <t>FITA VEDA ROSCA EM ROLOS DE 18 MM X 10 M (L X C)</t>
  </si>
  <si>
    <t>FITA VEDA ROSCA EM ROLOS DE 18 MM X 25 M (L X C)</t>
  </si>
  <si>
    <t>INTERRUPTOR SIMPLES + TOMADA 2P+T 10A, 250V, CONJUNTO MONTADO PARA EMBUTIR 4" X 2" (PLACA + SUPORTE + MODULOS)</t>
  </si>
  <si>
    <t>INTERRUPTOR SIMPLES 10A, 250V (APENAS MODULO)</t>
  </si>
  <si>
    <t>INTERRUPTOR SIMPLES 10A, 250V, CONJUNTO MONTADO PARA EMBUTIR 4" X 2" (PLACA + SUPORTE + MODULO)</t>
  </si>
  <si>
    <t>INTERRUPTOR SIMPLES 10A, 250V, CONJUNTO MONTADO PARA SOBREPOR 4" X 2" (CAIXA + MODULO)</t>
  </si>
  <si>
    <t>JOELHO PVC, SOLDAVEL COM ROSCA, 90 GRAUS, 25 MM X 3/4", COR MARROM, PARA AGUA FRIA PREDIAL</t>
  </si>
  <si>
    <t>JOELHO PVC, SOLDAVEL, BB, 45 GRAUS, DN 40 MM, PARA ESGOTO PREDIAL</t>
  </si>
  <si>
    <t>JOELHO PVC, SOLDAVEL, BB, 90 GRAUS, SEM ANEL, DN 40 MM, PARA ESGOTO PREDIAL SECUNDARIO</t>
  </si>
  <si>
    <t>JOELHO PVC, SOLDAVEL, COM BUCHA DE LATAO, 90 GRAUS, 20 MM X 1/2", PARA AGUA FRIA PREDIAL</t>
  </si>
  <si>
    <t>JOELHO PVC, SOLDAVEL, COM BUCHA DE LATAO, 90 GRAUS, 25 MM X 3/4", PARA AGUA FRIA PREDIAL</t>
  </si>
  <si>
    <t>JOELHO PVC, SOLDAVEL, PB, 45 GRAUS, DN 100 MM, PARA ESGOTO PREDIAL</t>
  </si>
  <si>
    <t>JOELHO PVC, SOLDAVEL, PB, 45 GRAUS, DN 50 MM, PARA ESGOTO PREDIAL</t>
  </si>
  <si>
    <t>JOELHO PVC, SOLDAVEL, PB, 90 GRAUS, DN 100 MM, PARA ESGOTO PREDIAL</t>
  </si>
  <si>
    <t>JOELHO PVC, SOLDAVEL, PB, 90 GRAUS, DN 50 MM, PARA ESGOTO PREDIAL</t>
  </si>
  <si>
    <t>JOELHO PVC, SOLDAVEL, PB, 90 GRAUS, DN 75 MM, PARA ESGOTO PREDIAL</t>
  </si>
  <si>
    <t>JOELHO PVC, SOLDAVEL, 90 GRAUS, 20 MM, COR MARROM, PARA AGUA FRIA PREDIAL</t>
  </si>
  <si>
    <t>JOELHO PVC, SOLDAVEL, 90 GRAUS, 25 MM, COR MARROM, PARA AGUA FRIA PREDIAL</t>
  </si>
  <si>
    <t>JOELHO PVC, SOLDAVEL, 90 GRAUS, 32 MM, COR MARROM, PARA AGUA FRIA PREDIAL</t>
  </si>
  <si>
    <t>JOELHO PVC, SOLDAVEL, 90 GRAUS, 40 MM, COR MARROM, PARA AGUA FRIA PREDIAL</t>
  </si>
  <si>
    <t>JOELHO, PVC SOLDAVEL, 45 GRAUS, 25 MM, COR MARROM, PARA AGUA FRIA PREDIAL</t>
  </si>
  <si>
    <t>JOELHO, PVC SOLDAVEL, 90 GRAUS, 75 MM, COR MARROM, PARA AGUA FRIA PREDIAL</t>
  </si>
  <si>
    <t>JUNCAO SIMPLES DE REDUCAO, PVC, DN 100 X 50 MM, SERIE NORMAL PARA ESGOTO PREDIAL</t>
  </si>
  <si>
    <t>JUNCAO SIMPLES, PVC, 45 GRAUS, DN 100 X 100 MM, SERIE NORMAL PARA ESGOTO PREDIAL</t>
  </si>
  <si>
    <t>JUNCAO SIMPLES, PVC, 45 GRAUS, DN 50 X 50 MM, SERIE NORMAL PARA ESGOTO PREDIAL</t>
  </si>
  <si>
    <t>LAMPADA FLUORESCENTE COMPACTA 3U BRANCA 20 W, BASE E27 (127/220 V)</t>
  </si>
  <si>
    <t>LAMPADA FLUORESCENTE TUBULAR T10, DE 20 OU 40 W, BIVOLT</t>
  </si>
  <si>
    <t>LAMPADA FLUORESCENTE TUBULAR T8 DE 16/18 W, BIVOLT</t>
  </si>
  <si>
    <t>LAMPADA FLUORESCENTE TUBULAR T8 DE 32/36 W, BIVOLT</t>
  </si>
  <si>
    <t>LAMPADA LED TUBULAR BIVOLT 18/20 W, BASE G13</t>
  </si>
  <si>
    <t>LAMPADA LED TUBULAR BIVOLT 9/10 W, BASE G13</t>
  </si>
  <si>
    <t>LAMPADA LED 10 W BIVOLT BRANCA, FORMATO TRADICIONAL (BASE E27)</t>
  </si>
  <si>
    <t>LAMPADA LED 6 W BIVOLT BRANCA, FORMATO TRADICIONAL (BASE E27)</t>
  </si>
  <si>
    <t>LAMPADA VAPOR MERCURIO 250 W (BASE E40)</t>
  </si>
  <si>
    <t>LIXA D'AGUA EM FOLHA, GRAO 100</t>
  </si>
  <si>
    <t>LUMINARIA DE EMERGENCIA 30 LEDS, POTENCIA 2 W, BATERIA DE LITIO, AUTONOMIA DE 6 HORAS</t>
  </si>
  <si>
    <t>LUMINARIA DE SOBREPOR EM CHAPA DE ACO PARA 1 LAMPADA FLUORESCENTE DE *18* W, ALETADA, COMPLETA (LAMPADA E REATOR INCLUSOS)</t>
  </si>
  <si>
    <t>LUMINARIA DE SOBREPOR EM CHAPA DE ACO PARA 1 LAMPADA FLUORESCENTE DE *36* W, ALETADA, COMPLETA (LAMPADA E REATOR INCLUSOS)</t>
  </si>
  <si>
    <t>LUMINARIA DE SOBREPOR EM CHAPA DE ACO PARA 2 LAMPADAS FLUORESCENTES DE *18* W, ALETADA, COMPLETA (LAMPADAS E REATOR INCLUSOS)</t>
  </si>
  <si>
    <t>LUMINARIA DE SOBREPOR EM CHAPA DE ACO PARA 2 LAMPADAS FLUORESCENTES DE *36* W, ALETADA, COMPLETA (LAMPADAS E REATOR INCLUSOS)</t>
  </si>
  <si>
    <t>LUMINARIA LED PLAFON REDONDO DE SOBREPOR BIVOLT 12/13 W,  D = *17* CM</t>
  </si>
  <si>
    <t>LUMINARIA LED REFLETOR RETANGULAR BIVOLT, LUZ BRANCA, 30 W</t>
  </si>
  <si>
    <t>LUMINARIA LED REFLETOR RETANGULAR BIVOLT, LUZ BRANCA, 50 W</t>
  </si>
  <si>
    <t>LUMINARIA TIPO TARTARUGA PARA AREA EXTERNA EM ALUMINIO, COM GRADE, PARA 1 LAMPADA, BASE E27, POTENCIA MAXIMA 40/60 W (NAO INCLUI LAMPADA)</t>
  </si>
  <si>
    <t>LUVA DE REDUCAO SOLDAVEL, PVC, 32 MM X 25 MM, PARA AGUA FRIA PREDIAL</t>
  </si>
  <si>
    <t>LUVA DE REDUCAO SOLDAVEL, PVC, 40 MM X 32 MM, PARA AGUA FRIA PREDIAL</t>
  </si>
  <si>
    <t>LUVA DE REDUCAO SOLDAVEL, PVC, 60 MM X 50 MM, PARA AGUA FRIA PREDIAL</t>
  </si>
  <si>
    <t>LUVA DE REDUCAO, SOLDAVEL, PVC, 50 X 25 MM, PARA AGUA FRIA PREDIAL</t>
  </si>
  <si>
    <t>LUVA PARA ELETRODUTO, EM ACO GALVANIZADO ELETROLITICO, DIAMETRO DE 20 MM (3/4")</t>
  </si>
  <si>
    <t>LUVA SOLDAVEL COM ROSCA, PVC, 25 MM X 3/4", PARA AGUA FRIA PREDIAL</t>
  </si>
  <si>
    <t>PARAFUSO DE ACO ZINCADO COM ROSCA SOBERBA, CABECA CHATA E FENDA SIMPLES, DIAMETRO 4,8 MM, COMPRIMENTO 45 MM</t>
  </si>
  <si>
    <t>PASTA LUBRIFICANTE PARA TUBOS E CONEXOES COM JUNTA ELASTICA, EMBALAGEM DE *400* GR (USO EM PVC, ACO, POLIETILENO E OUTROS)</t>
  </si>
  <si>
    <t>PATCH CORD (CABO DE REDE), CATEGORIA 6 (CAT 6) UTP, 23 AWG, 4 PARES, EXTENSAO DE 2,50 M</t>
  </si>
  <si>
    <t>REATOR ELETRONICO BIVOLT PARA 1 LAMPADA FLUORESCENTE DE 36/40 W</t>
  </si>
  <si>
    <t>REATOR INTERNO/INTEGRADO PARA LAMPADA VAPOR METALICO 400 W, ALTO FATOR DE POTENCIA</t>
  </si>
  <si>
    <t>REATOR P/ 1 LAMPADA VAPOR DE MERCURIO 250W USO EXT</t>
  </si>
  <si>
    <t>REDUCAO EXCENTRICA PVC, SERIE R, DN 75 X 50 MM, PARA ESGOTO PREDIAL</t>
  </si>
  <si>
    <t>REFLETOR REDONDO EM ALUMINIO ANODIZADO PARA LAMPADA VAPOR DE MERCURIO/SODIO, CORPO EM ALUMINIO COM PINTURA EPOXI, PARA LAMPADA E-27 DE 300 W, COM SUPORTE REDONDO E ALCA REGULAVEL PARA FIXACAO.</t>
  </si>
  <si>
    <t>SIFAO EM METAL CROMADO PARA PIA OU LAVATORIO, 1 X 1.1/2 "</t>
  </si>
  <si>
    <t>SOLUCAO PREPARADORA / LIMPADORA PARA PVC, FRASCO COM 1000 CM3</t>
  </si>
  <si>
    <t>SOQUETE DE BAQUELITE BASE E27, PARA LAMPADAS</t>
  </si>
  <si>
    <t>SUPORTE DE FIXACAO PARA ESPELHO / PLACA 4" X 2", PARA 3 MODULOS, PARA INSTALACAO DE TOMADAS E INTERRUPTORES (SOMENTE SUPORTE)</t>
  </si>
  <si>
    <t>SUPORTE ISOLADOR REFORCADO DIAMETRO NOMINAL 5/16", COM ROSCA SOBERBA E BUCHA</t>
  </si>
  <si>
    <t>TE DE REDUCAO, PVC, SOLDAVEL, 90 GRAUS, 40 MM X 32 MM, PARA AGUA FRIA PREDIAL</t>
  </si>
  <si>
    <t>TE PVC, SOLDAVEL, COM BUCHA DE LATAO NA BOLSA CENTRAL, 90 GRAUS, 20 MM X 1/2", PARA AGUA FRIA PREDIAL</t>
  </si>
  <si>
    <t>TE SANITARIO, PVC, DN 100 X 100 MM, SERIE NORMAL, PARA ESGOTO PREDIAL</t>
  </si>
  <si>
    <t>TE SANITARIO, PVC, DN 50 X 50 MM, SERIE NORMAL, PARA ESGOTO PREDIAL</t>
  </si>
  <si>
    <t>TE SANITARIO, PVC, DN 75 X 75 MM, SERIE NORMAL PARA ESGOTO PREDIAL</t>
  </si>
  <si>
    <t>TE SOLDAVEL, PVC, 90 GRAUS, 20 MM, PARA AGUA FRIA PREDIAL (NBR 5648)</t>
  </si>
  <si>
    <t>TE SOLDAVEL, PVC, 90 GRAUS, 25 MM, PARA AGUA FRIA PREDIAL (NBR 5648)</t>
  </si>
  <si>
    <t>TE SOLDAVEL, PVC, 90 GRAUS, 32 MM, PARA AGUA FRIA PREDIAL (NBR 5648)</t>
  </si>
  <si>
    <t>TE SOLDAVEL, PVC, 90 GRAUS, 40 MM, PARA AGUA FRIA PREDIAL (NBR 5648)</t>
  </si>
  <si>
    <t>TE SOLDAVEL, PVC, 90 GRAUS, 60 MM, PARA AGUA FRIA PREDIAL (NBR 5648)</t>
  </si>
  <si>
    <t>TE SOLDAVEL, PVC, 90 GRAUS, 75 MM, PARA AGUA FRIA PREDIAL (NBR 5648)</t>
  </si>
  <si>
    <t>TE, PVC, SERIE R, 100 X 75 MM, PARA ESGOTO PREDIAL</t>
  </si>
  <si>
    <t>TERMINAL A COMPRESSAO EM COBRE ESTANHADO PARA CABO 10 MM2, 1 FURO E 1 COMPRESSAO, PARA PARAFUSO DE FIXACAO M6</t>
  </si>
  <si>
    <t>TERMINAL A COMPRESSAO EM COBRE ESTANHADO PARA CABO 16 MM2, 1 FURO E 1 COMPRESSAO, PARA PARAFUSO DE FIXACAO M6</t>
  </si>
  <si>
    <t>TERMINAL A COMPRESSAO EM COBRE ESTANHADO PARA CABO 2,5 MM2, 1 FURO E 1 COMPRESSAO, PARA PARAFUSO DE FIXACAO M5</t>
  </si>
  <si>
    <t>TERMINAL A COMPRESSAO EM COBRE ESTANHADO PARA CABO 25 MM2, 1 FURO E 1 COMPRESSAO, PARA PARAFUSO DE FIXACAO M8</t>
  </si>
  <si>
    <t>TERMINAL A COMPRESSAO EM COBRE ESTANHADO PARA CABO 4 MM2, 1 FURO E 1 COMPRESSAO, PARA PARAFUSO DE FIXACAO M5</t>
  </si>
  <si>
    <t>TERMINAL A COMPRESSAO EM COBRE ESTANHADO PARA CABO 6 MM2, 1 FURO E 1 COMPRESSAO, PARA PARAFUSO DE FIXACAO M6</t>
  </si>
  <si>
    <t>TERMINAL A COMPRESSAO EM COBRE ESTANHADO PARA CABO 95 MM2, 1 FURO E 1 COMPRESSAO, PARA PARAFUSO DE FIXACAO M12</t>
  </si>
  <si>
    <t>TERMINAL METALICO A PRESSAO PARA 1 CABO DE 25 MM2, COM 1 FURO DE FIXACAO</t>
  </si>
  <si>
    <t>TOMADA RJ11, 2 FIOS, CONJUNTO MONTADO PARA EMBUTIR 4" X 2" (PLACA + SUPORTE + MODULO)</t>
  </si>
  <si>
    <t>TOMADA RJ45, 8 FIOS, CAT 5E, CONJUNTO MONTADO PARA EMBUTIR 4" X 2" (PLACA + SUPORTE + MODULO)</t>
  </si>
  <si>
    <t>TOMADA 2P+T 10A, 250V  (APENAS MODULO)</t>
  </si>
  <si>
    <t>TOMADA 2P+T 10A, 250V, CONJUNTO MONTADO PARA EMBUTIR 4" X 2" (PLACA + SUPORTE + MODULO)</t>
  </si>
  <si>
    <t>TOMADA 2P+T 10A, 250V, CONJUNTO MONTADO PARA SOBREPOR 4" X 2" (CAIXA + MODULO)</t>
  </si>
  <si>
    <t>TOMADA 2P+T 20A, 250V  (APENAS MODULO)</t>
  </si>
  <si>
    <t>TUBO PVC  SERIE NORMAL, DN 100 MM, PARA ESGOTO  PREDIAL (NBR 5688)</t>
  </si>
  <si>
    <t>TUBO PVC  SERIE NORMAL, DN 40 MM, PARA ESGOTO  PREDIAL (NBR 5688)</t>
  </si>
  <si>
    <t>TUBO PVC SERIE NORMAL, DN 50 MM, PARA ESGOTO PREDIAL (NBR 5688)</t>
  </si>
  <si>
    <t>TUBO PVC SERIE NORMAL, DN 75 MM, PARA ESGOTO PREDIAL (NBR 5688)</t>
  </si>
  <si>
    <t>TUBO PVC, SERIE R, DN 100 MM, PARA ESGOTO OU AGUAS PLUVIAIS PREDIAL (NBR 5688)</t>
  </si>
  <si>
    <t>TUBO PVC, SOLDAVEL, DE 20 MM, AGUA FRIA (NBR-5648)</t>
  </si>
  <si>
    <t>TUBO PVC, SOLDAVEL, DE 25 MM, AGUA FRIA (NBR-5648)</t>
  </si>
  <si>
    <t>TUBO PVC, SOLDAVEL, DE 32 MM, AGUA FRIA (NBR-5648)</t>
  </si>
  <si>
    <t>TUBO PVC, SOLDAVEL, DE 40 MM, AGUA FRIA (NBR-5648)</t>
  </si>
  <si>
    <t>TUBO PVC, SOLDAVEL, DE 60 MM, AGUA FRIA (NBR-5648)</t>
  </si>
  <si>
    <t>TUBO PVC, SOLDAVEL, DE 85 MM, AGUA FRIA (NBR-5648)</t>
  </si>
  <si>
    <t/>
  </si>
  <si>
    <t>RECARGA DE EXTINTOR DE INCÊNDIO ÁGUA PRESSURIZADA 10 LITROS NBR 11715</t>
  </si>
  <si>
    <t xml:space="preserve">UN </t>
  </si>
  <si>
    <t>RECARGA DE EXTINTOR DE INCÊNDIO ÁGUA PRESSURIZADA 12 LITROS NBR 11715</t>
  </si>
  <si>
    <t>RECARGA DE EXTINTOR DE INCÊNDIO PÓ QUÍMICO SECO 4 Kg (BC) NBR 11716</t>
  </si>
  <si>
    <t>RECARGA DE EXTINTOR DE INCÊNDIO PÓ QUÍMICO SECO 6 Kg (BC) NBR 11716</t>
  </si>
  <si>
    <t>RECARGA DE EXTINTOR DE INCÊNDIO PÓ QUÍMICO SECO 8 Kg (BC) NBR 11716</t>
  </si>
  <si>
    <t>RECARGA DE EXTINTOR DE INCÊNDIO PÓ QUÍMICO SECO 10 Kg (BC) NBR 11716</t>
  </si>
  <si>
    <t>RECARGA DE EXTINTOR DE INCÊNDIO PÓ QUÍMICO SECO 12 Kg (BC) NBR 11716</t>
  </si>
  <si>
    <t>RECARGA DE EXTINTOR DE INCÊNDIO PÓ QUÍMICO SECO 4 Kg (ABC) NBR 11716</t>
  </si>
  <si>
    <t>RECARGA DE EXTINTOR DE INCÊNDIO PÓ QUÍMICO SECO 6 Kg (ABC) NBR 11716</t>
  </si>
  <si>
    <t>RECARGA DE EXTINTOR DE INCÊNDIO PÓ QUÍMICO SECO 8 Kg (ABC) NBR 11716</t>
  </si>
  <si>
    <t>RECARGA DE EXTINTOR DE INCÊNDIO PÓ QUÍMICO SECO 10 Kg (ABC) NBR 11716</t>
  </si>
  <si>
    <t>RECARGA DE EXTINTOR DE INCÊNDIO PÓ QUÍMICO SECO 12 Kg (ABC) NBR 11716</t>
  </si>
  <si>
    <t>RECARGA DE EXTINTOR DE INCÊNDIO DIÓXIDO DE CARBONO (CO2) 4 Kg NBR 11716</t>
  </si>
  <si>
    <t>RECARGA DE EXTINTOR DE INCÊNDIO DIÓXIDO DE CARBONO (CO2) 6 Kg NBR 11716</t>
  </si>
  <si>
    <t xml:space="preserve">ENGENHEIRO ELETRICISTA </t>
  </si>
  <si>
    <t xml:space="preserve">ENGENHEIRO CIVIL </t>
  </si>
  <si>
    <t xml:space="preserve">Engenheiro Eletricista </t>
  </si>
  <si>
    <t xml:space="preserve">Engenheiro Civil </t>
  </si>
  <si>
    <t>Engenheiro Civil</t>
  </si>
  <si>
    <t>Engenheiro Eletricista</t>
  </si>
  <si>
    <t>Engenheiro Civil - Jornada 30 h semanais</t>
  </si>
  <si>
    <t>Mês</t>
  </si>
  <si>
    <t xml:space="preserve">SUGESTÃO DE ISS (PONDERADO) </t>
  </si>
  <si>
    <r>
      <t xml:space="preserve">PLANILHA DE CUSTO E FORMAÇÃO DE PREÇO
</t>
    </r>
    <r>
      <rPr>
        <sz val="11"/>
        <color rgb="FF000000"/>
        <rFont val="Arial"/>
        <family val="2"/>
        <charset val="1"/>
      </rPr>
      <t xml:space="preserve">
</t>
    </r>
    <r>
      <rPr>
        <b/>
        <sz val="10"/>
        <color rgb="FF000000"/>
        <rFont val="Arial"/>
        <family val="2"/>
        <charset val="1"/>
      </rPr>
      <t xml:space="preserve">Planilha estimativa de custos mensais da parcela fixa (item 1.1 – Manutenção Predial)
</t>
    </r>
    <r>
      <rPr>
        <sz val="11"/>
        <color rgb="FF000000"/>
        <rFont val="Arial"/>
        <family val="2"/>
        <charset val="1"/>
      </rPr>
      <t xml:space="preserve">
</t>
    </r>
    <r>
      <rPr>
        <sz val="10"/>
        <color rgb="FF000000"/>
        <rFont val="Arial"/>
        <family val="2"/>
        <charset val="1"/>
      </rPr>
      <t xml:space="preserve"> Planilha estimativa de custos de deslocamentos, pernoites e Sistema de Gerenciamento</t>
    </r>
  </si>
  <si>
    <t>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</si>
</sst>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 &quot;* #,##0.00_-;&quot;-R$ &quot;* #,##0.00_-;_-&quot;R$ &quot;* \-??_-;_-@_-"/>
    <numFmt numFmtId="165" formatCode="_-* #,##0.00_-;\-* #,##0.00_-;_-* \-??_-;_-@_-"/>
    <numFmt numFmtId="167" formatCode="[$R$-416]\ #,##0.00;[Red]\-[$R$-416]\ #,##0.00"/>
    <numFmt numFmtId="168" formatCode="[$R$-416]\ #,##0.00;[Red][$R$-416]\ #,##0.00"/>
    <numFmt numFmtId="169" formatCode="_-&quot;R$ &quot;* #,##0.0000_-;&quot;-R$ &quot;* #,##0.0000_-;_-&quot;R$ &quot;* \-??_-;_-@_-"/>
    <numFmt numFmtId="170" formatCode="_-&quot;R$&quot;* #,##0.00_-;&quot;-R$&quot;* #,##0.00_-;_-&quot;R$&quot;* \-??_-;_-@_-"/>
    <numFmt numFmtId="171" formatCode="&quot;R$&quot;#,##0.00;[Red]&quot;-R$&quot;#,##0.00"/>
    <numFmt numFmtId="172" formatCode="d/mmm"/>
    <numFmt numFmtId="173" formatCode="0.0000"/>
    <numFmt numFmtId="174" formatCode="0.00&quot; dia(s)&quot;"/>
    <numFmt numFmtId="178" formatCode="0&quot; km&quot;"/>
    <numFmt numFmtId="179" formatCode="0&quot; h&quot;"/>
    <numFmt numFmtId="180" formatCode="0&quot; diária(s)&quot;"/>
    <numFmt numFmtId="184" formatCode="0.0%"/>
    <numFmt numFmtId="192" formatCode="0.00&quot; h&quot;"/>
    <numFmt numFmtId="194" formatCode="&quot;R$&quot;\ #,##0.00"/>
    <numFmt numFmtId="195" formatCode="_-[$R$-416]\ * #,##0.00_-;\-[$R$-416]\ * #,##0.00_-;_-[$R$-416]\ * &quot;-&quot;??_-;_-@_-"/>
  </numFmts>
  <fonts count="52" x14ac:knownFonts="1">
    <font>
      <sz val="11"/>
      <color rgb="FF000000"/>
      <name val="Arial"/>
      <family val="2"/>
      <charset val="1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sz val="10"/>
      <name val="Arial"/>
      <family val="2"/>
      <charset val="1"/>
    </font>
    <font>
      <sz val="11"/>
      <color rgb="FFFFFFFF"/>
      <name val="Calibri"/>
      <family val="2"/>
      <charset val="1"/>
    </font>
    <font>
      <b/>
      <sz val="11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8"/>
      <color rgb="FFFF0000"/>
      <name val="Arial"/>
      <family val="2"/>
      <charset val="1"/>
    </font>
    <font>
      <sz val="11"/>
      <color rgb="FFC9211E"/>
      <name val="Arial"/>
      <family val="2"/>
      <charset val="1"/>
    </font>
    <font>
      <b/>
      <sz val="8"/>
      <color rgb="FF000000"/>
      <name val="Arial"/>
      <family val="2"/>
      <charset val="1"/>
    </font>
    <font>
      <sz val="8"/>
      <name val="Arial"/>
      <family val="2"/>
      <charset val="1"/>
    </font>
    <font>
      <b/>
      <sz val="8"/>
      <name val="Arial"/>
      <family val="2"/>
      <charset val="1"/>
    </font>
    <font>
      <b/>
      <sz val="11"/>
      <name val="Arial"/>
      <family val="2"/>
      <charset val="1"/>
    </font>
    <font>
      <b/>
      <sz val="11"/>
      <color rgb="FFC9211E"/>
      <name val="Arial"/>
      <family val="2"/>
      <charset val="1"/>
    </font>
    <font>
      <sz val="9"/>
      <color rgb="FF000000"/>
      <name val="Times New Roman"/>
      <family val="1"/>
      <charset val="1"/>
    </font>
    <font>
      <sz val="9"/>
      <color rgb="FFC55A11"/>
      <name val="Times New Roman"/>
      <family val="1"/>
      <charset val="1"/>
    </font>
    <font>
      <sz val="8"/>
      <color rgb="FFC55A11"/>
      <name val="Arial"/>
      <family val="2"/>
      <charset val="1"/>
    </font>
    <font>
      <sz val="11"/>
      <name val="Arial"/>
      <family val="2"/>
      <charset val="1"/>
    </font>
    <font>
      <b/>
      <sz val="10"/>
      <name val="Arial"/>
      <family val="2"/>
      <charset val="1"/>
    </font>
    <font>
      <sz val="8"/>
      <color rgb="FF7030A0"/>
      <name val="Arial"/>
      <family val="2"/>
      <charset val="1"/>
    </font>
    <font>
      <sz val="8"/>
      <color rgb="FFFF0000"/>
      <name val="Arial"/>
      <family val="2"/>
      <charset val="1"/>
    </font>
    <font>
      <sz val="11"/>
      <color rgb="FF000000"/>
      <name val="Arial"/>
      <family val="2"/>
      <charset val="1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b/>
      <i/>
      <sz val="11"/>
      <color rgb="FF000000"/>
      <name val="Arial"/>
      <family val="2"/>
    </font>
    <font>
      <b/>
      <sz val="12"/>
      <color rgb="FF000000"/>
      <name val="Calibri"/>
      <family val="2"/>
    </font>
    <font>
      <sz val="11"/>
      <color rgb="FFFF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FF0000"/>
      <name val="Arial"/>
      <family val="2"/>
      <charset val="1"/>
    </font>
    <font>
      <sz val="11"/>
      <color rgb="FFFF0000"/>
      <name val="Arial"/>
      <family val="2"/>
      <charset val="1"/>
    </font>
    <font>
      <b/>
      <sz val="10"/>
      <name val="Arial"/>
      <family val="2"/>
    </font>
    <font>
      <sz val="11"/>
      <color theme="5" tint="-0.249977111117893"/>
      <name val="Arial"/>
      <family val="2"/>
      <charset val="1"/>
    </font>
    <font>
      <sz val="10"/>
      <color rgb="FFFF0000"/>
      <name val="Calibri"/>
      <family val="2"/>
      <scheme val="minor"/>
    </font>
    <font>
      <b/>
      <sz val="8"/>
      <color rgb="FFFF0000"/>
      <name val="Arial"/>
      <family val="2"/>
    </font>
    <font>
      <b/>
      <sz val="10"/>
      <color rgb="FFFF0000"/>
      <name val="Calibri"/>
      <family val="2"/>
      <scheme val="minor"/>
    </font>
    <font>
      <sz val="8"/>
      <color rgb="FFFF0000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rgb="FFDDDDDD"/>
        <bgColor rgb="FFD9D9D9"/>
      </patternFill>
    </fill>
    <fill>
      <patternFill patternType="solid">
        <fgColor rgb="FF333399"/>
        <bgColor rgb="FF043363"/>
      </patternFill>
    </fill>
    <fill>
      <patternFill patternType="solid">
        <fgColor rgb="FFBFBFBF"/>
        <bgColor rgb="FFC0C0C0"/>
      </patternFill>
    </fill>
    <fill>
      <patternFill patternType="solid">
        <fgColor rgb="FFDAE3F3"/>
        <bgColor rgb="FFDDEBF7"/>
      </patternFill>
    </fill>
    <fill>
      <patternFill patternType="solid">
        <fgColor rgb="FFB2B2B2"/>
        <bgColor rgb="FFA6A6A6"/>
      </patternFill>
    </fill>
    <fill>
      <patternFill patternType="solid">
        <fgColor rgb="FFD9D9D9"/>
        <bgColor rgb="FFDDDDDD"/>
      </patternFill>
    </fill>
    <fill>
      <patternFill patternType="solid">
        <fgColor rgb="FFFFFF00"/>
        <bgColor rgb="FFFFC000"/>
      </patternFill>
    </fill>
    <fill>
      <patternFill patternType="solid">
        <fgColor rgb="FFA6A6A6"/>
        <bgColor rgb="FFB2B2B2"/>
      </patternFill>
    </fill>
    <fill>
      <patternFill patternType="solid">
        <fgColor rgb="FFFFFFFF"/>
        <bgColor rgb="FFFFFFCC"/>
      </patternFill>
    </fill>
    <fill>
      <patternFill patternType="solid">
        <fgColor rgb="FF2E75B6"/>
        <bgColor rgb="FF4472C4"/>
      </patternFill>
    </fill>
    <fill>
      <patternFill patternType="solid">
        <fgColor rgb="FF00B0F0"/>
        <bgColor rgb="FF2E75B6"/>
      </patternFill>
    </fill>
    <fill>
      <patternFill patternType="solid">
        <fgColor rgb="FFD6DCE5"/>
        <bgColor rgb="FFDDDDDD"/>
      </patternFill>
    </fill>
    <fill>
      <patternFill patternType="solid">
        <fgColor rgb="FFDEEBF7"/>
        <bgColor rgb="FFDDEBF7"/>
      </patternFill>
    </fill>
    <fill>
      <patternFill patternType="solid">
        <fgColor rgb="FFCCCCCC"/>
        <bgColor rgb="FFD0CECE"/>
      </patternFill>
    </fill>
    <fill>
      <patternFill patternType="solid">
        <fgColor rgb="FFFBE5D6"/>
        <bgColor rgb="FFE2F0D9"/>
      </patternFill>
    </fill>
    <fill>
      <patternFill patternType="solid">
        <fgColor rgb="FFDDE8CB"/>
        <bgColor rgb="FFE2F0D9"/>
      </patternFill>
    </fill>
    <fill>
      <patternFill patternType="solid">
        <fgColor rgb="FFFFA6A6"/>
        <bgColor rgb="FFF4B183"/>
      </patternFill>
    </fill>
    <fill>
      <patternFill patternType="solid">
        <fgColor rgb="FFB4C7DD"/>
        <bgColor rgb="FFC0C0C0"/>
      </patternFill>
    </fill>
    <fill>
      <patternFill patternType="solid">
        <fgColor rgb="FF8FAADC"/>
        <bgColor rgb="FFA6A6A6"/>
      </patternFill>
    </fill>
    <fill>
      <patternFill patternType="solid">
        <fgColor rgb="FFE2F0D9"/>
        <bgColor rgb="FFDDE8CB"/>
      </patternFill>
    </fill>
    <fill>
      <patternFill patternType="solid">
        <fgColor rgb="FFBDD7EE"/>
        <bgColor rgb="FFB4C7DD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0CECE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E2EFDA"/>
        <bgColor rgb="FFD0CECE"/>
      </patternFill>
    </fill>
    <fill>
      <patternFill patternType="solid">
        <fgColor rgb="FF66CCFF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theme="7" tint="0.39997558519241921"/>
        <bgColor rgb="FF000000"/>
      </patternFill>
    </fill>
    <fill>
      <patternFill patternType="solid">
        <fgColor rgb="FFB4B4B4"/>
        <bgColor indexed="64"/>
      </patternFill>
    </fill>
    <fill>
      <patternFill patternType="solid">
        <fgColor rgb="FFB4B4B4"/>
        <bgColor rgb="FFC0C0C0"/>
      </patternFill>
    </fill>
    <fill>
      <patternFill patternType="solid">
        <fgColor theme="8" tint="0.59999389629810485"/>
        <bgColor rgb="FFFFFFCC"/>
      </patternFill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1">
    <xf numFmtId="0" fontId="0" fillId="0" borderId="0"/>
    <xf numFmtId="165" fontId="23" fillId="0" borderId="0" applyBorder="0" applyProtection="0"/>
    <xf numFmtId="164" fontId="23" fillId="0" borderId="0" applyBorder="0" applyProtection="0"/>
    <xf numFmtId="9" fontId="23" fillId="0" borderId="0" applyBorder="0" applyProtection="0"/>
    <xf numFmtId="0" fontId="5" fillId="3" borderId="0" applyBorder="0" applyProtection="0"/>
    <xf numFmtId="0" fontId="1" fillId="0" borderId="0"/>
    <xf numFmtId="44" fontId="1" fillId="0" borderId="0" applyFont="0" applyFill="0" applyBorder="0" applyAlignment="0" applyProtection="0"/>
    <xf numFmtId="0" fontId="23" fillId="0" borderId="0"/>
    <xf numFmtId="9" fontId="23" fillId="0" borderId="0" applyBorder="0" applyProtection="0"/>
    <xf numFmtId="165" fontId="23" fillId="0" borderId="0" applyBorder="0" applyProtection="0"/>
    <xf numFmtId="0" fontId="5" fillId="3" borderId="0" applyBorder="0" applyProtection="0"/>
  </cellStyleXfs>
  <cellXfs count="557">
    <xf numFmtId="0" fontId="0" fillId="0" borderId="0" xfId="0"/>
    <xf numFmtId="0" fontId="11" fillId="2" borderId="1" xfId="0" applyFont="1" applyFill="1" applyBorder="1" applyAlignment="1">
      <alignment horizontal="center" vertical="center" wrapText="1"/>
    </xf>
    <xf numFmtId="0" fontId="11" fillId="15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3" fillId="15" borderId="1" xfId="0" applyFont="1" applyFill="1" applyBorder="1" applyAlignment="1">
      <alignment horizontal="center" vertical="center" wrapText="1"/>
    </xf>
    <xf numFmtId="0" fontId="11" fillId="22" borderId="1" xfId="0" applyFont="1" applyFill="1" applyBorder="1" applyAlignment="1">
      <alignment horizontal="center" vertical="center" wrapText="1"/>
    </xf>
    <xf numFmtId="0" fontId="11" fillId="16" borderId="1" xfId="0" applyFont="1" applyFill="1" applyBorder="1" applyAlignment="1">
      <alignment horizontal="center" vertical="center" wrapText="1"/>
    </xf>
    <xf numFmtId="0" fontId="11" fillId="15" borderId="1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/>
    <xf numFmtId="0" fontId="0" fillId="0" borderId="1" xfId="0" applyBorder="1"/>
    <xf numFmtId="0" fontId="0" fillId="0" borderId="1" xfId="0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/>
    <xf numFmtId="0" fontId="7" fillId="0" borderId="0" xfId="0" applyFont="1" applyAlignment="1">
      <alignment horizontal="center"/>
    </xf>
    <xf numFmtId="0" fontId="7" fillId="0" borderId="0" xfId="0" applyFont="1"/>
    <xf numFmtId="167" fontId="7" fillId="5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right"/>
    </xf>
    <xf numFmtId="165" fontId="7" fillId="0" borderId="3" xfId="0" applyNumberFormat="1" applyFont="1" applyBorder="1"/>
    <xf numFmtId="165" fontId="7" fillId="0" borderId="0" xfId="1" applyFont="1" applyBorder="1" applyAlignment="1" applyProtection="1">
      <alignment horizontal="center"/>
    </xf>
    <xf numFmtId="164" fontId="11" fillId="5" borderId="2" xfId="2" applyFont="1" applyFill="1" applyBorder="1" applyAlignment="1" applyProtection="1">
      <alignment horizontal="right"/>
    </xf>
    <xf numFmtId="169" fontId="11" fillId="5" borderId="3" xfId="0" applyNumberFormat="1" applyFont="1" applyFill="1" applyBorder="1"/>
    <xf numFmtId="164" fontId="7" fillId="0" borderId="0" xfId="0" applyNumberFormat="1" applyFont="1"/>
    <xf numFmtId="170" fontId="7" fillId="0" borderId="0" xfId="0" applyNumberFormat="1" applyFont="1"/>
    <xf numFmtId="170" fontId="7" fillId="0" borderId="4" xfId="0" applyNumberFormat="1" applyFont="1" applyBorder="1"/>
    <xf numFmtId="0" fontId="12" fillId="0" borderId="5" xfId="0" applyFont="1" applyBorder="1"/>
    <xf numFmtId="170" fontId="7" fillId="0" borderId="6" xfId="0" applyNumberFormat="1" applyFont="1" applyBorder="1"/>
    <xf numFmtId="0" fontId="7" fillId="0" borderId="7" xfId="0" applyFont="1" applyBorder="1"/>
    <xf numFmtId="171" fontId="7" fillId="0" borderId="6" xfId="2" applyNumberFormat="1" applyFont="1" applyBorder="1" applyAlignment="1" applyProtection="1">
      <alignment horizontal="right"/>
    </xf>
    <xf numFmtId="0" fontId="7" fillId="0" borderId="6" xfId="0" applyFont="1" applyBorder="1"/>
    <xf numFmtId="164" fontId="7" fillId="0" borderId="7" xfId="0" applyNumberFormat="1" applyFont="1" applyBorder="1"/>
    <xf numFmtId="0" fontId="7" fillId="0" borderId="8" xfId="0" applyFont="1" applyBorder="1"/>
    <xf numFmtId="10" fontId="7" fillId="0" borderId="9" xfId="3" applyNumberFormat="1" applyFont="1" applyBorder="1" applyProtection="1"/>
    <xf numFmtId="0" fontId="7" fillId="0" borderId="0" xfId="0" applyFont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left" vertical="center"/>
    </xf>
    <xf numFmtId="0" fontId="13" fillId="7" borderId="1" xfId="0" applyFont="1" applyFill="1" applyBorder="1" applyAlignment="1">
      <alignment horizontal="justify" vertical="center" wrapText="1"/>
    </xf>
    <xf numFmtId="0" fontId="13" fillId="7" borderId="1" xfId="0" applyFont="1" applyFill="1" applyBorder="1" applyAlignment="1">
      <alignment vertical="center"/>
    </xf>
    <xf numFmtId="167" fontId="13" fillId="7" borderId="1" xfId="0" applyNumberFormat="1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4" fontId="7" fillId="0" borderId="1" xfId="0" applyNumberFormat="1" applyFont="1" applyBorder="1" applyAlignment="1" applyProtection="1">
      <alignment horizontal="center" vertical="center"/>
      <protection locked="0"/>
    </xf>
    <xf numFmtId="4" fontId="11" fillId="0" borderId="1" xfId="0" applyNumberFormat="1" applyFont="1" applyBorder="1" applyAlignment="1" applyProtection="1">
      <alignment horizontal="center" vertical="center"/>
      <protection locked="0"/>
    </xf>
    <xf numFmtId="0" fontId="11" fillId="7" borderId="1" xfId="0" applyFont="1" applyFill="1" applyBorder="1" applyAlignment="1">
      <alignment horizontal="left" vertical="center"/>
    </xf>
    <xf numFmtId="0" fontId="11" fillId="7" borderId="1" xfId="0" applyFont="1" applyFill="1" applyBorder="1" applyAlignment="1">
      <alignment horizontal="justify" vertical="center" wrapText="1"/>
    </xf>
    <xf numFmtId="4" fontId="11" fillId="7" borderId="1" xfId="0" applyNumberFormat="1" applyFont="1" applyFill="1" applyBorder="1" applyAlignment="1" applyProtection="1">
      <alignment horizontal="center" vertical="center"/>
      <protection locked="0"/>
    </xf>
    <xf numFmtId="167" fontId="11" fillId="7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167" fontId="11" fillId="5" borderId="1" xfId="0" applyNumberFormat="1" applyFont="1" applyFill="1" applyBorder="1" applyAlignment="1">
      <alignment vertical="center"/>
    </xf>
    <xf numFmtId="0" fontId="7" fillId="0" borderId="0" xfId="0" applyFont="1" applyAlignment="1">
      <alignment horizontal="justify" vertical="center" wrapText="1"/>
    </xf>
    <xf numFmtId="0" fontId="7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7" fillId="6" borderId="2" xfId="0" applyFont="1" applyFill="1" applyBorder="1" applyAlignment="1">
      <alignment horizontal="justify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justify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justify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167" fontId="12" fillId="5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Border="1" applyAlignment="1" applyProtection="1">
      <alignment horizontal="center" vertical="center" wrapText="1"/>
      <protection locked="0"/>
    </xf>
    <xf numFmtId="167" fontId="12" fillId="10" borderId="1" xfId="0" applyNumberFormat="1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167" fontId="13" fillId="11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11" fillId="12" borderId="1" xfId="0" applyFont="1" applyFill="1" applyBorder="1" applyAlignment="1">
      <alignment horizontal="center" vertical="center" wrapText="1"/>
    </xf>
    <xf numFmtId="10" fontId="11" fillId="12" borderId="1" xfId="0" applyNumberFormat="1" applyFont="1" applyFill="1" applyBorder="1" applyAlignment="1">
      <alignment horizontal="center" vertical="center" wrapText="1"/>
    </xf>
    <xf numFmtId="167" fontId="13" fillId="1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67" fontId="12" fillId="13" borderId="1" xfId="0" applyNumberFormat="1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/>
    </xf>
    <xf numFmtId="0" fontId="6" fillId="11" borderId="1" xfId="0" applyFont="1" applyFill="1" applyBorder="1"/>
    <xf numFmtId="10" fontId="16" fillId="0" borderId="1" xfId="0" applyNumberFormat="1" applyFont="1" applyBorder="1" applyAlignment="1" applyProtection="1">
      <alignment horizontal="center" vertical="center" wrapText="1"/>
      <protection locked="0"/>
    </xf>
    <xf numFmtId="10" fontId="17" fillId="0" borderId="1" xfId="0" applyNumberFormat="1" applyFont="1" applyBorder="1" applyAlignment="1" applyProtection="1">
      <alignment horizontal="center" vertical="center" wrapText="1"/>
      <protection locked="0"/>
    </xf>
    <xf numFmtId="10" fontId="11" fillId="11" borderId="1" xfId="0" applyNumberFormat="1" applyFont="1" applyFill="1" applyBorder="1" applyAlignment="1">
      <alignment horizontal="center" vertical="center" wrapText="1"/>
    </xf>
    <xf numFmtId="10" fontId="18" fillId="0" borderId="1" xfId="3" applyNumberFormat="1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center" vertical="center" wrapText="1"/>
    </xf>
    <xf numFmtId="2" fontId="12" fillId="5" borderId="1" xfId="0" applyNumberFormat="1" applyFont="1" applyFill="1" applyBorder="1" applyAlignment="1">
      <alignment horizontal="center" vertical="center" wrapText="1"/>
    </xf>
    <xf numFmtId="2" fontId="12" fillId="5" borderId="1" xfId="2" applyNumberFormat="1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justify" vertical="center" wrapText="1"/>
    </xf>
    <xf numFmtId="10" fontId="7" fillId="11" borderId="1" xfId="0" applyNumberFormat="1" applyFont="1" applyFill="1" applyBorder="1" applyAlignment="1">
      <alignment horizontal="center" vertical="center" wrapText="1"/>
    </xf>
    <xf numFmtId="167" fontId="12" fillId="11" borderId="1" xfId="0" applyNumberFormat="1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center" vertical="center" wrapText="1"/>
    </xf>
    <xf numFmtId="167" fontId="12" fillId="14" borderId="1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justify" vertical="center" wrapText="1"/>
    </xf>
    <xf numFmtId="0" fontId="7" fillId="2" borderId="3" xfId="0" applyFont="1" applyFill="1" applyBorder="1" applyAlignment="1">
      <alignment horizontal="center" vertical="center" wrapText="1"/>
    </xf>
    <xf numFmtId="167" fontId="13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justify" vertical="center" wrapText="1"/>
    </xf>
    <xf numFmtId="9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173" fontId="8" fillId="0" borderId="1" xfId="0" applyNumberFormat="1" applyFont="1" applyBorder="1" applyAlignment="1">
      <alignment horizontal="center" vertical="center" wrapText="1"/>
    </xf>
    <xf numFmtId="10" fontId="8" fillId="0" borderId="1" xfId="0" applyNumberFormat="1" applyFont="1" applyBorder="1" applyAlignment="1">
      <alignment horizontal="center" vertical="center" wrapText="1"/>
    </xf>
    <xf numFmtId="167" fontId="7" fillId="0" borderId="1" xfId="0" applyNumberFormat="1" applyFont="1" applyBorder="1" applyAlignment="1">
      <alignment horizontal="center" vertical="center" wrapText="1"/>
    </xf>
    <xf numFmtId="0" fontId="12" fillId="14" borderId="1" xfId="0" applyFont="1" applyFill="1" applyBorder="1" applyAlignment="1">
      <alignment horizontal="center" vertical="center" wrapText="1"/>
    </xf>
    <xf numFmtId="0" fontId="19" fillId="0" borderId="0" xfId="0" applyFont="1"/>
    <xf numFmtId="165" fontId="7" fillId="0" borderId="1" xfId="1" applyFont="1" applyBorder="1" applyAlignment="1" applyProtection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7" fillId="10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 applyProtection="1">
      <alignment horizontal="center" vertical="center"/>
      <protection locked="0"/>
    </xf>
    <xf numFmtId="0" fontId="7" fillId="14" borderId="1" xfId="0" applyFont="1" applyFill="1" applyBorder="1" applyAlignment="1">
      <alignment horizontal="center" vertical="center" wrapText="1"/>
    </xf>
    <xf numFmtId="178" fontId="7" fillId="14" borderId="1" xfId="0" applyNumberFormat="1" applyFont="1" applyFill="1" applyBorder="1" applyAlignment="1">
      <alignment horizontal="center" vertical="center"/>
    </xf>
    <xf numFmtId="174" fontId="7" fillId="14" borderId="1" xfId="0" applyNumberFormat="1" applyFont="1" applyFill="1" applyBorder="1" applyAlignment="1">
      <alignment horizontal="center" vertical="center"/>
    </xf>
    <xf numFmtId="180" fontId="12" fillId="14" borderId="1" xfId="0" applyNumberFormat="1" applyFont="1" applyFill="1" applyBorder="1" applyAlignment="1">
      <alignment horizontal="center" vertical="center"/>
    </xf>
    <xf numFmtId="167" fontId="7" fillId="0" borderId="1" xfId="0" applyNumberFormat="1" applyFont="1" applyBorder="1" applyAlignment="1">
      <alignment horizontal="center" vertical="center"/>
    </xf>
    <xf numFmtId="167" fontId="7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justify" vertical="center" wrapText="1"/>
    </xf>
    <xf numFmtId="0" fontId="13" fillId="0" borderId="0" xfId="0" applyFont="1" applyAlignment="1">
      <alignment horizontal="center" vertical="center" wrapText="1"/>
    </xf>
    <xf numFmtId="0" fontId="13" fillId="15" borderId="12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 applyProtection="1">
      <alignment horizontal="center" vertical="center"/>
      <protection locked="0"/>
    </xf>
    <xf numFmtId="0" fontId="4" fillId="0" borderId="1" xfId="4" applyFont="1" applyFill="1" applyBorder="1" applyAlignment="1" applyProtection="1">
      <alignment horizontal="center" vertical="center" wrapText="1"/>
      <protection locked="0"/>
    </xf>
    <xf numFmtId="0" fontId="12" fillId="14" borderId="1" xfId="0" applyFont="1" applyFill="1" applyBorder="1" applyAlignment="1">
      <alignment horizontal="justify" vertical="center" wrapText="1"/>
    </xf>
    <xf numFmtId="0" fontId="12" fillId="14" borderId="2" xfId="0" applyFont="1" applyFill="1" applyBorder="1" applyAlignment="1">
      <alignment horizontal="center" vertical="center" wrapText="1"/>
    </xf>
    <xf numFmtId="4" fontId="4" fillId="14" borderId="3" xfId="4" applyNumberFormat="1" applyFont="1" applyFill="1" applyBorder="1" applyAlignment="1">
      <alignment horizontal="center" vertical="center"/>
    </xf>
    <xf numFmtId="167" fontId="12" fillId="14" borderId="1" xfId="0" applyNumberFormat="1" applyFont="1" applyFill="1" applyBorder="1" applyAlignment="1">
      <alignment horizontal="center" vertical="center"/>
    </xf>
    <xf numFmtId="0" fontId="4" fillId="0" borderId="1" xfId="4" applyFont="1" applyFill="1" applyBorder="1" applyAlignment="1" applyProtection="1">
      <alignment horizontal="center" vertical="center"/>
      <protection locked="0"/>
    </xf>
    <xf numFmtId="49" fontId="12" fillId="0" borderId="1" xfId="0" applyNumberFormat="1" applyFont="1" applyBorder="1" applyAlignment="1">
      <alignment horizontal="center" vertical="center"/>
    </xf>
    <xf numFmtId="0" fontId="21" fillId="14" borderId="1" xfId="0" applyFont="1" applyFill="1" applyBorder="1" applyAlignment="1">
      <alignment horizontal="center" vertical="center" wrapText="1"/>
    </xf>
    <xf numFmtId="0" fontId="22" fillId="14" borderId="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167" fontId="12" fillId="0" borderId="0" xfId="0" applyNumberFormat="1" applyFont="1" applyAlignment="1">
      <alignment horizontal="center" vertical="center"/>
    </xf>
    <xf numFmtId="167" fontId="13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justify" vertical="center" wrapText="1"/>
    </xf>
    <xf numFmtId="167" fontId="13" fillId="0" borderId="0" xfId="0" applyNumberFormat="1" applyFont="1" applyAlignment="1">
      <alignment horizontal="center" vertical="center"/>
    </xf>
    <xf numFmtId="10" fontId="13" fillId="0" borderId="1" xfId="0" applyNumberFormat="1" applyFont="1" applyBorder="1" applyAlignment="1">
      <alignment horizontal="center" vertical="center"/>
    </xf>
    <xf numFmtId="167" fontId="12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2" fontId="7" fillId="14" borderId="1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67" fontId="22" fillId="14" borderId="1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 wrapText="1"/>
    </xf>
    <xf numFmtId="0" fontId="11" fillId="17" borderId="1" xfId="0" applyFont="1" applyFill="1" applyBorder="1" applyAlignment="1">
      <alignment horizontal="center" vertical="center"/>
    </xf>
    <xf numFmtId="0" fontId="11" fillId="17" borderId="1" xfId="0" applyFont="1" applyFill="1" applyBorder="1" applyAlignment="1">
      <alignment horizontal="justify" vertical="center" wrapText="1"/>
    </xf>
    <xf numFmtId="10" fontId="11" fillId="17" borderId="1" xfId="0" applyNumberFormat="1" applyFont="1" applyFill="1" applyBorder="1" applyAlignment="1">
      <alignment horizontal="center" vertical="center"/>
    </xf>
    <xf numFmtId="0" fontId="7" fillId="17" borderId="1" xfId="0" applyFont="1" applyFill="1" applyBorder="1" applyAlignment="1">
      <alignment horizontal="center" vertical="center"/>
    </xf>
    <xf numFmtId="0" fontId="7" fillId="17" borderId="1" xfId="0" applyFont="1" applyFill="1" applyBorder="1" applyAlignment="1">
      <alignment horizontal="justify" vertical="center" wrapText="1"/>
    </xf>
    <xf numFmtId="10" fontId="7" fillId="10" borderId="1" xfId="0" applyNumberFormat="1" applyFont="1" applyFill="1" applyBorder="1" applyAlignment="1" applyProtection="1">
      <alignment horizontal="center" vertical="center"/>
      <protection locked="0"/>
    </xf>
    <xf numFmtId="0" fontId="11" fillId="18" borderId="1" xfId="0" applyFont="1" applyFill="1" applyBorder="1" applyAlignment="1">
      <alignment horizontal="center" vertical="center"/>
    </xf>
    <xf numFmtId="0" fontId="11" fillId="18" borderId="1" xfId="0" applyFont="1" applyFill="1" applyBorder="1" applyAlignment="1">
      <alignment horizontal="justify" vertical="center" wrapText="1"/>
    </xf>
    <xf numFmtId="10" fontId="11" fillId="10" borderId="1" xfId="0" applyNumberFormat="1" applyFont="1" applyFill="1" applyBorder="1" applyAlignment="1" applyProtection="1">
      <alignment horizontal="center" vertical="center"/>
      <protection locked="0"/>
    </xf>
    <xf numFmtId="0" fontId="11" fillId="19" borderId="1" xfId="0" applyFont="1" applyFill="1" applyBorder="1" applyAlignment="1">
      <alignment horizontal="center" vertical="center"/>
    </xf>
    <xf numFmtId="0" fontId="11" fillId="19" borderId="1" xfId="0" applyFont="1" applyFill="1" applyBorder="1" applyAlignment="1">
      <alignment horizontal="justify" vertical="center" wrapText="1"/>
    </xf>
    <xf numFmtId="10" fontId="11" fillId="19" borderId="1" xfId="0" applyNumberFormat="1" applyFont="1" applyFill="1" applyBorder="1" applyAlignment="1">
      <alignment horizontal="center" vertical="center"/>
    </xf>
    <xf numFmtId="0" fontId="7" fillId="19" borderId="1" xfId="0" applyFont="1" applyFill="1" applyBorder="1" applyAlignment="1">
      <alignment horizontal="center" vertical="center"/>
    </xf>
    <xf numFmtId="0" fontId="7" fillId="19" borderId="1" xfId="0" applyFont="1" applyFill="1" applyBorder="1" applyAlignment="1">
      <alignment horizontal="justify" vertical="center" wrapText="1"/>
    </xf>
    <xf numFmtId="10" fontId="7" fillId="10" borderId="1" xfId="0" applyNumberFormat="1" applyFont="1" applyFill="1" applyBorder="1" applyAlignment="1">
      <alignment horizontal="center" vertical="center"/>
    </xf>
    <xf numFmtId="10" fontId="7" fillId="14" borderId="1" xfId="0" applyNumberFormat="1" applyFont="1" applyFill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184" fontId="7" fillId="0" borderId="0" xfId="0" applyNumberFormat="1" applyFont="1" applyAlignment="1">
      <alignment horizontal="center" vertical="center" wrapText="1"/>
    </xf>
    <xf numFmtId="184" fontId="11" fillId="15" borderId="1" xfId="0" applyNumberFormat="1" applyFont="1" applyFill="1" applyBorder="1" applyAlignment="1">
      <alignment horizontal="center" vertical="center" wrapText="1"/>
    </xf>
    <xf numFmtId="184" fontId="7" fillId="0" borderId="1" xfId="3" applyNumberFormat="1" applyFont="1" applyBorder="1" applyAlignment="1" applyProtection="1">
      <alignment horizontal="center" vertical="center" wrapText="1"/>
      <protection locked="0"/>
    </xf>
    <xf numFmtId="2" fontId="11" fillId="15" borderId="1" xfId="0" applyNumberFormat="1" applyFont="1" applyFill="1" applyBorder="1" applyAlignment="1">
      <alignment horizontal="center" vertical="center" wrapText="1"/>
    </xf>
    <xf numFmtId="184" fontId="11" fillId="15" borderId="12" xfId="0" applyNumberFormat="1" applyFont="1" applyFill="1" applyBorder="1" applyAlignment="1">
      <alignment horizontal="center" vertical="center" wrapText="1"/>
    </xf>
    <xf numFmtId="10" fontId="11" fillId="15" borderId="12" xfId="3" applyNumberFormat="1" applyFont="1" applyFill="1" applyBorder="1" applyAlignment="1" applyProtection="1">
      <alignment horizontal="center" vertical="center" wrapText="1"/>
    </xf>
    <xf numFmtId="184" fontId="7" fillId="0" borderId="1" xfId="0" applyNumberFormat="1" applyFont="1" applyBorder="1" applyAlignment="1">
      <alignment horizontal="center" vertical="center" wrapText="1"/>
    </xf>
    <xf numFmtId="184" fontId="11" fillId="20" borderId="1" xfId="0" applyNumberFormat="1" applyFont="1" applyFill="1" applyBorder="1" applyAlignment="1">
      <alignment horizontal="center" vertical="center" wrapText="1"/>
    </xf>
    <xf numFmtId="10" fontId="11" fillId="20" borderId="1" xfId="3" applyNumberFormat="1" applyFont="1" applyFill="1" applyBorder="1" applyAlignment="1" applyProtection="1">
      <alignment horizontal="center" vertical="center" wrapText="1"/>
    </xf>
    <xf numFmtId="165" fontId="7" fillId="0" borderId="2" xfId="1" applyFont="1" applyBorder="1" applyAlignment="1" applyProtection="1">
      <alignment horizontal="center" vertical="center" wrapText="1"/>
    </xf>
    <xf numFmtId="184" fontId="7" fillId="0" borderId="12" xfId="3" applyNumberFormat="1" applyFont="1" applyBorder="1" applyAlignment="1" applyProtection="1">
      <alignment horizontal="center" vertical="center" wrapText="1"/>
    </xf>
    <xf numFmtId="0" fontId="11" fillId="21" borderId="3" xfId="0" applyFont="1" applyFill="1" applyBorder="1" applyAlignment="1">
      <alignment horizontal="center" vertical="center" wrapText="1"/>
    </xf>
    <xf numFmtId="165" fontId="11" fillId="21" borderId="2" xfId="0" applyNumberFormat="1" applyFont="1" applyFill="1" applyBorder="1" applyAlignment="1">
      <alignment horizontal="center" vertical="center" wrapText="1"/>
    </xf>
    <xf numFmtId="10" fontId="11" fillId="21" borderId="1" xfId="3" applyNumberFormat="1" applyFont="1" applyFill="1" applyBorder="1" applyAlignment="1" applyProtection="1">
      <alignment horizontal="center" vertical="center" wrapText="1"/>
    </xf>
    <xf numFmtId="165" fontId="11" fillId="22" borderId="2" xfId="0" applyNumberFormat="1" applyFont="1" applyFill="1" applyBorder="1" applyAlignment="1">
      <alignment horizontal="center" vertical="center" wrapText="1"/>
    </xf>
    <xf numFmtId="184" fontId="11" fillId="22" borderId="1" xfId="3" applyNumberFormat="1" applyFont="1" applyFill="1" applyBorder="1" applyAlignment="1" applyProtection="1">
      <alignment horizontal="center" vertical="center" wrapText="1"/>
    </xf>
    <xf numFmtId="165" fontId="11" fillId="16" borderId="2" xfId="0" applyNumberFormat="1" applyFont="1" applyFill="1" applyBorder="1" applyAlignment="1">
      <alignment horizontal="center" vertical="center" wrapText="1"/>
    </xf>
    <xf numFmtId="9" fontId="11" fillId="16" borderId="11" xfId="3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wrapText="1"/>
    </xf>
    <xf numFmtId="10" fontId="7" fillId="14" borderId="1" xfId="0" applyNumberFormat="1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14" borderId="2" xfId="0" applyFont="1" applyFill="1" applyBorder="1" applyAlignment="1">
      <alignment horizontal="center" vertical="center" wrapText="1"/>
    </xf>
    <xf numFmtId="192" fontId="7" fillId="0" borderId="1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194" fontId="0" fillId="0" borderId="17" xfId="0" applyNumberFormat="1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6" fillId="27" borderId="18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1" fillId="7" borderId="17" xfId="0" applyFont="1" applyFill="1" applyBorder="1" applyAlignment="1">
      <alignment horizontal="left" vertical="center" wrapText="1"/>
    </xf>
    <xf numFmtId="0" fontId="11" fillId="7" borderId="17" xfId="0" applyFont="1" applyFill="1" applyBorder="1" applyAlignment="1">
      <alignment horizontal="left" vertical="center"/>
    </xf>
    <xf numFmtId="0" fontId="12" fillId="6" borderId="17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12" fillId="0" borderId="17" xfId="0" applyFont="1" applyBorder="1" applyAlignment="1" applyProtection="1">
      <alignment horizontal="center" vertical="center" wrapText="1"/>
      <protection locked="0"/>
    </xf>
    <xf numFmtId="0" fontId="12" fillId="6" borderId="19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12" fillId="6" borderId="32" xfId="0" applyFont="1" applyFill="1" applyBorder="1" applyAlignment="1">
      <alignment horizontal="center" vertical="center" wrapText="1"/>
    </xf>
    <xf numFmtId="0" fontId="7" fillId="25" borderId="0" xfId="0" applyFont="1" applyFill="1" applyAlignment="1">
      <alignment horizontal="center" vertical="center" wrapText="1"/>
    </xf>
    <xf numFmtId="0" fontId="0" fillId="25" borderId="0" xfId="0" applyFill="1"/>
    <xf numFmtId="0" fontId="11" fillId="25" borderId="0" xfId="0" applyFont="1" applyFill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195" fontId="0" fillId="0" borderId="17" xfId="0" applyNumberFormat="1" applyBorder="1" applyAlignment="1">
      <alignment horizontal="right" vertical="center"/>
    </xf>
    <xf numFmtId="172" fontId="7" fillId="8" borderId="0" xfId="0" applyNumberFormat="1" applyFont="1" applyFill="1" applyAlignment="1">
      <alignment horizontal="center" vertical="center"/>
    </xf>
    <xf numFmtId="0" fontId="28" fillId="0" borderId="9" xfId="5" applyFont="1" applyBorder="1" applyAlignment="1">
      <alignment vertical="center"/>
    </xf>
    <xf numFmtId="0" fontId="29" fillId="30" borderId="1" xfId="5" applyFont="1" applyFill="1" applyBorder="1" applyAlignment="1">
      <alignment horizontal="center" vertical="center" wrapText="1"/>
    </xf>
    <xf numFmtId="0" fontId="29" fillId="30" borderId="1" xfId="5" applyFont="1" applyFill="1" applyBorder="1" applyAlignment="1">
      <alignment vertical="center" wrapText="1"/>
    </xf>
    <xf numFmtId="0" fontId="29" fillId="30" borderId="1" xfId="0" applyFont="1" applyFill="1" applyBorder="1" applyAlignment="1">
      <alignment horizontal="center" vertical="center" wrapText="1"/>
    </xf>
    <xf numFmtId="0" fontId="29" fillId="32" borderId="1" xfId="0" applyFont="1" applyFill="1" applyBorder="1" applyAlignment="1">
      <alignment vertical="center"/>
    </xf>
    <xf numFmtId="194" fontId="31" fillId="32" borderId="1" xfId="5" applyNumberFormat="1" applyFont="1" applyFill="1" applyBorder="1" applyAlignment="1">
      <alignment horizontal="center" vertical="center" wrapText="1"/>
    </xf>
    <xf numFmtId="0" fontId="31" fillId="32" borderId="1" xfId="5" applyFont="1" applyFill="1" applyBorder="1" applyAlignment="1">
      <alignment horizontal="center" vertical="center" wrapText="1"/>
    </xf>
    <xf numFmtId="194" fontId="31" fillId="32" borderId="1" xfId="5" applyNumberFormat="1" applyFont="1" applyFill="1" applyBorder="1" applyAlignment="1">
      <alignment horizontal="right" vertical="center" wrapText="1"/>
    </xf>
    <xf numFmtId="194" fontId="29" fillId="32" borderId="1" xfId="5" applyNumberFormat="1" applyFont="1" applyFill="1" applyBorder="1" applyAlignment="1">
      <alignment horizontal="right" vertical="center" wrapText="1"/>
    </xf>
    <xf numFmtId="0" fontId="31" fillId="32" borderId="1" xfId="0" applyFont="1" applyFill="1" applyBorder="1" applyAlignment="1">
      <alignment horizontal="right" vertical="center"/>
    </xf>
    <xf numFmtId="0" fontId="31" fillId="32" borderId="1" xfId="0" applyFont="1" applyFill="1" applyBorder="1" applyAlignment="1">
      <alignment vertical="center" wrapText="1"/>
    </xf>
    <xf numFmtId="4" fontId="32" fillId="32" borderId="17" xfId="0" applyNumberFormat="1" applyFont="1" applyFill="1" applyBorder="1" applyAlignment="1" applyProtection="1">
      <alignment horizontal="center" vertical="center"/>
      <protection locked="0"/>
    </xf>
    <xf numFmtId="194" fontId="31" fillId="33" borderId="1" xfId="5" applyNumberFormat="1" applyFont="1" applyFill="1" applyBorder="1" applyAlignment="1">
      <alignment vertical="center" wrapText="1"/>
    </xf>
    <xf numFmtId="0" fontId="29" fillId="32" borderId="1" xfId="5" applyFont="1" applyFill="1" applyBorder="1" applyAlignment="1">
      <alignment vertical="center"/>
    </xf>
    <xf numFmtId="0" fontId="29" fillId="32" borderId="1" xfId="5" applyFont="1" applyFill="1" applyBorder="1" applyAlignment="1">
      <alignment horizontal="center" vertical="center"/>
    </xf>
    <xf numFmtId="165" fontId="29" fillId="32" borderId="1" xfId="1" applyFont="1" applyFill="1" applyBorder="1" applyAlignment="1">
      <alignment vertical="center"/>
    </xf>
    <xf numFmtId="194" fontId="29" fillId="32" borderId="1" xfId="1" applyNumberFormat="1" applyFont="1" applyFill="1" applyBorder="1" applyAlignment="1">
      <alignment vertical="center"/>
    </xf>
    <xf numFmtId="0" fontId="29" fillId="33" borderId="1" xfId="5" applyFont="1" applyFill="1" applyBorder="1" applyAlignment="1">
      <alignment vertical="center"/>
    </xf>
    <xf numFmtId="0" fontId="33" fillId="32" borderId="1" xfId="5" applyFont="1" applyFill="1" applyBorder="1" applyAlignment="1">
      <alignment horizontal="center" vertical="center" wrapText="1"/>
    </xf>
    <xf numFmtId="194" fontId="33" fillId="32" borderId="1" xfId="1" applyNumberFormat="1" applyFont="1" applyFill="1" applyBorder="1" applyAlignment="1">
      <alignment vertical="center" wrapText="1"/>
    </xf>
    <xf numFmtId="0" fontId="33" fillId="33" borderId="1" xfId="5" applyFont="1" applyFill="1" applyBorder="1" applyAlignment="1">
      <alignment vertical="center" wrapText="1"/>
    </xf>
    <xf numFmtId="0" fontId="33" fillId="30" borderId="2" xfId="5" applyFont="1" applyFill="1" applyBorder="1" applyAlignment="1">
      <alignment horizontal="center" vertical="center" wrapText="1"/>
    </xf>
    <xf numFmtId="194" fontId="33" fillId="30" borderId="1" xfId="5" applyNumberFormat="1" applyFont="1" applyFill="1" applyBorder="1" applyAlignment="1">
      <alignment horizontal="center" vertical="center" wrapText="1"/>
    </xf>
    <xf numFmtId="0" fontId="31" fillId="32" borderId="0" xfId="5" applyFont="1" applyFill="1" applyAlignment="1">
      <alignment horizontal="center" vertical="center" wrapText="1"/>
    </xf>
    <xf numFmtId="0" fontId="29" fillId="32" borderId="12" xfId="0" applyFont="1" applyFill="1" applyBorder="1" applyAlignment="1">
      <alignment vertical="center"/>
    </xf>
    <xf numFmtId="194" fontId="31" fillId="32" borderId="12" xfId="5" applyNumberFormat="1" applyFont="1" applyFill="1" applyBorder="1" applyAlignment="1">
      <alignment horizontal="center" vertical="center" wrapText="1"/>
    </xf>
    <xf numFmtId="194" fontId="31" fillId="32" borderId="12" xfId="5" applyNumberFormat="1" applyFont="1" applyFill="1" applyBorder="1" applyAlignment="1">
      <alignment horizontal="right" vertical="center" wrapText="1"/>
    </xf>
    <xf numFmtId="194" fontId="29" fillId="32" borderId="12" xfId="5" applyNumberFormat="1" applyFont="1" applyFill="1" applyBorder="1" applyAlignment="1">
      <alignment horizontal="right" vertical="center" wrapText="1"/>
    </xf>
    <xf numFmtId="0" fontId="31" fillId="32" borderId="11" xfId="0" applyFont="1" applyFill="1" applyBorder="1" applyAlignment="1">
      <alignment horizontal="right" vertical="center"/>
    </xf>
    <xf numFmtId="0" fontId="31" fillId="32" borderId="11" xfId="0" applyFont="1" applyFill="1" applyBorder="1" applyAlignment="1">
      <alignment vertical="center" wrapText="1"/>
    </xf>
    <xf numFmtId="194" fontId="31" fillId="32" borderId="11" xfId="5" applyNumberFormat="1" applyFont="1" applyFill="1" applyBorder="1" applyAlignment="1">
      <alignment horizontal="center" vertical="center" wrapText="1"/>
    </xf>
    <xf numFmtId="4" fontId="32" fillId="32" borderId="19" xfId="0" applyNumberFormat="1" applyFont="1" applyFill="1" applyBorder="1" applyAlignment="1" applyProtection="1">
      <alignment horizontal="center" vertical="center"/>
      <protection locked="0"/>
    </xf>
    <xf numFmtId="194" fontId="31" fillId="32" borderId="11" xfId="5" applyNumberFormat="1" applyFont="1" applyFill="1" applyBorder="1" applyAlignment="1">
      <alignment horizontal="right" vertical="center" wrapText="1"/>
    </xf>
    <xf numFmtId="194" fontId="31" fillId="33" borderId="11" xfId="5" applyNumberFormat="1" applyFont="1" applyFill="1" applyBorder="1" applyAlignment="1">
      <alignment vertical="center" wrapText="1"/>
    </xf>
    <xf numFmtId="0" fontId="29" fillId="32" borderId="1" xfId="0" applyFont="1" applyFill="1" applyBorder="1" applyAlignment="1">
      <alignment horizontal="right" vertical="center"/>
    </xf>
    <xf numFmtId="0" fontId="29" fillId="32" borderId="1" xfId="0" applyFont="1" applyFill="1" applyBorder="1" applyAlignment="1">
      <alignment vertical="center" wrapText="1"/>
    </xf>
    <xf numFmtId="0" fontId="28" fillId="0" borderId="0" xfId="5" applyFont="1" applyAlignment="1">
      <alignment vertical="center"/>
    </xf>
    <xf numFmtId="0" fontId="33" fillId="30" borderId="1" xfId="5" applyFont="1" applyFill="1" applyBorder="1" applyAlignment="1">
      <alignment horizontal="center" vertical="center" wrapText="1"/>
    </xf>
    <xf numFmtId="0" fontId="33" fillId="30" borderId="2" xfId="5" applyFont="1" applyFill="1" applyBorder="1" applyAlignment="1">
      <alignment vertical="center" wrapText="1"/>
    </xf>
    <xf numFmtId="0" fontId="33" fillId="30" borderId="10" xfId="5" applyFont="1" applyFill="1" applyBorder="1" applyAlignment="1">
      <alignment vertical="center" wrapText="1"/>
    </xf>
    <xf numFmtId="0" fontId="33" fillId="30" borderId="3" xfId="5" applyFont="1" applyFill="1" applyBorder="1" applyAlignment="1">
      <alignment vertical="center" wrapText="1"/>
    </xf>
    <xf numFmtId="0" fontId="34" fillId="34" borderId="1" xfId="5" applyFont="1" applyFill="1" applyBorder="1" applyAlignment="1">
      <alignment horizontal="center" vertical="center" wrapText="1"/>
    </xf>
    <xf numFmtId="0" fontId="34" fillId="32" borderId="1" xfId="5" applyFont="1" applyFill="1" applyBorder="1" applyAlignment="1">
      <alignment horizontal="center" vertical="center" wrapText="1"/>
    </xf>
    <xf numFmtId="194" fontId="28" fillId="32" borderId="1" xfId="6" applyNumberFormat="1" applyFont="1" applyFill="1" applyBorder="1" applyAlignment="1">
      <alignment horizontal="center" vertical="center" wrapText="1"/>
    </xf>
    <xf numFmtId="0" fontId="33" fillId="34" borderId="1" xfId="5" applyFont="1" applyFill="1" applyBorder="1" applyAlignment="1">
      <alignment horizontal="center" vertical="center" wrapText="1"/>
    </xf>
    <xf numFmtId="10" fontId="31" fillId="23" borderId="1" xfId="5" applyNumberFormat="1" applyFont="1" applyFill="1" applyBorder="1" applyAlignment="1">
      <alignment horizontal="center" vertical="center" wrapText="1"/>
    </xf>
    <xf numFmtId="194" fontId="34" fillId="32" borderId="1" xfId="5" applyNumberFormat="1" applyFont="1" applyFill="1" applyBorder="1" applyAlignment="1">
      <alignment horizontal="center" vertical="center" wrapText="1"/>
    </xf>
    <xf numFmtId="10" fontId="31" fillId="32" borderId="1" xfId="5" applyNumberFormat="1" applyFont="1" applyFill="1" applyBorder="1" applyAlignment="1">
      <alignment horizontal="center" vertical="center" wrapText="1"/>
    </xf>
    <xf numFmtId="0" fontId="34" fillId="32" borderId="1" xfId="5" applyFont="1" applyFill="1" applyBorder="1" applyAlignment="1">
      <alignment horizontal="right" vertical="center" wrapText="1"/>
    </xf>
    <xf numFmtId="10" fontId="31" fillId="32" borderId="3" xfId="5" applyNumberFormat="1" applyFont="1" applyFill="1" applyBorder="1" applyAlignment="1">
      <alignment horizontal="center" vertical="center" wrapText="1"/>
    </xf>
    <xf numFmtId="194" fontId="33" fillId="31" borderId="1" xfId="5" applyNumberFormat="1" applyFont="1" applyFill="1" applyBorder="1" applyAlignment="1">
      <alignment horizontal="center" vertical="center" wrapText="1"/>
    </xf>
    <xf numFmtId="0" fontId="29" fillId="30" borderId="4" xfId="0" applyFont="1" applyFill="1" applyBorder="1" applyAlignment="1">
      <alignment horizontal="center" vertical="center"/>
    </xf>
    <xf numFmtId="0" fontId="31" fillId="30" borderId="14" xfId="0" applyFont="1" applyFill="1" applyBorder="1" applyAlignment="1">
      <alignment vertical="center"/>
    </xf>
    <xf numFmtId="0" fontId="31" fillId="30" borderId="5" xfId="0" applyFont="1" applyFill="1" applyBorder="1" applyAlignment="1">
      <alignment vertical="center"/>
    </xf>
    <xf numFmtId="0" fontId="29" fillId="30" borderId="2" xfId="0" applyFont="1" applyFill="1" applyBorder="1" applyAlignment="1">
      <alignment horizontal="center" vertical="center"/>
    </xf>
    <xf numFmtId="0" fontId="31" fillId="30" borderId="10" xfId="0" applyFont="1" applyFill="1" applyBorder="1" applyAlignment="1">
      <alignment vertical="center"/>
    </xf>
    <xf numFmtId="0" fontId="31" fillId="30" borderId="3" xfId="0" applyFont="1" applyFill="1" applyBorder="1" applyAlignment="1">
      <alignment vertical="center"/>
    </xf>
    <xf numFmtId="0" fontId="29" fillId="30" borderId="8" xfId="0" applyFont="1" applyFill="1" applyBorder="1" applyAlignment="1">
      <alignment horizontal="center" vertical="center"/>
    </xf>
    <xf numFmtId="0" fontId="31" fillId="30" borderId="13" xfId="0" applyFont="1" applyFill="1" applyBorder="1" applyAlignment="1">
      <alignment vertical="center"/>
    </xf>
    <xf numFmtId="0" fontId="31" fillId="30" borderId="9" xfId="0" applyFont="1" applyFill="1" applyBorder="1" applyAlignment="1">
      <alignment vertical="center"/>
    </xf>
    <xf numFmtId="0" fontId="19" fillId="23" borderId="0" xfId="0" applyFont="1" applyFill="1"/>
    <xf numFmtId="0" fontId="12" fillId="23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194" fontId="0" fillId="0" borderId="0" xfId="0" applyNumberFormat="1"/>
    <xf numFmtId="195" fontId="8" fillId="0" borderId="1" xfId="0" applyNumberFormat="1" applyFont="1" applyBorder="1" applyAlignment="1">
      <alignment horizontal="center" vertical="center" wrapText="1"/>
    </xf>
    <xf numFmtId="0" fontId="37" fillId="35" borderId="1" xfId="0" applyFont="1" applyFill="1" applyBorder="1" applyAlignment="1">
      <alignment horizontal="left" wrapText="1"/>
    </xf>
    <xf numFmtId="0" fontId="38" fillId="0" borderId="1" xfId="0" applyFont="1" applyBorder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39" fillId="0" borderId="0" xfId="0" applyFont="1" applyAlignment="1">
      <alignment wrapText="1"/>
    </xf>
    <xf numFmtId="8" fontId="40" fillId="0" borderId="0" xfId="0" applyNumberFormat="1" applyFont="1"/>
    <xf numFmtId="0" fontId="11" fillId="15" borderId="7" xfId="0" applyFont="1" applyFill="1" applyBorder="1" applyAlignment="1">
      <alignment horizontal="center" vertical="center" wrapText="1"/>
    </xf>
    <xf numFmtId="0" fontId="11" fillId="15" borderId="0" xfId="0" applyFont="1" applyFill="1" applyAlignment="1">
      <alignment horizontal="center" vertical="center" wrapText="1"/>
    </xf>
    <xf numFmtId="0" fontId="36" fillId="15" borderId="17" xfId="0" applyFont="1" applyFill="1" applyBorder="1" applyAlignment="1">
      <alignment horizontal="center" vertical="center" wrapText="1"/>
    </xf>
    <xf numFmtId="0" fontId="11" fillId="15" borderId="17" xfId="0" applyFont="1" applyFill="1" applyBorder="1" applyAlignment="1">
      <alignment horizontal="center" vertical="center" wrapText="1"/>
    </xf>
    <xf numFmtId="0" fontId="26" fillId="15" borderId="17" xfId="0" applyFont="1" applyFill="1" applyBorder="1" applyAlignment="1">
      <alignment horizontal="center" vertical="center" wrapText="1"/>
    </xf>
    <xf numFmtId="0" fontId="26" fillId="38" borderId="17" xfId="0" applyFont="1" applyFill="1" applyBorder="1" applyAlignment="1">
      <alignment horizontal="center" vertical="center" wrapText="1"/>
    </xf>
    <xf numFmtId="0" fontId="36" fillId="38" borderId="17" xfId="0" applyFont="1" applyFill="1" applyBorder="1" applyAlignment="1">
      <alignment horizontal="center" vertical="center" wrapText="1"/>
    </xf>
    <xf numFmtId="0" fontId="36" fillId="37" borderId="17" xfId="0" applyFont="1" applyFill="1" applyBorder="1" applyAlignment="1">
      <alignment horizontal="center" vertical="center" wrapText="1"/>
    </xf>
    <xf numFmtId="44" fontId="7" fillId="0" borderId="17" xfId="0" applyNumberFormat="1" applyFont="1" applyBorder="1" applyAlignment="1">
      <alignment vertical="center"/>
    </xf>
    <xf numFmtId="10" fontId="7" fillId="0" borderId="17" xfId="0" applyNumberFormat="1" applyFont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right" vertical="center"/>
    </xf>
    <xf numFmtId="178" fontId="36" fillId="14" borderId="1" xfId="0" applyNumberFormat="1" applyFont="1" applyFill="1" applyBorder="1" applyAlignment="1">
      <alignment horizontal="center" vertical="center"/>
    </xf>
    <xf numFmtId="0" fontId="11" fillId="0" borderId="16" xfId="0" applyFont="1" applyBorder="1" applyAlignment="1">
      <alignment horizontal="right" vertical="center"/>
    </xf>
    <xf numFmtId="192" fontId="36" fillId="0" borderId="1" xfId="0" applyNumberFormat="1" applyFont="1" applyBorder="1" applyAlignment="1">
      <alignment horizontal="center" vertical="center"/>
    </xf>
    <xf numFmtId="180" fontId="26" fillId="14" borderId="1" xfId="0" applyNumberFormat="1" applyFont="1" applyFill="1" applyBorder="1" applyAlignment="1">
      <alignment horizontal="center" vertical="center"/>
    </xf>
    <xf numFmtId="0" fontId="36" fillId="0" borderId="42" xfId="0" applyFont="1" applyBorder="1"/>
    <xf numFmtId="0" fontId="36" fillId="0" borderId="45" xfId="0" applyFont="1" applyBorder="1"/>
    <xf numFmtId="0" fontId="7" fillId="0" borderId="45" xfId="0" applyFont="1" applyBorder="1" applyAlignment="1">
      <alignment wrapText="1"/>
    </xf>
    <xf numFmtId="0" fontId="7" fillId="0" borderId="45" xfId="0" applyFont="1" applyBorder="1"/>
    <xf numFmtId="0" fontId="7" fillId="0" borderId="46" xfId="0" applyFont="1" applyBorder="1"/>
    <xf numFmtId="0" fontId="36" fillId="0" borderId="47" xfId="0" applyFont="1" applyBorder="1"/>
    <xf numFmtId="0" fontId="36" fillId="0" borderId="0" xfId="0" applyFont="1"/>
    <xf numFmtId="0" fontId="7" fillId="0" borderId="48" xfId="0" applyFont="1" applyBorder="1"/>
    <xf numFmtId="0" fontId="7" fillId="0" borderId="47" xfId="0" applyFont="1" applyBorder="1"/>
    <xf numFmtId="0" fontId="7" fillId="0" borderId="32" xfId="0" applyFont="1" applyBorder="1"/>
    <xf numFmtId="0" fontId="7" fillId="0" borderId="28" xfId="0" applyFont="1" applyBorder="1"/>
    <xf numFmtId="0" fontId="7" fillId="0" borderId="41" xfId="0" applyFont="1" applyBorder="1"/>
    <xf numFmtId="194" fontId="11" fillId="0" borderId="41" xfId="0" applyNumberFormat="1" applyFont="1" applyBorder="1" applyAlignment="1">
      <alignment vertical="center"/>
    </xf>
    <xf numFmtId="194" fontId="7" fillId="0" borderId="1" xfId="0" applyNumberFormat="1" applyFont="1" applyBorder="1" applyAlignment="1">
      <alignment vertical="center"/>
    </xf>
    <xf numFmtId="0" fontId="12" fillId="0" borderId="16" xfId="0" applyFont="1" applyBorder="1" applyAlignment="1" applyProtection="1">
      <alignment horizontal="center" vertical="center" wrapText="1"/>
      <protection locked="0"/>
    </xf>
    <xf numFmtId="0" fontId="42" fillId="39" borderId="1" xfId="0" applyFont="1" applyFill="1" applyBorder="1" applyAlignment="1">
      <alignment horizontal="center" vertical="center" wrapText="1"/>
    </xf>
    <xf numFmtId="0" fontId="43" fillId="40" borderId="1" xfId="0" applyFont="1" applyFill="1" applyBorder="1" applyAlignment="1">
      <alignment horizontal="center" vertical="center" wrapText="1"/>
    </xf>
    <xf numFmtId="0" fontId="43" fillId="40" borderId="1" xfId="0" applyFont="1" applyFill="1" applyBorder="1" applyAlignment="1">
      <alignment horizontal="center" vertical="center"/>
    </xf>
    <xf numFmtId="8" fontId="43" fillId="40" borderId="1" xfId="0" applyNumberFormat="1" applyFont="1" applyFill="1" applyBorder="1" applyAlignment="1">
      <alignment horizontal="center" vertical="center"/>
    </xf>
    <xf numFmtId="192" fontId="43" fillId="40" borderId="1" xfId="0" applyNumberFormat="1" applyFont="1" applyFill="1" applyBorder="1" applyAlignment="1">
      <alignment horizontal="center" vertical="center"/>
    </xf>
    <xf numFmtId="174" fontId="43" fillId="40" borderId="1" xfId="0" applyNumberFormat="1" applyFont="1" applyFill="1" applyBorder="1" applyAlignment="1">
      <alignment horizontal="center" vertical="center"/>
    </xf>
    <xf numFmtId="1" fontId="43" fillId="40" borderId="1" xfId="0" applyNumberFormat="1" applyFont="1" applyFill="1" applyBorder="1" applyAlignment="1">
      <alignment horizontal="center" vertical="center"/>
    </xf>
    <xf numFmtId="0" fontId="42" fillId="41" borderId="3" xfId="0" applyFont="1" applyFill="1" applyBorder="1" applyAlignment="1">
      <alignment horizontal="center" vertical="center" wrapText="1"/>
    </xf>
    <xf numFmtId="192" fontId="42" fillId="41" borderId="1" xfId="0" applyNumberFormat="1" applyFont="1" applyFill="1" applyBorder="1" applyAlignment="1">
      <alignment horizontal="center" vertical="center"/>
    </xf>
    <xf numFmtId="174" fontId="42" fillId="41" borderId="1" xfId="0" applyNumberFormat="1" applyFont="1" applyFill="1" applyBorder="1" applyAlignment="1">
      <alignment horizontal="center" vertical="center"/>
    </xf>
    <xf numFmtId="1" fontId="42" fillId="41" borderId="1" xfId="0" applyNumberFormat="1" applyFont="1" applyFill="1" applyBorder="1" applyAlignment="1">
      <alignment horizontal="center" vertical="center"/>
    </xf>
    <xf numFmtId="0" fontId="43" fillId="41" borderId="1" xfId="0" applyFont="1" applyFill="1" applyBorder="1" applyAlignment="1">
      <alignment horizontal="center" vertical="center"/>
    </xf>
    <xf numFmtId="0" fontId="42" fillId="41" borderId="1" xfId="0" applyFont="1" applyFill="1" applyBorder="1" applyAlignment="1">
      <alignment horizontal="center" vertical="center"/>
    </xf>
    <xf numFmtId="194" fontId="42" fillId="41" borderId="1" xfId="0" applyNumberFormat="1" applyFont="1" applyFill="1" applyBorder="1" applyAlignment="1">
      <alignment horizontal="center" vertical="center"/>
    </xf>
    <xf numFmtId="8" fontId="7" fillId="0" borderId="0" xfId="0" applyNumberFormat="1" applyFont="1"/>
    <xf numFmtId="194" fontId="7" fillId="0" borderId="0" xfId="0" applyNumberFormat="1" applyFont="1"/>
    <xf numFmtId="167" fontId="7" fillId="0" borderId="0" xfId="0" applyNumberFormat="1" applyFont="1" applyAlignment="1">
      <alignment vertical="center"/>
    </xf>
    <xf numFmtId="0" fontId="20" fillId="0" borderId="17" xfId="0" applyFont="1" applyBorder="1" applyAlignment="1">
      <alignment horizontal="center" vertical="center" wrapText="1"/>
    </xf>
    <xf numFmtId="194" fontId="19" fillId="0" borderId="17" xfId="0" applyNumberFormat="1" applyFont="1" applyBorder="1" applyAlignment="1">
      <alignment vertical="center"/>
    </xf>
    <xf numFmtId="0" fontId="45" fillId="0" borderId="0" xfId="0" applyFont="1" applyAlignment="1">
      <alignment horizontal="left"/>
    </xf>
    <xf numFmtId="0" fontId="45" fillId="24" borderId="0" xfId="0" applyFont="1" applyFill="1" applyAlignment="1">
      <alignment horizontal="left" vertical="center" wrapText="1"/>
    </xf>
    <xf numFmtId="184" fontId="23" fillId="0" borderId="0" xfId="3" applyNumberFormat="1" applyAlignment="1">
      <alignment horizontal="left"/>
    </xf>
    <xf numFmtId="0" fontId="47" fillId="0" borderId="0" xfId="0" applyFont="1" applyAlignment="1">
      <alignment horizontal="left"/>
    </xf>
    <xf numFmtId="0" fontId="45" fillId="0" borderId="0" xfId="0" applyFont="1" applyAlignment="1">
      <alignment horizontal="left" wrapText="1"/>
    </xf>
    <xf numFmtId="9" fontId="7" fillId="0" borderId="0" xfId="0" applyNumberFormat="1" applyFont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10" fontId="7" fillId="0" borderId="0" xfId="0" applyNumberFormat="1" applyFont="1" applyAlignment="1">
      <alignment horizontal="center" vertical="center" wrapText="1"/>
    </xf>
    <xf numFmtId="167" fontId="26" fillId="0" borderId="1" xfId="0" applyNumberFormat="1" applyFont="1" applyBorder="1" applyAlignment="1">
      <alignment horizontal="center" vertical="center"/>
    </xf>
    <xf numFmtId="194" fontId="48" fillId="33" borderId="1" xfId="5" applyNumberFormat="1" applyFont="1" applyFill="1" applyBorder="1" applyAlignment="1">
      <alignment vertical="center" wrapText="1"/>
    </xf>
    <xf numFmtId="194" fontId="19" fillId="0" borderId="17" xfId="0" applyNumberFormat="1" applyFont="1" applyBorder="1" applyAlignment="1">
      <alignment horizontal="right" vertical="center"/>
    </xf>
    <xf numFmtId="0" fontId="22" fillId="6" borderId="17" xfId="0" applyFont="1" applyFill="1" applyBorder="1" applyAlignment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  <protection locked="0"/>
    </xf>
    <xf numFmtId="0" fontId="22" fillId="6" borderId="3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167" fontId="22" fillId="5" borderId="1" xfId="0" applyNumberFormat="1" applyFont="1" applyFill="1" applyBorder="1" applyAlignment="1">
      <alignment horizontal="center" vertical="center" wrapText="1"/>
    </xf>
    <xf numFmtId="0" fontId="22" fillId="10" borderId="1" xfId="0" applyFont="1" applyFill="1" applyBorder="1" applyAlignment="1">
      <alignment horizontal="center" vertical="center" wrapText="1"/>
    </xf>
    <xf numFmtId="167" fontId="9" fillId="11" borderId="1" xfId="0" applyNumberFormat="1" applyFont="1" applyFill="1" applyBorder="1" applyAlignment="1">
      <alignment horizontal="center" vertical="center" wrapText="1"/>
    </xf>
    <xf numFmtId="167" fontId="9" fillId="1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7" fontId="22" fillId="13" borderId="1" xfId="0" applyNumberFormat="1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2" fontId="22" fillId="5" borderId="1" xfId="0" applyNumberFormat="1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167" fontId="22" fillId="11" borderId="1" xfId="0" applyNumberFormat="1" applyFont="1" applyFill="1" applyBorder="1" applyAlignment="1">
      <alignment horizontal="center" vertical="center" wrapText="1"/>
    </xf>
    <xf numFmtId="167" fontId="9" fillId="2" borderId="1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right" vertical="center"/>
    </xf>
    <xf numFmtId="0" fontId="22" fillId="0" borderId="1" xfId="0" applyFont="1" applyBorder="1" applyAlignment="1">
      <alignment horizontal="justify" vertical="center" wrapText="1"/>
    </xf>
    <xf numFmtId="0" fontId="22" fillId="0" borderId="1" xfId="0" applyFont="1" applyBorder="1" applyAlignment="1">
      <alignment horizontal="center" vertical="center"/>
    </xf>
    <xf numFmtId="4" fontId="22" fillId="0" borderId="1" xfId="0" applyNumberFormat="1" applyFont="1" applyBorder="1" applyAlignment="1" applyProtection="1">
      <alignment horizontal="center" vertical="center"/>
      <protection locked="0"/>
    </xf>
    <xf numFmtId="167" fontId="22" fillId="5" borderId="1" xfId="0" applyNumberFormat="1" applyFont="1" applyFill="1" applyBorder="1" applyAlignment="1">
      <alignment horizontal="center" vertical="center"/>
    </xf>
    <xf numFmtId="0" fontId="48" fillId="32" borderId="1" xfId="0" applyFont="1" applyFill="1" applyBorder="1" applyAlignment="1">
      <alignment horizontal="right" vertical="center"/>
    </xf>
    <xf numFmtId="0" fontId="48" fillId="32" borderId="1" xfId="0" applyFont="1" applyFill="1" applyBorder="1" applyAlignment="1">
      <alignment vertical="center" wrapText="1"/>
    </xf>
    <xf numFmtId="194" fontId="48" fillId="32" borderId="1" xfId="5" applyNumberFormat="1" applyFont="1" applyFill="1" applyBorder="1" applyAlignment="1">
      <alignment horizontal="center" vertical="center" wrapText="1"/>
    </xf>
    <xf numFmtId="4" fontId="51" fillId="32" borderId="17" xfId="0" applyNumberFormat="1" applyFont="1" applyFill="1" applyBorder="1" applyAlignment="1" applyProtection="1">
      <alignment horizontal="center" vertical="center"/>
      <protection locked="0"/>
    </xf>
    <xf numFmtId="194" fontId="48" fillId="32" borderId="1" xfId="5" applyNumberFormat="1" applyFont="1" applyFill="1" applyBorder="1" applyAlignment="1">
      <alignment horizontal="right" vertical="center" wrapText="1"/>
    </xf>
    <xf numFmtId="194" fontId="48" fillId="32" borderId="11" xfId="5" applyNumberFormat="1" applyFont="1" applyFill="1" applyBorder="1" applyAlignment="1">
      <alignment horizontal="right" vertical="center" wrapText="1"/>
    </xf>
    <xf numFmtId="10" fontId="7" fillId="0" borderId="18" xfId="0" applyNumberFormat="1" applyFont="1" applyBorder="1" applyAlignment="1">
      <alignment vertical="center"/>
    </xf>
    <xf numFmtId="10" fontId="7" fillId="0" borderId="1" xfId="0" applyNumberFormat="1" applyFont="1" applyBorder="1" applyAlignment="1">
      <alignment vertical="center"/>
    </xf>
    <xf numFmtId="0" fontId="29" fillId="32" borderId="2" xfId="0" applyFont="1" applyFill="1" applyBorder="1" applyAlignment="1">
      <alignment vertical="center"/>
    </xf>
    <xf numFmtId="0" fontId="34" fillId="32" borderId="1" xfId="5" applyFont="1" applyFill="1" applyBorder="1" applyAlignment="1">
      <alignment horizontal="center" vertical="center" wrapText="1"/>
    </xf>
    <xf numFmtId="0" fontId="34" fillId="32" borderId="2" xfId="5" applyFont="1" applyFill="1" applyBorder="1" applyAlignment="1">
      <alignment horizontal="center" vertical="center" wrapText="1"/>
    </xf>
    <xf numFmtId="0" fontId="34" fillId="32" borderId="10" xfId="5" applyFont="1" applyFill="1" applyBorder="1" applyAlignment="1">
      <alignment horizontal="center" vertical="center" wrapText="1"/>
    </xf>
    <xf numFmtId="0" fontId="34" fillId="32" borderId="3" xfId="5" applyFont="1" applyFill="1" applyBorder="1" applyAlignment="1">
      <alignment horizontal="center" vertical="center" wrapText="1"/>
    </xf>
    <xf numFmtId="0" fontId="33" fillId="30" borderId="1" xfId="5" applyFont="1" applyFill="1" applyBorder="1" applyAlignment="1">
      <alignment horizontal="center" vertical="center" wrapText="1"/>
    </xf>
    <xf numFmtId="0" fontId="29" fillId="34" borderId="1" xfId="0" applyFont="1" applyFill="1" applyBorder="1" applyAlignment="1">
      <alignment horizontal="center" vertical="center" textRotation="90"/>
    </xf>
    <xf numFmtId="0" fontId="30" fillId="30" borderId="1" xfId="5" applyFont="1" applyFill="1" applyBorder="1" applyAlignment="1">
      <alignment horizontal="center" vertical="center" textRotation="90"/>
    </xf>
    <xf numFmtId="0" fontId="33" fillId="31" borderId="2" xfId="5" applyFont="1" applyFill="1" applyBorder="1" applyAlignment="1">
      <alignment horizontal="center" vertical="center" wrapText="1"/>
    </xf>
    <xf numFmtId="0" fontId="33" fillId="31" borderId="10" xfId="5" applyFont="1" applyFill="1" applyBorder="1" applyAlignment="1">
      <alignment horizontal="center" vertical="center" wrapText="1"/>
    </xf>
    <xf numFmtId="0" fontId="33" fillId="31" borderId="3" xfId="5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7" fillId="30" borderId="2" xfId="0" applyFont="1" applyFill="1" applyBorder="1" applyAlignment="1">
      <alignment horizontal="center" vertical="center" wrapText="1"/>
    </xf>
    <xf numFmtId="0" fontId="27" fillId="30" borderId="10" xfId="0" applyFont="1" applyFill="1" applyBorder="1" applyAlignment="1">
      <alignment horizontal="center" vertical="center"/>
    </xf>
    <xf numFmtId="0" fontId="27" fillId="30" borderId="3" xfId="0" applyFont="1" applyFill="1" applyBorder="1" applyAlignment="1">
      <alignment horizontal="center" vertical="center"/>
    </xf>
    <xf numFmtId="0" fontId="27" fillId="31" borderId="1" xfId="5" applyFont="1" applyFill="1" applyBorder="1" applyAlignment="1">
      <alignment horizontal="center" vertical="center"/>
    </xf>
    <xf numFmtId="0" fontId="29" fillId="30" borderId="1" xfId="5" applyFont="1" applyFill="1" applyBorder="1" applyAlignment="1">
      <alignment horizontal="center" vertical="center"/>
    </xf>
    <xf numFmtId="0" fontId="33" fillId="30" borderId="2" xfId="5" applyFont="1" applyFill="1" applyBorder="1" applyAlignment="1">
      <alignment horizontal="center" vertical="center" wrapText="1"/>
    </xf>
    <xf numFmtId="0" fontId="33" fillId="30" borderId="10" xfId="5" applyFont="1" applyFill="1" applyBorder="1" applyAlignment="1">
      <alignment horizontal="center" vertical="center" wrapText="1"/>
    </xf>
    <xf numFmtId="0" fontId="33" fillId="30" borderId="3" xfId="5" applyFont="1" applyFill="1" applyBorder="1" applyAlignment="1">
      <alignment horizontal="center" vertical="center" wrapText="1"/>
    </xf>
    <xf numFmtId="0" fontId="27" fillId="23" borderId="2" xfId="5" applyFont="1" applyFill="1" applyBorder="1" applyAlignment="1">
      <alignment horizontal="center" vertical="center"/>
    </xf>
    <xf numFmtId="0" fontId="27" fillId="23" borderId="10" xfId="5" applyFont="1" applyFill="1" applyBorder="1" applyAlignment="1">
      <alignment horizontal="center" vertical="center"/>
    </xf>
    <xf numFmtId="0" fontId="27" fillId="23" borderId="3" xfId="5" applyFont="1" applyFill="1" applyBorder="1" applyAlignment="1">
      <alignment horizontal="center" vertical="center"/>
    </xf>
    <xf numFmtId="0" fontId="29" fillId="29" borderId="1" xfId="0" applyFont="1" applyFill="1" applyBorder="1" applyAlignment="1">
      <alignment horizontal="center" vertical="center"/>
    </xf>
    <xf numFmtId="0" fontId="50" fillId="29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2" fontId="7" fillId="8" borderId="0" xfId="0" applyNumberFormat="1" applyFont="1" applyFill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1" fillId="29" borderId="2" xfId="0" applyFont="1" applyFill="1" applyBorder="1" applyAlignment="1">
      <alignment horizontal="center" vertical="center"/>
    </xf>
    <xf numFmtId="0" fontId="11" fillId="29" borderId="10" xfId="0" applyFont="1" applyFill="1" applyBorder="1" applyAlignment="1">
      <alignment horizontal="center" vertical="center"/>
    </xf>
    <xf numFmtId="0" fontId="11" fillId="29" borderId="3" xfId="0" applyFont="1" applyFill="1" applyBorder="1" applyAlignment="1">
      <alignment horizontal="center" vertical="center"/>
    </xf>
    <xf numFmtId="0" fontId="9" fillId="29" borderId="2" xfId="0" applyFont="1" applyFill="1" applyBorder="1" applyAlignment="1">
      <alignment horizontal="center" vertical="center"/>
    </xf>
    <xf numFmtId="0" fontId="9" fillId="29" borderId="10" xfId="0" applyFont="1" applyFill="1" applyBorder="1" applyAlignment="1">
      <alignment horizontal="center" vertical="center"/>
    </xf>
    <xf numFmtId="0" fontId="9" fillId="29" borderId="3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14" fontId="2" fillId="0" borderId="16" xfId="0" applyNumberFormat="1" applyFont="1" applyBorder="1" applyAlignment="1">
      <alignment horizontal="center" vertical="center" wrapText="1"/>
    </xf>
    <xf numFmtId="14" fontId="2" fillId="0" borderId="21" xfId="0" applyNumberFormat="1" applyFont="1" applyBorder="1" applyAlignment="1">
      <alignment horizontal="center" vertical="center" wrapText="1"/>
    </xf>
    <xf numFmtId="14" fontId="2" fillId="0" borderId="39" xfId="0" applyNumberFormat="1" applyFont="1" applyBorder="1" applyAlignment="1">
      <alignment horizontal="center" vertical="center" wrapText="1"/>
    </xf>
    <xf numFmtId="0" fontId="11" fillId="7" borderId="17" xfId="0" applyFont="1" applyFill="1" applyBorder="1" applyAlignment="1">
      <alignment horizontal="center" vertical="center" wrapText="1"/>
    </xf>
    <xf numFmtId="0" fontId="11" fillId="9" borderId="17" xfId="0" applyFont="1" applyFill="1" applyBorder="1" applyAlignment="1">
      <alignment horizontal="center" vertical="center" wrapText="1"/>
    </xf>
    <xf numFmtId="0" fontId="2" fillId="28" borderId="26" xfId="0" applyFont="1" applyFill="1" applyBorder="1" applyAlignment="1">
      <alignment horizontal="center" vertical="center" wrapText="1"/>
    </xf>
    <xf numFmtId="0" fontId="2" fillId="28" borderId="17" xfId="0" applyFont="1" applyFill="1" applyBorder="1" applyAlignment="1">
      <alignment horizontal="center" vertical="center" wrapText="1"/>
    </xf>
    <xf numFmtId="0" fontId="2" fillId="28" borderId="27" xfId="0" applyFont="1" applyFill="1" applyBorder="1" applyAlignment="1">
      <alignment horizontal="center" vertical="center" wrapText="1"/>
    </xf>
    <xf numFmtId="0" fontId="2" fillId="28" borderId="25" xfId="0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44" fillId="0" borderId="16" xfId="0" applyFont="1" applyBorder="1" applyAlignment="1">
      <alignment horizontal="center" vertical="center" wrapText="1"/>
    </xf>
    <xf numFmtId="0" fontId="44" fillId="0" borderId="21" xfId="0" applyFont="1" applyBorder="1" applyAlignment="1">
      <alignment horizontal="center" vertical="center" wrapText="1"/>
    </xf>
    <xf numFmtId="0" fontId="44" fillId="0" borderId="37" xfId="0" applyFont="1" applyBorder="1" applyAlignment="1">
      <alignment horizontal="center" vertical="center" wrapText="1"/>
    </xf>
    <xf numFmtId="0" fontId="44" fillId="0" borderId="33" xfId="0" applyFont="1" applyBorder="1" applyAlignment="1">
      <alignment horizontal="center" vertical="center" wrapText="1"/>
    </xf>
    <xf numFmtId="0" fontId="44" fillId="0" borderId="3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11" fillId="7" borderId="17" xfId="0" applyFont="1" applyFill="1" applyBorder="1" applyAlignment="1">
      <alignment horizontal="left" vertical="center" wrapText="1"/>
    </xf>
    <xf numFmtId="167" fontId="12" fillId="0" borderId="0" xfId="0" applyNumberFormat="1" applyFont="1" applyAlignment="1" applyProtection="1">
      <alignment horizontal="center" vertical="center" wrapText="1"/>
      <protection locked="0"/>
    </xf>
    <xf numFmtId="0" fontId="2" fillId="27" borderId="34" xfId="0" applyFont="1" applyFill="1" applyBorder="1" applyAlignment="1">
      <alignment horizontal="center" vertical="center" wrapText="1"/>
    </xf>
    <xf numFmtId="0" fontId="2" fillId="27" borderId="35" xfId="0" applyFont="1" applyFill="1" applyBorder="1" applyAlignment="1">
      <alignment horizontal="center" vertical="center" wrapText="1"/>
    </xf>
    <xf numFmtId="0" fontId="2" fillId="27" borderId="36" xfId="0" applyFont="1" applyFill="1" applyBorder="1" applyAlignment="1">
      <alignment horizontal="center" vertical="center" wrapText="1"/>
    </xf>
    <xf numFmtId="0" fontId="2" fillId="28" borderId="31" xfId="0" applyFont="1" applyFill="1" applyBorder="1" applyAlignment="1">
      <alignment horizontal="center" vertical="center" wrapText="1"/>
    </xf>
    <xf numFmtId="0" fontId="2" fillId="28" borderId="19" xfId="0" applyFont="1" applyFill="1" applyBorder="1" applyAlignment="1">
      <alignment horizontal="center" vertical="center" wrapText="1"/>
    </xf>
    <xf numFmtId="14" fontId="44" fillId="0" borderId="16" xfId="0" applyNumberFormat="1" applyFont="1" applyBorder="1" applyAlignment="1">
      <alignment horizontal="center" vertical="center" wrapText="1"/>
    </xf>
    <xf numFmtId="14" fontId="44" fillId="0" borderId="21" xfId="0" applyNumberFormat="1" applyFont="1" applyBorder="1" applyAlignment="1">
      <alignment horizontal="center" vertical="center" wrapText="1"/>
    </xf>
    <xf numFmtId="0" fontId="44" fillId="0" borderId="29" xfId="0" applyFont="1" applyBorder="1" applyAlignment="1">
      <alignment horizontal="center" vertical="center" wrapText="1"/>
    </xf>
    <xf numFmtId="0" fontId="44" fillId="0" borderId="30" xfId="0" applyFont="1" applyBorder="1" applyAlignment="1">
      <alignment horizontal="center" vertical="center" wrapText="1"/>
    </xf>
    <xf numFmtId="0" fontId="44" fillId="0" borderId="20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26" borderId="16" xfId="0" applyFont="1" applyFill="1" applyBorder="1" applyAlignment="1">
      <alignment horizontal="center" vertical="center"/>
    </xf>
    <xf numFmtId="0" fontId="6" fillId="26" borderId="21" xfId="0" applyFont="1" applyFill="1" applyBorder="1" applyAlignment="1">
      <alignment horizontal="center" vertical="center"/>
    </xf>
    <xf numFmtId="0" fontId="6" fillId="26" borderId="20" xfId="0" applyFont="1" applyFill="1" applyBorder="1" applyAlignment="1">
      <alignment horizontal="center" vertical="center"/>
    </xf>
    <xf numFmtId="0" fontId="6" fillId="26" borderId="32" xfId="0" applyFont="1" applyFill="1" applyBorder="1" applyAlignment="1">
      <alignment horizontal="center" vertical="center"/>
    </xf>
    <xf numFmtId="0" fontId="6" fillId="26" borderId="28" xfId="0" applyFont="1" applyFill="1" applyBorder="1" applyAlignment="1">
      <alignment horizontal="center" vertical="center"/>
    </xf>
    <xf numFmtId="0" fontId="6" fillId="26" borderId="4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15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15" borderId="1" xfId="0" applyFont="1" applyFill="1" applyBorder="1" applyAlignment="1">
      <alignment horizontal="center" vertical="center"/>
    </xf>
    <xf numFmtId="0" fontId="11" fillId="15" borderId="1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3" fillId="40" borderId="12" xfId="0" applyFont="1" applyFill="1" applyBorder="1" applyAlignment="1">
      <alignment horizontal="center" vertical="center" wrapText="1"/>
    </xf>
    <xf numFmtId="0" fontId="43" fillId="40" borderId="11" xfId="0" applyFont="1" applyFill="1" applyBorder="1" applyAlignment="1">
      <alignment horizontal="center" vertical="center" wrapText="1"/>
    </xf>
    <xf numFmtId="0" fontId="43" fillId="40" borderId="15" xfId="0" applyFont="1" applyFill="1" applyBorder="1" applyAlignment="1">
      <alignment horizontal="center" vertical="center" wrapText="1"/>
    </xf>
    <xf numFmtId="0" fontId="42" fillId="41" borderId="1" xfId="0" applyFont="1" applyFill="1" applyBorder="1" applyAlignment="1">
      <alignment horizontal="center" vertical="center" wrapText="1"/>
    </xf>
    <xf numFmtId="0" fontId="42" fillId="39" borderId="2" xfId="0" applyFont="1" applyFill="1" applyBorder="1" applyAlignment="1">
      <alignment horizontal="center" vertical="center" wrapText="1"/>
    </xf>
    <xf numFmtId="0" fontId="42" fillId="39" borderId="10" xfId="0" applyFont="1" applyFill="1" applyBorder="1" applyAlignment="1">
      <alignment horizontal="center" vertical="center" wrapText="1"/>
    </xf>
    <xf numFmtId="0" fontId="42" fillId="39" borderId="3" xfId="0" applyFont="1" applyFill="1" applyBorder="1" applyAlignment="1">
      <alignment horizontal="center" vertical="center" wrapText="1"/>
    </xf>
    <xf numFmtId="0" fontId="43" fillId="40" borderId="12" xfId="0" applyFont="1" applyFill="1" applyBorder="1" applyAlignment="1">
      <alignment horizontal="center" vertical="center"/>
    </xf>
    <xf numFmtId="0" fontId="43" fillId="40" borderId="15" xfId="0" applyFont="1" applyFill="1" applyBorder="1" applyAlignment="1">
      <alignment horizontal="center" vertical="center"/>
    </xf>
    <xf numFmtId="0" fontId="43" fillId="40" borderId="11" xfId="0" applyFont="1" applyFill="1" applyBorder="1" applyAlignment="1">
      <alignment horizontal="center" vertical="center"/>
    </xf>
    <xf numFmtId="0" fontId="11" fillId="0" borderId="42" xfId="0" applyFont="1" applyBorder="1" applyAlignment="1">
      <alignment horizontal="right" vertical="center"/>
    </xf>
    <xf numFmtId="0" fontId="11" fillId="0" borderId="45" xfId="0" applyFont="1" applyBorder="1" applyAlignment="1">
      <alignment horizontal="right" vertical="center"/>
    </xf>
    <xf numFmtId="0" fontId="36" fillId="0" borderId="2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11" fillId="15" borderId="15" xfId="0" applyFont="1" applyFill="1" applyBorder="1" applyAlignment="1">
      <alignment horizontal="center" vertical="center" wrapText="1"/>
    </xf>
    <xf numFmtId="0" fontId="11" fillId="15" borderId="13" xfId="0" applyFont="1" applyFill="1" applyBorder="1" applyAlignment="1">
      <alignment horizontal="center" vertical="center" wrapText="1"/>
    </xf>
    <xf numFmtId="0" fontId="11" fillId="15" borderId="9" xfId="0" applyFont="1" applyFill="1" applyBorder="1" applyAlignment="1">
      <alignment horizontal="center" vertical="center" wrapText="1"/>
    </xf>
    <xf numFmtId="0" fontId="36" fillId="36" borderId="0" xfId="0" applyFont="1" applyFill="1" applyAlignment="1">
      <alignment horizontal="center" vertical="center"/>
    </xf>
    <xf numFmtId="0" fontId="36" fillId="37" borderId="4" xfId="0" applyFont="1" applyFill="1" applyBorder="1" applyAlignment="1">
      <alignment horizontal="center" vertical="center" wrapText="1"/>
    </xf>
    <xf numFmtId="0" fontId="36" fillId="37" borderId="14" xfId="0" applyFont="1" applyFill="1" applyBorder="1" applyAlignment="1">
      <alignment horizontal="center" vertical="center" wrapText="1"/>
    </xf>
    <xf numFmtId="0" fontId="36" fillId="37" borderId="43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right" vertical="center"/>
    </xf>
    <xf numFmtId="0" fontId="11" fillId="0" borderId="21" xfId="0" applyFont="1" applyBorder="1" applyAlignment="1">
      <alignment horizontal="right" vertical="center"/>
    </xf>
    <xf numFmtId="0" fontId="11" fillId="0" borderId="28" xfId="0" applyFont="1" applyBorder="1" applyAlignment="1">
      <alignment horizontal="right" vertical="center"/>
    </xf>
    <xf numFmtId="0" fontId="7" fillId="0" borderId="47" xfId="0" applyFont="1" applyBorder="1"/>
    <xf numFmtId="0" fontId="7" fillId="0" borderId="0" xfId="0" applyFont="1"/>
    <xf numFmtId="0" fontId="35" fillId="0" borderId="0" xfId="0" applyFont="1" applyAlignment="1">
      <alignment wrapText="1"/>
    </xf>
    <xf numFmtId="0" fontId="35" fillId="0" borderId="48" xfId="0" applyFont="1" applyBorder="1" applyAlignment="1">
      <alignment wrapText="1"/>
    </xf>
    <xf numFmtId="0" fontId="13" fillId="15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0" fillId="0" borderId="1" xfId="0" applyBorder="1"/>
    <xf numFmtId="0" fontId="3" fillId="0" borderId="1" xfId="0" applyFont="1" applyBorder="1" applyAlignment="1">
      <alignment horizontal="justify" vertical="center" wrapText="1"/>
    </xf>
    <xf numFmtId="0" fontId="11" fillId="16" borderId="1" xfId="0" applyFont="1" applyFill="1" applyBorder="1" applyAlignment="1">
      <alignment horizontal="center" vertical="center" wrapText="1"/>
    </xf>
    <xf numFmtId="0" fontId="11" fillId="21" borderId="1" xfId="0" applyFont="1" applyFill="1" applyBorder="1" applyAlignment="1">
      <alignment horizontal="center" vertical="center" wrapText="1"/>
    </xf>
    <xf numFmtId="0" fontId="11" fillId="22" borderId="1" xfId="0" applyFont="1" applyFill="1" applyBorder="1" applyAlignment="1">
      <alignment horizontal="center" vertical="center" wrapText="1"/>
    </xf>
    <xf numFmtId="0" fontId="0" fillId="42" borderId="0" xfId="0" applyFill="1"/>
    <xf numFmtId="0" fontId="7" fillId="43" borderId="1" xfId="0" applyFont="1" applyFill="1" applyBorder="1" applyAlignment="1">
      <alignment horizontal="justify" vertical="center" wrapText="1"/>
    </xf>
    <xf numFmtId="10" fontId="7" fillId="44" borderId="1" xfId="0" applyNumberFormat="1" applyFont="1" applyFill="1" applyBorder="1" applyAlignment="1" applyProtection="1">
      <alignment horizontal="center" vertical="center"/>
      <protection locked="0"/>
    </xf>
    <xf numFmtId="0" fontId="44" fillId="0" borderId="16" xfId="0" applyFont="1" applyFill="1" applyBorder="1" applyAlignment="1">
      <alignment horizontal="center" vertical="center" wrapText="1"/>
    </xf>
    <xf numFmtId="0" fontId="44" fillId="0" borderId="21" xfId="0" applyFont="1" applyFill="1" applyBorder="1" applyAlignment="1">
      <alignment horizontal="center" vertical="center" wrapText="1"/>
    </xf>
    <xf numFmtId="0" fontId="7" fillId="32" borderId="1" xfId="0" applyFont="1" applyFill="1" applyBorder="1" applyAlignment="1">
      <alignment horizontal="right" vertical="center"/>
    </xf>
    <xf numFmtId="0" fontId="7" fillId="32" borderId="1" xfId="0" applyFont="1" applyFill="1" applyBorder="1" applyAlignment="1">
      <alignment horizontal="justify" vertical="center" wrapText="1"/>
    </xf>
    <xf numFmtId="0" fontId="7" fillId="32" borderId="1" xfId="0" applyFont="1" applyFill="1" applyBorder="1" applyAlignment="1">
      <alignment horizontal="center" vertical="center"/>
    </xf>
    <xf numFmtId="4" fontId="7" fillId="32" borderId="1" xfId="0" applyNumberFormat="1" applyFont="1" applyFill="1" applyBorder="1" applyAlignment="1" applyProtection="1">
      <alignment horizontal="center" vertical="center"/>
      <protection locked="0"/>
    </xf>
    <xf numFmtId="0" fontId="7" fillId="32" borderId="17" xfId="0" applyFont="1" applyFill="1" applyBorder="1" applyAlignment="1">
      <alignment horizontal="center" vertical="center"/>
    </xf>
    <xf numFmtId="0" fontId="22" fillId="32" borderId="17" xfId="0" applyFont="1" applyFill="1" applyBorder="1" applyAlignment="1">
      <alignment horizontal="center" vertical="center"/>
    </xf>
    <xf numFmtId="0" fontId="49" fillId="32" borderId="17" xfId="0" applyFont="1" applyFill="1" applyBorder="1" applyAlignment="1">
      <alignment horizontal="center" vertical="center"/>
    </xf>
    <xf numFmtId="167" fontId="12" fillId="32" borderId="17" xfId="0" applyNumberFormat="1" applyFont="1" applyFill="1" applyBorder="1" applyAlignment="1" applyProtection="1">
      <alignment horizontal="center" vertical="center" wrapText="1"/>
      <protection locked="0"/>
    </xf>
    <xf numFmtId="167" fontId="22" fillId="32" borderId="17" xfId="0" applyNumberFormat="1" applyFont="1" applyFill="1" applyBorder="1" applyAlignment="1" applyProtection="1">
      <alignment horizontal="center" vertical="center" wrapText="1"/>
      <protection locked="0"/>
    </xf>
    <xf numFmtId="167" fontId="12" fillId="32" borderId="16" xfId="0" applyNumberFormat="1" applyFont="1" applyFill="1" applyBorder="1" applyAlignment="1" applyProtection="1">
      <alignment horizontal="center" vertical="center" wrapText="1"/>
      <protection locked="0"/>
    </xf>
    <xf numFmtId="0" fontId="12" fillId="32" borderId="17" xfId="0" applyFont="1" applyFill="1" applyBorder="1" applyAlignment="1" applyProtection="1">
      <alignment horizontal="center" vertical="center" wrapText="1"/>
      <protection locked="0"/>
    </xf>
    <xf numFmtId="0" fontId="22" fillId="32" borderId="17" xfId="0" applyFont="1" applyFill="1" applyBorder="1" applyAlignment="1" applyProtection="1">
      <alignment horizontal="center" vertical="center" wrapText="1"/>
      <protection locked="0"/>
    </xf>
    <xf numFmtId="0" fontId="12" fillId="32" borderId="16" xfId="0" applyFont="1" applyFill="1" applyBorder="1" applyAlignment="1" applyProtection="1">
      <alignment horizontal="center" vertical="center" wrapText="1"/>
      <protection locked="0"/>
    </xf>
    <xf numFmtId="168" fontId="12" fillId="32" borderId="17" xfId="0" applyNumberFormat="1" applyFont="1" applyFill="1" applyBorder="1" applyAlignment="1" applyProtection="1">
      <alignment horizontal="center" vertical="center" wrapText="1"/>
      <protection locked="0"/>
    </xf>
    <xf numFmtId="168" fontId="22" fillId="32" borderId="17" xfId="0" applyNumberFormat="1" applyFont="1" applyFill="1" applyBorder="1" applyAlignment="1" applyProtection="1">
      <alignment horizontal="center" vertical="center" wrapText="1"/>
      <protection locked="0"/>
    </xf>
    <xf numFmtId="168" fontId="12" fillId="32" borderId="16" xfId="0" applyNumberFormat="1" applyFont="1" applyFill="1" applyBorder="1" applyAlignment="1" applyProtection="1">
      <alignment horizontal="center" vertical="center" wrapText="1"/>
      <protection locked="0"/>
    </xf>
    <xf numFmtId="2" fontId="12" fillId="32" borderId="17" xfId="0" applyNumberFormat="1" applyFont="1" applyFill="1" applyBorder="1" applyAlignment="1" applyProtection="1">
      <alignment horizontal="center" vertical="center" wrapText="1"/>
      <protection locked="0"/>
    </xf>
    <xf numFmtId="167" fontId="12" fillId="32" borderId="1" xfId="0" applyNumberFormat="1" applyFont="1" applyFill="1" applyBorder="1" applyAlignment="1">
      <alignment horizontal="center" vertical="center" wrapText="1"/>
    </xf>
    <xf numFmtId="0" fontId="19" fillId="32" borderId="17" xfId="0" applyFont="1" applyFill="1" applyBorder="1" applyAlignment="1">
      <alignment horizontal="center" vertical="center"/>
    </xf>
    <xf numFmtId="0" fontId="0" fillId="32" borderId="20" xfId="0" applyFill="1" applyBorder="1" applyAlignment="1">
      <alignment horizontal="center" vertical="center"/>
    </xf>
    <xf numFmtId="0" fontId="0" fillId="32" borderId="17" xfId="0" applyFill="1" applyBorder="1" applyAlignment="1">
      <alignment horizontal="center" vertical="center"/>
    </xf>
    <xf numFmtId="0" fontId="38" fillId="32" borderId="17" xfId="0" applyFont="1" applyFill="1" applyBorder="1" applyAlignment="1">
      <alignment vertical="center" wrapText="1"/>
    </xf>
    <xf numFmtId="0" fontId="45" fillId="32" borderId="17" xfId="0" applyFont="1" applyFill="1" applyBorder="1" applyAlignment="1">
      <alignment horizontal="center" vertical="center"/>
    </xf>
    <xf numFmtId="0" fontId="0" fillId="32" borderId="17" xfId="0" applyFill="1" applyBorder="1" applyAlignment="1">
      <alignment vertical="center" wrapText="1"/>
    </xf>
    <xf numFmtId="0" fontId="0" fillId="32" borderId="17" xfId="0" applyFill="1" applyBorder="1" applyAlignment="1">
      <alignment horizontal="center"/>
    </xf>
    <xf numFmtId="0" fontId="6" fillId="32" borderId="18" xfId="0" applyFont="1" applyFill="1" applyBorder="1" applyAlignment="1">
      <alignment horizontal="center" vertical="center"/>
    </xf>
    <xf numFmtId="0" fontId="46" fillId="0" borderId="18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195" fontId="19" fillId="0" borderId="18" xfId="0" applyNumberFormat="1" applyFont="1" applyFill="1" applyBorder="1" applyAlignment="1">
      <alignment horizontal="center" vertical="center"/>
    </xf>
    <xf numFmtId="195" fontId="0" fillId="0" borderId="17" xfId="0" applyNumberFormat="1" applyFill="1" applyBorder="1" applyAlignment="1">
      <alignment horizontal="right" vertical="center"/>
    </xf>
    <xf numFmtId="0" fontId="8" fillId="32" borderId="1" xfId="0" applyFont="1" applyFill="1" applyBorder="1" applyAlignment="1">
      <alignment vertical="center" wrapText="1"/>
    </xf>
    <xf numFmtId="0" fontId="8" fillId="32" borderId="1" xfId="0" applyFont="1" applyFill="1" applyBorder="1" applyAlignment="1">
      <alignment horizontal="center" vertical="center" wrapText="1"/>
    </xf>
    <xf numFmtId="0" fontId="8" fillId="32" borderId="1" xfId="0" applyFont="1" applyFill="1" applyBorder="1" applyAlignment="1">
      <alignment horizontal="justify" vertical="center" wrapText="1"/>
    </xf>
    <xf numFmtId="0" fontId="8" fillId="32" borderId="1" xfId="0" applyFont="1" applyFill="1" applyBorder="1" applyAlignment="1">
      <alignment horizontal="justify" vertical="center" wrapText="1"/>
    </xf>
    <xf numFmtId="0" fontId="7" fillId="32" borderId="1" xfId="0" applyFont="1" applyFill="1" applyBorder="1" applyAlignment="1">
      <alignment horizontal="center" vertical="center" wrapText="1"/>
    </xf>
    <xf numFmtId="0" fontId="7" fillId="32" borderId="1" xfId="0" applyFont="1" applyFill="1" applyBorder="1" applyAlignment="1">
      <alignment horizontal="justify" vertical="center"/>
    </xf>
    <xf numFmtId="180" fontId="7" fillId="32" borderId="1" xfId="0" applyNumberFormat="1" applyFont="1" applyFill="1" applyBorder="1" applyAlignment="1">
      <alignment horizontal="center" vertical="center"/>
    </xf>
    <xf numFmtId="179" fontId="7" fillId="32" borderId="1" xfId="0" applyNumberFormat="1" applyFont="1" applyFill="1" applyBorder="1" applyAlignment="1">
      <alignment horizontal="center" vertical="center"/>
    </xf>
    <xf numFmtId="49" fontId="7" fillId="32" borderId="1" xfId="0" applyNumberFormat="1" applyFont="1" applyFill="1" applyBorder="1" applyAlignment="1">
      <alignment horizontal="center" vertical="center"/>
    </xf>
    <xf numFmtId="167" fontId="7" fillId="32" borderId="1" xfId="0" applyNumberFormat="1" applyFont="1" applyFill="1" applyBorder="1" applyAlignment="1">
      <alignment horizontal="center" vertical="center"/>
    </xf>
    <xf numFmtId="10" fontId="7" fillId="32" borderId="1" xfId="0" applyNumberFormat="1" applyFont="1" applyFill="1" applyBorder="1" applyAlignment="1">
      <alignment horizontal="center" vertical="center"/>
    </xf>
    <xf numFmtId="167" fontId="11" fillId="32" borderId="1" xfId="0" applyNumberFormat="1" applyFont="1" applyFill="1" applyBorder="1" applyAlignment="1">
      <alignment horizontal="center" vertical="center"/>
    </xf>
    <xf numFmtId="167" fontId="12" fillId="0" borderId="1" xfId="0" applyNumberFormat="1" applyFont="1" applyFill="1" applyBorder="1" applyAlignment="1">
      <alignment horizontal="center" vertical="center"/>
    </xf>
    <xf numFmtId="2" fontId="7" fillId="32" borderId="1" xfId="0" applyNumberFormat="1" applyFont="1" applyFill="1" applyBorder="1" applyAlignment="1">
      <alignment horizontal="center" vertical="center" wrapText="1"/>
    </xf>
    <xf numFmtId="10" fontId="7" fillId="32" borderId="1" xfId="0" applyNumberFormat="1" applyFont="1" applyFill="1" applyBorder="1" applyAlignment="1">
      <alignment horizontal="center" vertical="center" wrapText="1"/>
    </xf>
    <xf numFmtId="0" fontId="7" fillId="32" borderId="2" xfId="0" applyFont="1" applyFill="1" applyBorder="1" applyAlignment="1">
      <alignment horizontal="center" vertical="center" wrapText="1"/>
    </xf>
  </cellXfs>
  <cellStyles count="11">
    <cellStyle name="Moeda" xfId="2" builtinId="4"/>
    <cellStyle name="Moeda 2" xfId="6" xr:uid="{E6365B74-9FC2-432C-A318-2D184567ABEF}"/>
    <cellStyle name="Normal" xfId="0" builtinId="0"/>
    <cellStyle name="Normal 3" xfId="5" xr:uid="{8A41BF4E-D3DE-4117-8498-063F5AC54D57}"/>
    <cellStyle name="Normal 4" xfId="7" xr:uid="{0EA65972-127F-4B95-9788-86196ABA1AA0}"/>
    <cellStyle name="Porcentagem" xfId="3" builtinId="5"/>
    <cellStyle name="Porcentagem 3" xfId="8" xr:uid="{F2E133FF-F72A-48E2-A529-D675DB74F2C5}"/>
    <cellStyle name="Texto Explicativo" xfId="4" builtinId="53" customBuiltin="1"/>
    <cellStyle name="Texto Explicativo 2" xfId="10" xr:uid="{46E23348-8679-486D-AED6-7D0ADEFAC7B3}"/>
    <cellStyle name="Vírgula" xfId="1" builtinId="3"/>
    <cellStyle name="Vírgula 3" xfId="9" xr:uid="{569EB180-30CF-4FD3-A914-08BA95EADDE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DDE8CB"/>
      <rgbColor rgb="FF0000EE"/>
      <rgbColor rgb="FFFFFF00"/>
      <rgbColor rgb="FFFFC7CE"/>
      <rgbColor rgb="FFC6EFCE"/>
      <rgbColor rgb="FF9C0006"/>
      <rgbColor rgb="FF006600"/>
      <rgbColor rgb="FFE2F0D9"/>
      <rgbColor rgb="FF996600"/>
      <rgbColor rgb="FFC55A11"/>
      <rgbColor rgb="FFCCCCCC"/>
      <rgbColor rgb="FFC0C0C0"/>
      <rgbColor rgb="FF808080"/>
      <rgbColor rgb="FF8FAADC"/>
      <rgbColor rgb="FF7030A0"/>
      <rgbColor rgb="FFFFFFCC"/>
      <rgbColor rgb="FFDDEBF7"/>
      <rgbColor rgb="FFDDDDDD"/>
      <rgbColor rgb="FFFF8080"/>
      <rgbColor rgb="FF2E75B6"/>
      <rgbColor rgb="FFBDD7EE"/>
      <rgbColor rgb="FFFBE5D6"/>
      <rgbColor rgb="FFD9D9D9"/>
      <rgbColor rgb="FFFFE699"/>
      <rgbColor rgb="FFC5E0B4"/>
      <rgbColor rgb="FFD6DCE5"/>
      <rgbColor rgb="FFCC0000"/>
      <rgbColor rgb="FFD0CECE"/>
      <rgbColor rgb="FFDAE3F3"/>
      <rgbColor rgb="FF00B0F0"/>
      <rgbColor rgb="FFDEEBF7"/>
      <rgbColor rgb="FFCCFFCC"/>
      <rgbColor rgb="FFFFEB9C"/>
      <rgbColor rgb="FFB4C7DD"/>
      <rgbColor rgb="FFFFA6A6"/>
      <rgbColor rgb="FFB2B2B2"/>
      <rgbColor rgb="FFFFCCCC"/>
      <rgbColor rgb="FF4472C4"/>
      <rgbColor rgb="FFA9D18E"/>
      <rgbColor rgb="FF92D050"/>
      <rgbColor rgb="FFFFC000"/>
      <rgbColor rgb="FFF4B183"/>
      <rgbColor rgb="FFFF6600"/>
      <rgbColor rgb="FF595959"/>
      <rgbColor rgb="FFA6A6A6"/>
      <rgbColor rgb="FF043363"/>
      <rgbColor rgb="FFBFBFBF"/>
      <rgbColor rgb="FF006100"/>
      <rgbColor rgb="FF404040"/>
      <rgbColor rgb="FF9C5700"/>
      <rgbColor rgb="FFC9211E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C7C88"/>
      <color rgb="FFA0A0A0"/>
      <color rgb="FFA6A6A6"/>
      <color rgb="FFBE05FF"/>
      <color rgb="FF7BEEFD"/>
      <color rgb="FFF7FA7E"/>
      <color rgb="FF99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247650</xdr:colOff>
      <xdr:row>2</xdr:row>
      <xdr:rowOff>0</xdr:rowOff>
    </xdr:to>
    <xdr:sp macro="" textlink="">
      <xdr:nvSpPr>
        <xdr:cNvPr id="2052" name="shapetype_202" hidden="1">
          <a:extLst>
            <a:ext uri="{FF2B5EF4-FFF2-40B4-BE49-F238E27FC236}">
              <a16:creationId xmlns:a16="http://schemas.microsoft.com/office/drawing/2014/main" id="{546BB49F-CD35-B4BD-84A5-FA29ECE42A3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247650</xdr:colOff>
      <xdr:row>2</xdr:row>
      <xdr:rowOff>0</xdr:rowOff>
    </xdr:to>
    <xdr:sp macro="" textlink="">
      <xdr:nvSpPr>
        <xdr:cNvPr id="2050" name="shapetype_202" hidden="1">
          <a:extLst>
            <a:ext uri="{FF2B5EF4-FFF2-40B4-BE49-F238E27FC236}">
              <a16:creationId xmlns:a16="http://schemas.microsoft.com/office/drawing/2014/main" id="{9C8ACC68-6549-77C6-C7B8-2F23509A5A9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1440</xdr:colOff>
      <xdr:row>24</xdr:row>
      <xdr:rowOff>141120</xdr:rowOff>
    </xdr:from>
    <xdr:to>
      <xdr:col>3</xdr:col>
      <xdr:colOff>624240</xdr:colOff>
      <xdr:row>24</xdr:row>
      <xdr:rowOff>2098080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40" y="9004320"/>
          <a:ext cx="4299120" cy="19569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A29"/>
  <sheetViews>
    <sheetView view="pageBreakPreview" topLeftCell="A21" zoomScaleNormal="100" workbookViewId="0">
      <selection activeCell="A34" sqref="A34"/>
    </sheetView>
  </sheetViews>
  <sheetFormatPr defaultRowHeight="14.25" x14ac:dyDescent="0.2"/>
  <cols>
    <col min="1" max="1" width="72.25"/>
    <col min="2" max="1025" width="8.875"/>
  </cols>
  <sheetData>
    <row r="1" spans="1:1" ht="15" x14ac:dyDescent="0.25">
      <c r="A1" s="17" t="s">
        <v>0</v>
      </c>
    </row>
    <row r="3" spans="1:1" ht="31.5" x14ac:dyDescent="0.25">
      <c r="A3" s="287" t="s">
        <v>1</v>
      </c>
    </row>
    <row r="4" spans="1:1" x14ac:dyDescent="0.2">
      <c r="A4" s="18"/>
    </row>
    <row r="5" spans="1:1" x14ac:dyDescent="0.2">
      <c r="A5" s="18"/>
    </row>
    <row r="6" spans="1:1" ht="30" x14ac:dyDescent="0.25">
      <c r="A6" s="19" t="s">
        <v>2</v>
      </c>
    </row>
    <row r="7" spans="1:1" ht="15" x14ac:dyDescent="0.25">
      <c r="A7" s="288" t="s">
        <v>3</v>
      </c>
    </row>
    <row r="8" spans="1:1" x14ac:dyDescent="0.2">
      <c r="A8" s="18"/>
    </row>
    <row r="9" spans="1:1" ht="15" x14ac:dyDescent="0.25">
      <c r="A9" s="20" t="s">
        <v>4</v>
      </c>
    </row>
    <row r="10" spans="1:1" x14ac:dyDescent="0.2">
      <c r="A10" s="19"/>
    </row>
    <row r="11" spans="1:1" ht="29.25" x14ac:dyDescent="0.2">
      <c r="A11" s="289" t="s">
        <v>5</v>
      </c>
    </row>
    <row r="13" spans="1:1" ht="30" x14ac:dyDescent="0.25">
      <c r="A13" s="20" t="s">
        <v>6</v>
      </c>
    </row>
    <row r="15" spans="1:1" ht="44.25" x14ac:dyDescent="0.25">
      <c r="A15" s="20" t="s">
        <v>7</v>
      </c>
    </row>
    <row r="17" spans="1:1" ht="29.25" x14ac:dyDescent="0.2">
      <c r="A17" s="20" t="s">
        <v>8</v>
      </c>
    </row>
    <row r="19" spans="1:1" ht="30" x14ac:dyDescent="0.25">
      <c r="A19" s="20" t="s">
        <v>9</v>
      </c>
    </row>
    <row r="20" spans="1:1" ht="28.5" x14ac:dyDescent="0.2">
      <c r="A20" s="290" t="s">
        <v>10</v>
      </c>
    </row>
    <row r="21" spans="1:1" ht="57" x14ac:dyDescent="0.2">
      <c r="A21" s="290" t="s">
        <v>11</v>
      </c>
    </row>
    <row r="22" spans="1:1" ht="42.75" x14ac:dyDescent="0.2">
      <c r="A22" s="290" t="s">
        <v>12</v>
      </c>
    </row>
    <row r="23" spans="1:1" ht="42.75" x14ac:dyDescent="0.2">
      <c r="A23" s="290" t="s">
        <v>13</v>
      </c>
    </row>
    <row r="25" spans="1:1" ht="30" x14ac:dyDescent="0.25">
      <c r="A25" s="20" t="s">
        <v>14</v>
      </c>
    </row>
    <row r="27" spans="1:1" ht="30" x14ac:dyDescent="0.25">
      <c r="A27" s="20" t="s">
        <v>15</v>
      </c>
    </row>
    <row r="29" spans="1:1" ht="15" x14ac:dyDescent="0.25">
      <c r="A29" s="21" t="s">
        <v>16</v>
      </c>
    </row>
  </sheetData>
  <printOptions horizontalCentered="1"/>
  <pageMargins left="0.39370078740157483" right="0.39370078740157483" top="0.59055118110236227" bottom="0.39370078740157483" header="0.51181102362204722" footer="0.51181102362204722"/>
  <pageSetup paperSize="9" firstPageNumber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22E19-0BA7-4248-BD61-F3702F847588}">
  <sheetPr>
    <tabColor theme="9" tint="0.39997558519241921"/>
    <pageSetUpPr fitToPage="1"/>
  </sheetPr>
  <dimension ref="A2:N96"/>
  <sheetViews>
    <sheetView workbookViewId="0">
      <selection activeCell="M82" sqref="M82"/>
    </sheetView>
  </sheetViews>
  <sheetFormatPr defaultColWidth="9" defaultRowHeight="14.25" x14ac:dyDescent="0.2"/>
  <cols>
    <col min="1" max="2" width="9" style="194"/>
    <col min="3" max="3" width="10.75" style="194" customWidth="1"/>
    <col min="4" max="7" width="9" style="194"/>
    <col min="8" max="8" width="9.25" style="194" bestFit="1" customWidth="1"/>
    <col min="9" max="9" width="9" style="195"/>
    <col min="10" max="16384" width="9" style="194"/>
  </cols>
  <sheetData>
    <row r="2" spans="1:14" x14ac:dyDescent="0.2">
      <c r="A2" s="480" t="s">
        <v>410</v>
      </c>
      <c r="B2" s="481"/>
      <c r="C2" s="481"/>
      <c r="D2" s="481"/>
      <c r="E2" s="481"/>
      <c r="F2" s="481"/>
      <c r="G2" s="481"/>
      <c r="H2" s="481"/>
      <c r="I2" s="481"/>
      <c r="J2" s="481"/>
      <c r="K2" s="481"/>
      <c r="L2" s="481"/>
      <c r="M2" s="481"/>
      <c r="N2" s="482"/>
    </row>
    <row r="3" spans="1:14" ht="24.75" customHeight="1" x14ac:dyDescent="0.2">
      <c r="A3" s="483" t="s">
        <v>328</v>
      </c>
      <c r="B3" s="484" t="s">
        <v>330</v>
      </c>
      <c r="C3" s="484"/>
      <c r="D3" s="485"/>
      <c r="E3" s="486" t="s">
        <v>411</v>
      </c>
      <c r="F3" s="486"/>
      <c r="G3" s="486"/>
      <c r="H3" s="486"/>
      <c r="I3" s="486"/>
      <c r="J3" s="486"/>
      <c r="K3" s="486"/>
      <c r="L3" s="487" t="s">
        <v>412</v>
      </c>
      <c r="M3" s="488"/>
      <c r="N3" s="489"/>
    </row>
    <row r="4" spans="1:14" ht="112.5" x14ac:dyDescent="0.2">
      <c r="A4" s="465"/>
      <c r="B4" s="292" t="s">
        <v>332</v>
      </c>
      <c r="C4" s="292" t="s">
        <v>333</v>
      </c>
      <c r="D4" s="293" t="s">
        <v>334</v>
      </c>
      <c r="E4" s="294" t="s">
        <v>335</v>
      </c>
      <c r="F4" s="294" t="s">
        <v>240</v>
      </c>
      <c r="G4" s="295" t="s">
        <v>336</v>
      </c>
      <c r="H4" s="294" t="s">
        <v>338</v>
      </c>
      <c r="I4" s="294" t="s">
        <v>339</v>
      </c>
      <c r="J4" s="296" t="s">
        <v>340</v>
      </c>
      <c r="K4" s="294" t="s">
        <v>341</v>
      </c>
      <c r="L4" s="297" t="s">
        <v>413</v>
      </c>
      <c r="M4" s="298" t="s">
        <v>414</v>
      </c>
      <c r="N4" s="299" t="s">
        <v>415</v>
      </c>
    </row>
    <row r="5" spans="1:14" ht="22.5" x14ac:dyDescent="0.2">
      <c r="A5" s="123">
        <v>1</v>
      </c>
      <c r="B5" s="124">
        <v>1</v>
      </c>
      <c r="C5" s="125" t="s">
        <v>655</v>
      </c>
      <c r="D5" s="124" t="s">
        <v>342</v>
      </c>
      <c r="E5" s="126">
        <v>0</v>
      </c>
      <c r="F5" s="198" t="s">
        <v>344</v>
      </c>
      <c r="G5" s="200">
        <v>0</v>
      </c>
      <c r="H5" s="127">
        <v>2.1205323591608392</v>
      </c>
      <c r="I5" s="210" t="s">
        <v>343</v>
      </c>
      <c r="J5" s="128">
        <v>0</v>
      </c>
      <c r="K5" s="300">
        <v>0</v>
      </c>
      <c r="L5" s="301">
        <f>J5/$J$77</f>
        <v>0</v>
      </c>
      <c r="M5" s="301" t="str">
        <f>IF(K78&gt;0,K5/$K$78,"")</f>
        <v/>
      </c>
      <c r="N5" s="301">
        <f>ROUND((IF(OR(F5="Terrestre",F5="Terrestre com Balsa"),G5,0))/$G$78,6)</f>
        <v>0</v>
      </c>
    </row>
    <row r="6" spans="1:14" ht="22.5" x14ac:dyDescent="0.2">
      <c r="A6" s="123">
        <v>2</v>
      </c>
      <c r="B6" s="124">
        <v>2</v>
      </c>
      <c r="C6" s="125" t="s">
        <v>627</v>
      </c>
      <c r="D6" s="124" t="s">
        <v>346</v>
      </c>
      <c r="E6" s="126">
        <v>0</v>
      </c>
      <c r="F6" s="198" t="s">
        <v>344</v>
      </c>
      <c r="G6" s="200">
        <v>0</v>
      </c>
      <c r="H6" s="127">
        <v>3.5722229706293707</v>
      </c>
      <c r="I6" s="210" t="s">
        <v>343</v>
      </c>
      <c r="J6" s="128">
        <v>0</v>
      </c>
      <c r="K6" s="300">
        <v>0</v>
      </c>
      <c r="L6" s="301">
        <f t="shared" ref="L6:L69" si="0">J6/$J$77</f>
        <v>0</v>
      </c>
      <c r="M6" s="301" t="str">
        <f t="shared" ref="M6:M69" si="1">IF(K79&gt;0,K6/$K$78,"")</f>
        <v/>
      </c>
      <c r="N6" s="301">
        <f t="shared" ref="N6:N69" si="2">ROUND((IF(OR(F6="Terrestre",F6="Terrestre com Balsa"),G6,0))/$G$78,6)</f>
        <v>0</v>
      </c>
    </row>
    <row r="7" spans="1:14" ht="45" x14ac:dyDescent="0.2">
      <c r="A7" s="123">
        <v>3</v>
      </c>
      <c r="B7" s="124">
        <v>3</v>
      </c>
      <c r="C7" s="125" t="s">
        <v>657</v>
      </c>
      <c r="D7" s="124" t="s">
        <v>346</v>
      </c>
      <c r="E7" s="126">
        <v>2.2000000000000002</v>
      </c>
      <c r="F7" s="198" t="s">
        <v>344</v>
      </c>
      <c r="G7" s="200">
        <v>8.3333333333333329E-2</v>
      </c>
      <c r="H7" s="127">
        <v>1.3250542481620944</v>
      </c>
      <c r="I7" s="210" t="s">
        <v>343</v>
      </c>
      <c r="J7" s="128">
        <v>0</v>
      </c>
      <c r="K7" s="300">
        <v>0</v>
      </c>
      <c r="L7" s="301">
        <f t="shared" si="0"/>
        <v>0</v>
      </c>
      <c r="M7" s="301" t="str">
        <f t="shared" si="1"/>
        <v/>
      </c>
      <c r="N7" s="301">
        <f t="shared" si="2"/>
        <v>7.267E-3</v>
      </c>
    </row>
    <row r="8" spans="1:14" ht="22.5" x14ac:dyDescent="0.2">
      <c r="A8" s="123">
        <v>4</v>
      </c>
      <c r="B8" s="124">
        <v>4</v>
      </c>
      <c r="C8" s="125" t="s">
        <v>631</v>
      </c>
      <c r="D8" s="124" t="s">
        <v>346</v>
      </c>
      <c r="E8" s="126">
        <v>8.4</v>
      </c>
      <c r="F8" s="198" t="s">
        <v>344</v>
      </c>
      <c r="G8" s="200">
        <v>0.33333333333333331</v>
      </c>
      <c r="H8" s="127">
        <v>1.626061584364354</v>
      </c>
      <c r="I8" s="210" t="s">
        <v>343</v>
      </c>
      <c r="J8" s="128">
        <v>0</v>
      </c>
      <c r="K8" s="300">
        <v>0</v>
      </c>
      <c r="L8" s="301">
        <f t="shared" si="0"/>
        <v>0</v>
      </c>
      <c r="M8" s="301" t="str">
        <f t="shared" si="1"/>
        <v/>
      </c>
      <c r="N8" s="301">
        <f t="shared" si="2"/>
        <v>2.9069999999999999E-2</v>
      </c>
    </row>
    <row r="9" spans="1:14" ht="45" x14ac:dyDescent="0.2">
      <c r="A9" s="123">
        <v>5</v>
      </c>
      <c r="B9" s="124">
        <v>5</v>
      </c>
      <c r="C9" s="125" t="s">
        <v>658</v>
      </c>
      <c r="D9" s="124" t="s">
        <v>346</v>
      </c>
      <c r="E9" s="126">
        <v>10</v>
      </c>
      <c r="F9" s="198" t="s">
        <v>344</v>
      </c>
      <c r="G9" s="200">
        <v>0.66666666666666663</v>
      </c>
      <c r="H9" s="127">
        <v>2.8801852515689439</v>
      </c>
      <c r="I9" s="210" t="s">
        <v>343</v>
      </c>
      <c r="J9" s="128">
        <v>0</v>
      </c>
      <c r="K9" s="300">
        <v>0</v>
      </c>
      <c r="L9" s="301">
        <f t="shared" si="0"/>
        <v>0</v>
      </c>
      <c r="M9" s="301" t="str">
        <f t="shared" si="1"/>
        <v/>
      </c>
      <c r="N9" s="301">
        <f t="shared" si="2"/>
        <v>5.8139999999999997E-2</v>
      </c>
    </row>
    <row r="10" spans="1:14" x14ac:dyDescent="0.2">
      <c r="A10" s="123">
        <v>6</v>
      </c>
      <c r="B10" s="124">
        <v>6</v>
      </c>
      <c r="C10" s="125" t="s">
        <v>635</v>
      </c>
      <c r="D10" s="124" t="s">
        <v>347</v>
      </c>
      <c r="E10" s="126">
        <v>1</v>
      </c>
      <c r="F10" s="198" t="s">
        <v>344</v>
      </c>
      <c r="G10" s="200">
        <v>3.8</v>
      </c>
      <c r="H10" s="127">
        <v>2.016723722431415</v>
      </c>
      <c r="I10" s="210" t="s">
        <v>349</v>
      </c>
      <c r="J10" s="128">
        <v>2</v>
      </c>
      <c r="K10" s="300">
        <v>0</v>
      </c>
      <c r="L10" s="301">
        <f t="shared" si="0"/>
        <v>0.5</v>
      </c>
      <c r="M10" s="301" t="str">
        <f t="shared" si="1"/>
        <v/>
      </c>
      <c r="N10" s="301">
        <f t="shared" si="2"/>
        <v>0.331395</v>
      </c>
    </row>
    <row r="11" spans="1:14" ht="22.5" x14ac:dyDescent="0.2">
      <c r="A11" s="123">
        <v>7</v>
      </c>
      <c r="B11" s="124">
        <v>6</v>
      </c>
      <c r="C11" s="125" t="s">
        <v>348</v>
      </c>
      <c r="D11" s="124" t="s">
        <v>346</v>
      </c>
      <c r="E11" s="126">
        <v>298</v>
      </c>
      <c r="F11" s="198" t="s">
        <v>344</v>
      </c>
      <c r="G11" s="200">
        <v>3.6666666666666665</v>
      </c>
      <c r="H11" s="127">
        <v>1.7224091762596379</v>
      </c>
      <c r="I11" s="210" t="s">
        <v>349</v>
      </c>
      <c r="J11" s="128">
        <v>1</v>
      </c>
      <c r="K11" s="300">
        <v>0</v>
      </c>
      <c r="L11" s="301">
        <f t="shared" si="0"/>
        <v>0.25</v>
      </c>
      <c r="M11" s="301" t="str">
        <f t="shared" si="1"/>
        <v/>
      </c>
      <c r="N11" s="301">
        <f t="shared" si="2"/>
        <v>0.31976700000000002</v>
      </c>
    </row>
    <row r="12" spans="1:14" x14ac:dyDescent="0.2">
      <c r="A12" s="123">
        <v>8</v>
      </c>
      <c r="B12" s="124">
        <v>7</v>
      </c>
      <c r="C12" s="125" t="s">
        <v>640</v>
      </c>
      <c r="D12" s="124" t="s">
        <v>346</v>
      </c>
      <c r="E12" s="126">
        <v>178</v>
      </c>
      <c r="F12" s="198" t="s">
        <v>344</v>
      </c>
      <c r="G12" s="200">
        <v>2.8333333333333335</v>
      </c>
      <c r="H12" s="127">
        <v>1.456118287968442</v>
      </c>
      <c r="I12" s="210" t="s">
        <v>349</v>
      </c>
      <c r="J12" s="128">
        <v>1</v>
      </c>
      <c r="K12" s="300">
        <v>0</v>
      </c>
      <c r="L12" s="301">
        <f t="shared" si="0"/>
        <v>0.25</v>
      </c>
      <c r="M12" s="301" t="str">
        <f t="shared" si="1"/>
        <v/>
      </c>
      <c r="N12" s="301">
        <f t="shared" si="2"/>
        <v>0.24709300000000001</v>
      </c>
    </row>
    <row r="13" spans="1:14" ht="22.5" x14ac:dyDescent="0.2">
      <c r="A13" s="123">
        <v>9</v>
      </c>
      <c r="B13" s="124">
        <v>3</v>
      </c>
      <c r="C13" s="125" t="s">
        <v>660</v>
      </c>
      <c r="D13" s="124" t="s">
        <v>347</v>
      </c>
      <c r="E13" s="126">
        <v>2.2000000000000002</v>
      </c>
      <c r="F13" s="198" t="s">
        <v>344</v>
      </c>
      <c r="G13" s="200">
        <v>8.3333333333333329E-2</v>
      </c>
      <c r="H13" s="127">
        <v>1.6645017661825354</v>
      </c>
      <c r="I13" s="210" t="s">
        <v>343</v>
      </c>
      <c r="J13" s="128">
        <v>0</v>
      </c>
      <c r="K13" s="300">
        <v>0</v>
      </c>
      <c r="L13" s="301">
        <f t="shared" si="0"/>
        <v>0</v>
      </c>
      <c r="M13" s="301" t="str">
        <f t="shared" si="1"/>
        <v/>
      </c>
      <c r="N13" s="301">
        <f t="shared" si="2"/>
        <v>7.267E-3</v>
      </c>
    </row>
    <row r="14" spans="1:14" hidden="1" x14ac:dyDescent="0.2">
      <c r="A14" s="123"/>
      <c r="B14" s="124"/>
      <c r="C14" s="125"/>
      <c r="D14" s="124"/>
      <c r="E14" s="126"/>
      <c r="F14" s="198"/>
      <c r="G14" s="200"/>
      <c r="H14" s="127"/>
      <c r="I14" s="210"/>
      <c r="J14" s="128"/>
      <c r="K14" s="300"/>
      <c r="L14" s="301">
        <f t="shared" si="0"/>
        <v>0</v>
      </c>
      <c r="M14" s="301" t="str">
        <f t="shared" si="1"/>
        <v/>
      </c>
      <c r="N14" s="301">
        <f t="shared" si="2"/>
        <v>0</v>
      </c>
    </row>
    <row r="15" spans="1:14" hidden="1" x14ac:dyDescent="0.2">
      <c r="A15" s="123"/>
      <c r="B15" s="124"/>
      <c r="C15" s="125"/>
      <c r="D15" s="124"/>
      <c r="E15" s="126"/>
      <c r="F15" s="198"/>
      <c r="G15" s="200"/>
      <c r="H15" s="127"/>
      <c r="I15" s="210"/>
      <c r="J15" s="128"/>
      <c r="K15" s="300"/>
      <c r="L15" s="301">
        <f t="shared" si="0"/>
        <v>0</v>
      </c>
      <c r="M15" s="301" t="str">
        <f t="shared" si="1"/>
        <v/>
      </c>
      <c r="N15" s="301">
        <f t="shared" si="2"/>
        <v>0</v>
      </c>
    </row>
    <row r="16" spans="1:14" hidden="1" x14ac:dyDescent="0.2">
      <c r="A16" s="123"/>
      <c r="B16" s="124"/>
      <c r="C16" s="125"/>
      <c r="D16" s="124"/>
      <c r="E16" s="126"/>
      <c r="F16" s="198"/>
      <c r="G16" s="200"/>
      <c r="H16" s="127"/>
      <c r="I16" s="210"/>
      <c r="J16" s="128"/>
      <c r="K16" s="300"/>
      <c r="L16" s="301">
        <f t="shared" si="0"/>
        <v>0</v>
      </c>
      <c r="M16" s="301" t="str">
        <f t="shared" si="1"/>
        <v/>
      </c>
      <c r="N16" s="301">
        <f t="shared" si="2"/>
        <v>0</v>
      </c>
    </row>
    <row r="17" spans="1:14" hidden="1" x14ac:dyDescent="0.2">
      <c r="A17" s="123"/>
      <c r="B17" s="124"/>
      <c r="C17" s="125"/>
      <c r="D17" s="124"/>
      <c r="E17" s="126"/>
      <c r="F17" s="198"/>
      <c r="G17" s="200"/>
      <c r="H17" s="127"/>
      <c r="I17" s="210"/>
      <c r="J17" s="128"/>
      <c r="K17" s="300"/>
      <c r="L17" s="301">
        <f t="shared" si="0"/>
        <v>0</v>
      </c>
      <c r="M17" s="301" t="str">
        <f t="shared" si="1"/>
        <v/>
      </c>
      <c r="N17" s="301">
        <f t="shared" si="2"/>
        <v>0</v>
      </c>
    </row>
    <row r="18" spans="1:14" hidden="1" x14ac:dyDescent="0.2">
      <c r="A18" s="123"/>
      <c r="B18" s="124"/>
      <c r="C18" s="125"/>
      <c r="D18" s="124"/>
      <c r="E18" s="126"/>
      <c r="F18" s="198"/>
      <c r="G18" s="200"/>
      <c r="H18" s="127"/>
      <c r="I18" s="210"/>
      <c r="J18" s="128"/>
      <c r="K18" s="300"/>
      <c r="L18" s="301">
        <f t="shared" si="0"/>
        <v>0</v>
      </c>
      <c r="M18" s="301" t="str">
        <f t="shared" si="1"/>
        <v/>
      </c>
      <c r="N18" s="301">
        <f t="shared" si="2"/>
        <v>0</v>
      </c>
    </row>
    <row r="19" spans="1:14" hidden="1" x14ac:dyDescent="0.2">
      <c r="A19" s="123"/>
      <c r="B19" s="124"/>
      <c r="C19" s="125"/>
      <c r="D19" s="124"/>
      <c r="E19" s="126"/>
      <c r="F19" s="198"/>
      <c r="G19" s="200"/>
      <c r="H19" s="127"/>
      <c r="I19" s="210"/>
      <c r="J19" s="128"/>
      <c r="K19" s="300"/>
      <c r="L19" s="301">
        <f t="shared" si="0"/>
        <v>0</v>
      </c>
      <c r="M19" s="301" t="str">
        <f t="shared" si="1"/>
        <v/>
      </c>
      <c r="N19" s="301">
        <f t="shared" si="2"/>
        <v>0</v>
      </c>
    </row>
    <row r="20" spans="1:14" hidden="1" x14ac:dyDescent="0.2">
      <c r="A20" s="123"/>
      <c r="B20" s="124"/>
      <c r="C20" s="125"/>
      <c r="D20" s="124"/>
      <c r="E20" s="126"/>
      <c r="F20" s="198"/>
      <c r="G20" s="200"/>
      <c r="H20" s="127"/>
      <c r="I20" s="210"/>
      <c r="J20" s="128"/>
      <c r="K20" s="300"/>
      <c r="L20" s="301">
        <f t="shared" si="0"/>
        <v>0</v>
      </c>
      <c r="M20" s="301" t="str">
        <f t="shared" si="1"/>
        <v/>
      </c>
      <c r="N20" s="301">
        <f t="shared" si="2"/>
        <v>0</v>
      </c>
    </row>
    <row r="21" spans="1:14" hidden="1" x14ac:dyDescent="0.2">
      <c r="A21" s="123"/>
      <c r="B21" s="124"/>
      <c r="C21" s="125"/>
      <c r="D21" s="124"/>
      <c r="E21" s="126"/>
      <c r="F21" s="198"/>
      <c r="G21" s="200"/>
      <c r="H21" s="127"/>
      <c r="I21" s="210"/>
      <c r="J21" s="128"/>
      <c r="K21" s="300"/>
      <c r="L21" s="301">
        <f t="shared" si="0"/>
        <v>0</v>
      </c>
      <c r="M21" s="301" t="str">
        <f t="shared" si="1"/>
        <v/>
      </c>
      <c r="N21" s="301">
        <f t="shared" si="2"/>
        <v>0</v>
      </c>
    </row>
    <row r="22" spans="1:14" hidden="1" x14ac:dyDescent="0.2">
      <c r="A22" s="123"/>
      <c r="B22" s="124"/>
      <c r="C22" s="125"/>
      <c r="D22" s="124"/>
      <c r="E22" s="126"/>
      <c r="F22" s="198"/>
      <c r="G22" s="200"/>
      <c r="H22" s="127"/>
      <c r="I22" s="210"/>
      <c r="J22" s="128"/>
      <c r="K22" s="300"/>
      <c r="L22" s="301">
        <f t="shared" si="0"/>
        <v>0</v>
      </c>
      <c r="M22" s="301" t="str">
        <f t="shared" si="1"/>
        <v/>
      </c>
      <c r="N22" s="301">
        <f t="shared" si="2"/>
        <v>0</v>
      </c>
    </row>
    <row r="23" spans="1:14" hidden="1" x14ac:dyDescent="0.2">
      <c r="A23" s="123"/>
      <c r="B23" s="124"/>
      <c r="C23" s="125"/>
      <c r="D23" s="124"/>
      <c r="E23" s="126"/>
      <c r="F23" s="198"/>
      <c r="G23" s="200"/>
      <c r="H23" s="127"/>
      <c r="I23" s="210"/>
      <c r="J23" s="128"/>
      <c r="K23" s="300"/>
      <c r="L23" s="301">
        <f t="shared" si="0"/>
        <v>0</v>
      </c>
      <c r="M23" s="301" t="str">
        <f t="shared" si="1"/>
        <v/>
      </c>
      <c r="N23" s="301">
        <f t="shared" si="2"/>
        <v>0</v>
      </c>
    </row>
    <row r="24" spans="1:14" hidden="1" x14ac:dyDescent="0.2">
      <c r="A24" s="123"/>
      <c r="B24" s="124"/>
      <c r="C24" s="125"/>
      <c r="D24" s="124"/>
      <c r="E24" s="126"/>
      <c r="F24" s="198"/>
      <c r="G24" s="200"/>
      <c r="H24" s="127"/>
      <c r="I24" s="210"/>
      <c r="J24" s="128"/>
      <c r="K24" s="300"/>
      <c r="L24" s="301">
        <f t="shared" si="0"/>
        <v>0</v>
      </c>
      <c r="M24" s="301" t="str">
        <f t="shared" si="1"/>
        <v/>
      </c>
      <c r="N24" s="301">
        <f t="shared" si="2"/>
        <v>0</v>
      </c>
    </row>
    <row r="25" spans="1:14" hidden="1" x14ac:dyDescent="0.2">
      <c r="A25" s="123"/>
      <c r="B25" s="124"/>
      <c r="C25" s="125"/>
      <c r="D25" s="124"/>
      <c r="E25" s="126"/>
      <c r="F25" s="198"/>
      <c r="G25" s="200"/>
      <c r="H25" s="127"/>
      <c r="I25" s="210"/>
      <c r="J25" s="128"/>
      <c r="K25" s="300"/>
      <c r="L25" s="301">
        <f t="shared" si="0"/>
        <v>0</v>
      </c>
      <c r="M25" s="301" t="str">
        <f t="shared" si="1"/>
        <v/>
      </c>
      <c r="N25" s="301">
        <f t="shared" si="2"/>
        <v>0</v>
      </c>
    </row>
    <row r="26" spans="1:14" hidden="1" x14ac:dyDescent="0.2">
      <c r="A26" s="123"/>
      <c r="B26" s="124"/>
      <c r="C26" s="125"/>
      <c r="D26" s="124"/>
      <c r="E26" s="126"/>
      <c r="F26" s="198"/>
      <c r="G26" s="200"/>
      <c r="H26" s="127"/>
      <c r="I26" s="210"/>
      <c r="J26" s="128"/>
      <c r="K26" s="300"/>
      <c r="L26" s="301">
        <f t="shared" si="0"/>
        <v>0</v>
      </c>
      <c r="M26" s="301" t="str">
        <f t="shared" si="1"/>
        <v/>
      </c>
      <c r="N26" s="301">
        <f t="shared" si="2"/>
        <v>0</v>
      </c>
    </row>
    <row r="27" spans="1:14" hidden="1" x14ac:dyDescent="0.2">
      <c r="A27" s="123"/>
      <c r="B27" s="124"/>
      <c r="C27" s="125"/>
      <c r="D27" s="124"/>
      <c r="E27" s="126"/>
      <c r="F27" s="198"/>
      <c r="G27" s="200"/>
      <c r="H27" s="127"/>
      <c r="I27" s="210"/>
      <c r="J27" s="128"/>
      <c r="K27" s="300"/>
      <c r="L27" s="301">
        <f t="shared" si="0"/>
        <v>0</v>
      </c>
      <c r="M27" s="301" t="str">
        <f t="shared" si="1"/>
        <v/>
      </c>
      <c r="N27" s="301">
        <f t="shared" si="2"/>
        <v>0</v>
      </c>
    </row>
    <row r="28" spans="1:14" hidden="1" x14ac:dyDescent="0.2">
      <c r="A28" s="7"/>
      <c r="B28" s="124"/>
      <c r="C28" s="125"/>
      <c r="D28" s="124"/>
      <c r="E28" s="126"/>
      <c r="F28" s="198"/>
      <c r="G28" s="200"/>
      <c r="H28" s="127"/>
      <c r="I28" s="210"/>
      <c r="J28" s="128"/>
      <c r="K28" s="300"/>
      <c r="L28" s="301">
        <f t="shared" si="0"/>
        <v>0</v>
      </c>
      <c r="M28" s="301" t="str">
        <f t="shared" si="1"/>
        <v/>
      </c>
      <c r="N28" s="301">
        <f t="shared" si="2"/>
        <v>0</v>
      </c>
    </row>
    <row r="29" spans="1:14" hidden="1" x14ac:dyDescent="0.2">
      <c r="A29" s="7"/>
      <c r="B29" s="124"/>
      <c r="C29" s="125"/>
      <c r="D29" s="124"/>
      <c r="E29" s="126"/>
      <c r="F29" s="198"/>
      <c r="G29" s="200"/>
      <c r="H29" s="127"/>
      <c r="I29" s="210"/>
      <c r="J29" s="128"/>
      <c r="K29" s="300"/>
      <c r="L29" s="301">
        <f t="shared" si="0"/>
        <v>0</v>
      </c>
      <c r="M29" s="301" t="str">
        <f t="shared" si="1"/>
        <v/>
      </c>
      <c r="N29" s="301">
        <f t="shared" si="2"/>
        <v>0</v>
      </c>
    </row>
    <row r="30" spans="1:14" hidden="1" x14ac:dyDescent="0.2">
      <c r="A30" s="7"/>
      <c r="B30" s="124"/>
      <c r="C30" s="125"/>
      <c r="D30" s="124"/>
      <c r="E30" s="126"/>
      <c r="F30" s="198"/>
      <c r="G30" s="200"/>
      <c r="H30" s="127"/>
      <c r="I30" s="210"/>
      <c r="J30" s="128"/>
      <c r="K30" s="300"/>
      <c r="L30" s="301">
        <f t="shared" si="0"/>
        <v>0</v>
      </c>
      <c r="M30" s="301" t="str">
        <f t="shared" si="1"/>
        <v/>
      </c>
      <c r="N30" s="301">
        <f t="shared" si="2"/>
        <v>0</v>
      </c>
    </row>
    <row r="31" spans="1:14" hidden="1" x14ac:dyDescent="0.2">
      <c r="A31" s="7"/>
      <c r="B31" s="124"/>
      <c r="C31" s="125"/>
      <c r="D31" s="124"/>
      <c r="E31" s="126"/>
      <c r="F31" s="198"/>
      <c r="G31" s="200"/>
      <c r="H31" s="127"/>
      <c r="I31" s="210"/>
      <c r="J31" s="128"/>
      <c r="K31" s="300"/>
      <c r="L31" s="301">
        <f t="shared" si="0"/>
        <v>0</v>
      </c>
      <c r="M31" s="301" t="str">
        <f t="shared" si="1"/>
        <v/>
      </c>
      <c r="N31" s="301">
        <f t="shared" si="2"/>
        <v>0</v>
      </c>
    </row>
    <row r="32" spans="1:14" hidden="1" x14ac:dyDescent="0.2">
      <c r="A32" s="7"/>
      <c r="B32" s="124"/>
      <c r="C32" s="125"/>
      <c r="D32" s="124"/>
      <c r="E32" s="126"/>
      <c r="F32" s="198"/>
      <c r="G32" s="200"/>
      <c r="H32" s="127"/>
      <c r="I32" s="210"/>
      <c r="J32" s="128"/>
      <c r="K32" s="300"/>
      <c r="L32" s="301">
        <f t="shared" si="0"/>
        <v>0</v>
      </c>
      <c r="M32" s="301" t="str">
        <f t="shared" si="1"/>
        <v/>
      </c>
      <c r="N32" s="301">
        <f t="shared" si="2"/>
        <v>0</v>
      </c>
    </row>
    <row r="33" spans="1:14" hidden="1" x14ac:dyDescent="0.2">
      <c r="A33" s="7"/>
      <c r="B33" s="124"/>
      <c r="C33" s="125"/>
      <c r="D33" s="124"/>
      <c r="E33" s="126"/>
      <c r="F33" s="198"/>
      <c r="G33" s="200"/>
      <c r="H33" s="127"/>
      <c r="I33" s="210"/>
      <c r="J33" s="128"/>
      <c r="K33" s="300"/>
      <c r="L33" s="301">
        <f t="shared" si="0"/>
        <v>0</v>
      </c>
      <c r="M33" s="301" t="str">
        <f t="shared" si="1"/>
        <v/>
      </c>
      <c r="N33" s="301">
        <f t="shared" si="2"/>
        <v>0</v>
      </c>
    </row>
    <row r="34" spans="1:14" hidden="1" x14ac:dyDescent="0.2">
      <c r="A34" s="7"/>
      <c r="B34" s="124"/>
      <c r="C34" s="125"/>
      <c r="D34" s="124"/>
      <c r="E34" s="126"/>
      <c r="F34" s="198"/>
      <c r="G34" s="200"/>
      <c r="H34" s="127"/>
      <c r="I34" s="210"/>
      <c r="J34" s="128"/>
      <c r="K34" s="300"/>
      <c r="L34" s="301">
        <f t="shared" si="0"/>
        <v>0</v>
      </c>
      <c r="M34" s="301" t="str">
        <f t="shared" si="1"/>
        <v/>
      </c>
      <c r="N34" s="301">
        <f t="shared" si="2"/>
        <v>0</v>
      </c>
    </row>
    <row r="35" spans="1:14" hidden="1" x14ac:dyDescent="0.2">
      <c r="A35" s="7"/>
      <c r="B35" s="124"/>
      <c r="C35" s="125"/>
      <c r="D35" s="124"/>
      <c r="E35" s="126"/>
      <c r="F35" s="198"/>
      <c r="G35" s="200"/>
      <c r="H35" s="127"/>
      <c r="I35" s="210"/>
      <c r="J35" s="128"/>
      <c r="K35" s="300"/>
      <c r="L35" s="301">
        <f t="shared" si="0"/>
        <v>0</v>
      </c>
      <c r="M35" s="301" t="str">
        <f t="shared" si="1"/>
        <v/>
      </c>
      <c r="N35" s="301">
        <f t="shared" si="2"/>
        <v>0</v>
      </c>
    </row>
    <row r="36" spans="1:14" hidden="1" x14ac:dyDescent="0.2">
      <c r="A36" s="7"/>
      <c r="B36" s="124"/>
      <c r="C36" s="125"/>
      <c r="D36" s="124"/>
      <c r="E36" s="126"/>
      <c r="F36" s="198"/>
      <c r="G36" s="200"/>
      <c r="H36" s="127"/>
      <c r="I36" s="210"/>
      <c r="J36" s="128"/>
      <c r="K36" s="300"/>
      <c r="L36" s="301">
        <f t="shared" si="0"/>
        <v>0</v>
      </c>
      <c r="M36" s="301" t="str">
        <f t="shared" si="1"/>
        <v/>
      </c>
      <c r="N36" s="301">
        <f t="shared" si="2"/>
        <v>0</v>
      </c>
    </row>
    <row r="37" spans="1:14" hidden="1" x14ac:dyDescent="0.2">
      <c r="A37" s="7"/>
      <c r="B37" s="124"/>
      <c r="C37" s="125"/>
      <c r="D37" s="124"/>
      <c r="E37" s="126"/>
      <c r="F37" s="198"/>
      <c r="G37" s="200"/>
      <c r="H37" s="127"/>
      <c r="I37" s="210"/>
      <c r="J37" s="128"/>
      <c r="K37" s="300"/>
      <c r="L37" s="301">
        <f t="shared" si="0"/>
        <v>0</v>
      </c>
      <c r="M37" s="301" t="str">
        <f t="shared" si="1"/>
        <v/>
      </c>
      <c r="N37" s="301">
        <f t="shared" si="2"/>
        <v>0</v>
      </c>
    </row>
    <row r="38" spans="1:14" hidden="1" x14ac:dyDescent="0.2">
      <c r="A38" s="7"/>
      <c r="B38" s="124"/>
      <c r="C38" s="125"/>
      <c r="D38" s="124"/>
      <c r="E38" s="126"/>
      <c r="F38" s="198"/>
      <c r="G38" s="200"/>
      <c r="H38" s="127"/>
      <c r="I38" s="210"/>
      <c r="J38" s="128"/>
      <c r="K38" s="300"/>
      <c r="L38" s="301">
        <f t="shared" si="0"/>
        <v>0</v>
      </c>
      <c r="M38" s="301" t="str">
        <f t="shared" si="1"/>
        <v/>
      </c>
      <c r="N38" s="301">
        <f t="shared" si="2"/>
        <v>0</v>
      </c>
    </row>
    <row r="39" spans="1:14" hidden="1" x14ac:dyDescent="0.2">
      <c r="A39" s="7"/>
      <c r="B39" s="124"/>
      <c r="C39" s="125"/>
      <c r="D39" s="124"/>
      <c r="E39" s="126"/>
      <c r="F39" s="198"/>
      <c r="G39" s="200"/>
      <c r="H39" s="127"/>
      <c r="I39" s="210"/>
      <c r="J39" s="128"/>
      <c r="K39" s="300"/>
      <c r="L39" s="301">
        <f t="shared" si="0"/>
        <v>0</v>
      </c>
      <c r="M39" s="301" t="str">
        <f t="shared" si="1"/>
        <v/>
      </c>
      <c r="N39" s="301">
        <f t="shared" si="2"/>
        <v>0</v>
      </c>
    </row>
    <row r="40" spans="1:14" hidden="1" x14ac:dyDescent="0.2">
      <c r="A40" s="7"/>
      <c r="B40" s="124"/>
      <c r="C40" s="125"/>
      <c r="D40" s="124"/>
      <c r="E40" s="126"/>
      <c r="F40" s="198"/>
      <c r="G40" s="200"/>
      <c r="H40" s="127"/>
      <c r="I40" s="210"/>
      <c r="J40" s="128"/>
      <c r="K40" s="300"/>
      <c r="L40" s="301">
        <f t="shared" si="0"/>
        <v>0</v>
      </c>
      <c r="M40" s="301" t="str">
        <f t="shared" si="1"/>
        <v/>
      </c>
      <c r="N40" s="301">
        <f t="shared" si="2"/>
        <v>0</v>
      </c>
    </row>
    <row r="41" spans="1:14" hidden="1" x14ac:dyDescent="0.2">
      <c r="A41" s="7"/>
      <c r="B41" s="124"/>
      <c r="C41" s="125"/>
      <c r="D41" s="124"/>
      <c r="E41" s="126"/>
      <c r="F41" s="198"/>
      <c r="G41" s="200"/>
      <c r="H41" s="127"/>
      <c r="I41" s="210"/>
      <c r="J41" s="128"/>
      <c r="K41" s="300"/>
      <c r="L41" s="301">
        <f t="shared" si="0"/>
        <v>0</v>
      </c>
      <c r="M41" s="301" t="str">
        <f t="shared" si="1"/>
        <v/>
      </c>
      <c r="N41" s="301">
        <f t="shared" si="2"/>
        <v>0</v>
      </c>
    </row>
    <row r="42" spans="1:14" hidden="1" x14ac:dyDescent="0.2">
      <c r="A42" s="7"/>
      <c r="B42" s="124"/>
      <c r="C42" s="125"/>
      <c r="D42" s="124"/>
      <c r="E42" s="126"/>
      <c r="F42" s="198"/>
      <c r="G42" s="200"/>
      <c r="H42" s="127"/>
      <c r="I42" s="210"/>
      <c r="J42" s="128"/>
      <c r="K42" s="300"/>
      <c r="L42" s="301">
        <f t="shared" si="0"/>
        <v>0</v>
      </c>
      <c r="M42" s="301" t="str">
        <f t="shared" si="1"/>
        <v/>
      </c>
      <c r="N42" s="301">
        <f t="shared" si="2"/>
        <v>0</v>
      </c>
    </row>
    <row r="43" spans="1:14" hidden="1" x14ac:dyDescent="0.2">
      <c r="A43" s="7"/>
      <c r="B43" s="124"/>
      <c r="C43" s="125"/>
      <c r="D43" s="124"/>
      <c r="E43" s="126"/>
      <c r="F43" s="198"/>
      <c r="G43" s="200"/>
      <c r="H43" s="127"/>
      <c r="I43" s="210"/>
      <c r="J43" s="128"/>
      <c r="K43" s="300"/>
      <c r="L43" s="301">
        <f t="shared" si="0"/>
        <v>0</v>
      </c>
      <c r="M43" s="301" t="str">
        <f t="shared" si="1"/>
        <v/>
      </c>
      <c r="N43" s="301">
        <f t="shared" si="2"/>
        <v>0</v>
      </c>
    </row>
    <row r="44" spans="1:14" hidden="1" x14ac:dyDescent="0.2">
      <c r="A44" s="7"/>
      <c r="B44" s="124"/>
      <c r="C44" s="125"/>
      <c r="D44" s="124"/>
      <c r="E44" s="126"/>
      <c r="F44" s="198"/>
      <c r="G44" s="200"/>
      <c r="H44" s="127"/>
      <c r="I44" s="210"/>
      <c r="J44" s="128"/>
      <c r="K44" s="300"/>
      <c r="L44" s="301">
        <f t="shared" si="0"/>
        <v>0</v>
      </c>
      <c r="M44" s="301" t="str">
        <f t="shared" si="1"/>
        <v/>
      </c>
      <c r="N44" s="301">
        <f t="shared" si="2"/>
        <v>0</v>
      </c>
    </row>
    <row r="45" spans="1:14" hidden="1" x14ac:dyDescent="0.2">
      <c r="A45" s="7"/>
      <c r="B45" s="124"/>
      <c r="C45" s="125"/>
      <c r="D45" s="124"/>
      <c r="E45" s="126"/>
      <c r="F45" s="198"/>
      <c r="G45" s="200"/>
      <c r="H45" s="127"/>
      <c r="I45" s="210"/>
      <c r="J45" s="128"/>
      <c r="K45" s="300"/>
      <c r="L45" s="301">
        <f t="shared" si="0"/>
        <v>0</v>
      </c>
      <c r="M45" s="301" t="str">
        <f t="shared" si="1"/>
        <v/>
      </c>
      <c r="N45" s="301">
        <f t="shared" si="2"/>
        <v>0</v>
      </c>
    </row>
    <row r="46" spans="1:14" hidden="1" x14ac:dyDescent="0.2">
      <c r="A46" s="7"/>
      <c r="B46" s="124"/>
      <c r="C46" s="125"/>
      <c r="D46" s="124"/>
      <c r="E46" s="126"/>
      <c r="F46" s="198"/>
      <c r="G46" s="200"/>
      <c r="H46" s="127"/>
      <c r="I46" s="210"/>
      <c r="J46" s="128"/>
      <c r="K46" s="300"/>
      <c r="L46" s="301">
        <f t="shared" si="0"/>
        <v>0</v>
      </c>
      <c r="M46" s="301" t="str">
        <f t="shared" si="1"/>
        <v/>
      </c>
      <c r="N46" s="301">
        <f t="shared" si="2"/>
        <v>0</v>
      </c>
    </row>
    <row r="47" spans="1:14" hidden="1" x14ac:dyDescent="0.2">
      <c r="A47" s="7"/>
      <c r="B47" s="124"/>
      <c r="C47" s="125"/>
      <c r="D47" s="124"/>
      <c r="E47" s="126"/>
      <c r="F47" s="198"/>
      <c r="G47" s="200"/>
      <c r="H47" s="127"/>
      <c r="I47" s="210"/>
      <c r="J47" s="128"/>
      <c r="K47" s="300"/>
      <c r="L47" s="301">
        <f t="shared" si="0"/>
        <v>0</v>
      </c>
      <c r="M47" s="301" t="str">
        <f t="shared" si="1"/>
        <v/>
      </c>
      <c r="N47" s="301">
        <f t="shared" si="2"/>
        <v>0</v>
      </c>
    </row>
    <row r="48" spans="1:14" hidden="1" x14ac:dyDescent="0.2">
      <c r="A48" s="7"/>
      <c r="B48" s="124"/>
      <c r="C48" s="125"/>
      <c r="D48" s="124"/>
      <c r="E48" s="126"/>
      <c r="F48" s="198"/>
      <c r="G48" s="200"/>
      <c r="H48" s="127"/>
      <c r="I48" s="210"/>
      <c r="J48" s="128"/>
      <c r="K48" s="300"/>
      <c r="L48" s="301">
        <f t="shared" si="0"/>
        <v>0</v>
      </c>
      <c r="M48" s="301" t="str">
        <f t="shared" si="1"/>
        <v/>
      </c>
      <c r="N48" s="301">
        <f t="shared" si="2"/>
        <v>0</v>
      </c>
    </row>
    <row r="49" spans="1:14" hidden="1" x14ac:dyDescent="0.2">
      <c r="A49" s="7"/>
      <c r="B49" s="124"/>
      <c r="C49" s="125"/>
      <c r="D49" s="124"/>
      <c r="E49" s="126"/>
      <c r="F49" s="198"/>
      <c r="G49" s="200"/>
      <c r="H49" s="127"/>
      <c r="I49" s="210"/>
      <c r="J49" s="128"/>
      <c r="K49" s="300"/>
      <c r="L49" s="301">
        <f t="shared" si="0"/>
        <v>0</v>
      </c>
      <c r="M49" s="301" t="str">
        <f t="shared" si="1"/>
        <v/>
      </c>
      <c r="N49" s="301">
        <f t="shared" si="2"/>
        <v>0</v>
      </c>
    </row>
    <row r="50" spans="1:14" hidden="1" x14ac:dyDescent="0.2">
      <c r="A50" s="7"/>
      <c r="B50" s="124"/>
      <c r="C50" s="125"/>
      <c r="D50" s="124"/>
      <c r="E50" s="126"/>
      <c r="F50" s="198"/>
      <c r="G50" s="200"/>
      <c r="H50" s="127"/>
      <c r="I50" s="210"/>
      <c r="J50" s="128"/>
      <c r="K50" s="300"/>
      <c r="L50" s="301">
        <f t="shared" si="0"/>
        <v>0</v>
      </c>
      <c r="M50" s="301" t="str">
        <f t="shared" si="1"/>
        <v/>
      </c>
      <c r="N50" s="301">
        <f t="shared" si="2"/>
        <v>0</v>
      </c>
    </row>
    <row r="51" spans="1:14" hidden="1" x14ac:dyDescent="0.2">
      <c r="A51" s="7"/>
      <c r="B51" s="124"/>
      <c r="C51" s="125"/>
      <c r="D51" s="124"/>
      <c r="E51" s="126"/>
      <c r="F51" s="198"/>
      <c r="G51" s="200"/>
      <c r="H51" s="127"/>
      <c r="I51" s="210"/>
      <c r="J51" s="128"/>
      <c r="K51" s="300"/>
      <c r="L51" s="301">
        <f t="shared" si="0"/>
        <v>0</v>
      </c>
      <c r="M51" s="301" t="str">
        <f t="shared" si="1"/>
        <v/>
      </c>
      <c r="N51" s="301">
        <f t="shared" si="2"/>
        <v>0</v>
      </c>
    </row>
    <row r="52" spans="1:14" hidden="1" x14ac:dyDescent="0.2">
      <c r="A52" s="7"/>
      <c r="B52" s="124"/>
      <c r="C52" s="125"/>
      <c r="D52" s="124"/>
      <c r="E52" s="126"/>
      <c r="F52" s="198"/>
      <c r="G52" s="200"/>
      <c r="H52" s="127"/>
      <c r="I52" s="210"/>
      <c r="J52" s="128"/>
      <c r="K52" s="300"/>
      <c r="L52" s="301">
        <f t="shared" si="0"/>
        <v>0</v>
      </c>
      <c r="M52" s="301" t="str">
        <f t="shared" si="1"/>
        <v/>
      </c>
      <c r="N52" s="301">
        <f t="shared" si="2"/>
        <v>0</v>
      </c>
    </row>
    <row r="53" spans="1:14" hidden="1" x14ac:dyDescent="0.2">
      <c r="A53" s="7"/>
      <c r="B53" s="124"/>
      <c r="C53" s="125"/>
      <c r="D53" s="124"/>
      <c r="E53" s="126"/>
      <c r="F53" s="198"/>
      <c r="G53" s="200"/>
      <c r="H53" s="127"/>
      <c r="I53" s="210"/>
      <c r="J53" s="128"/>
      <c r="K53" s="300"/>
      <c r="L53" s="301">
        <f t="shared" si="0"/>
        <v>0</v>
      </c>
      <c r="M53" s="301" t="str">
        <f t="shared" si="1"/>
        <v/>
      </c>
      <c r="N53" s="301">
        <f t="shared" si="2"/>
        <v>0</v>
      </c>
    </row>
    <row r="54" spans="1:14" hidden="1" x14ac:dyDescent="0.2">
      <c r="A54" s="7"/>
      <c r="B54" s="124"/>
      <c r="C54" s="125"/>
      <c r="D54" s="124"/>
      <c r="E54" s="126"/>
      <c r="F54" s="198"/>
      <c r="G54" s="200"/>
      <c r="H54" s="127"/>
      <c r="I54" s="210"/>
      <c r="J54" s="128"/>
      <c r="K54" s="300"/>
      <c r="L54" s="301">
        <f t="shared" si="0"/>
        <v>0</v>
      </c>
      <c r="M54" s="301" t="str">
        <f t="shared" si="1"/>
        <v/>
      </c>
      <c r="N54" s="301">
        <f t="shared" si="2"/>
        <v>0</v>
      </c>
    </row>
    <row r="55" spans="1:14" hidden="1" x14ac:dyDescent="0.2">
      <c r="A55" s="7"/>
      <c r="B55" s="124"/>
      <c r="C55" s="125"/>
      <c r="D55" s="124"/>
      <c r="E55" s="126"/>
      <c r="F55" s="198"/>
      <c r="G55" s="200"/>
      <c r="H55" s="127"/>
      <c r="I55" s="210"/>
      <c r="J55" s="128"/>
      <c r="K55" s="300"/>
      <c r="L55" s="301">
        <f t="shared" si="0"/>
        <v>0</v>
      </c>
      <c r="M55" s="301" t="str">
        <f t="shared" si="1"/>
        <v/>
      </c>
      <c r="N55" s="301">
        <f t="shared" si="2"/>
        <v>0</v>
      </c>
    </row>
    <row r="56" spans="1:14" hidden="1" x14ac:dyDescent="0.2">
      <c r="A56" s="7"/>
      <c r="B56" s="124"/>
      <c r="C56" s="125"/>
      <c r="D56" s="124"/>
      <c r="E56" s="126"/>
      <c r="F56" s="198"/>
      <c r="G56" s="200"/>
      <c r="H56" s="127"/>
      <c r="I56" s="210"/>
      <c r="J56" s="128"/>
      <c r="K56" s="300"/>
      <c r="L56" s="301">
        <f t="shared" si="0"/>
        <v>0</v>
      </c>
      <c r="M56" s="301" t="str">
        <f t="shared" si="1"/>
        <v/>
      </c>
      <c r="N56" s="301">
        <f t="shared" si="2"/>
        <v>0</v>
      </c>
    </row>
    <row r="57" spans="1:14" hidden="1" x14ac:dyDescent="0.2">
      <c r="A57" s="7"/>
      <c r="B57" s="124"/>
      <c r="C57" s="125"/>
      <c r="D57" s="124"/>
      <c r="E57" s="126"/>
      <c r="F57" s="198"/>
      <c r="G57" s="200"/>
      <c r="H57" s="127"/>
      <c r="I57" s="210"/>
      <c r="J57" s="128"/>
      <c r="K57" s="300"/>
      <c r="L57" s="301">
        <f t="shared" si="0"/>
        <v>0</v>
      </c>
      <c r="M57" s="301" t="str">
        <f t="shared" si="1"/>
        <v/>
      </c>
      <c r="N57" s="301">
        <f t="shared" si="2"/>
        <v>0</v>
      </c>
    </row>
    <row r="58" spans="1:14" hidden="1" x14ac:dyDescent="0.2">
      <c r="A58" s="7"/>
      <c r="B58" s="124"/>
      <c r="C58" s="125"/>
      <c r="D58" s="124"/>
      <c r="E58" s="126"/>
      <c r="F58" s="198"/>
      <c r="G58" s="200"/>
      <c r="H58" s="127"/>
      <c r="I58" s="210"/>
      <c r="J58" s="128"/>
      <c r="K58" s="300"/>
      <c r="L58" s="301">
        <f t="shared" si="0"/>
        <v>0</v>
      </c>
      <c r="M58" s="301" t="str">
        <f t="shared" si="1"/>
        <v/>
      </c>
      <c r="N58" s="301">
        <f t="shared" si="2"/>
        <v>0</v>
      </c>
    </row>
    <row r="59" spans="1:14" hidden="1" x14ac:dyDescent="0.2">
      <c r="A59" s="7"/>
      <c r="B59" s="124"/>
      <c r="C59" s="125"/>
      <c r="D59" s="124"/>
      <c r="E59" s="126"/>
      <c r="F59" s="198"/>
      <c r="G59" s="200"/>
      <c r="H59" s="127"/>
      <c r="I59" s="210"/>
      <c r="J59" s="128"/>
      <c r="K59" s="300"/>
      <c r="L59" s="301">
        <f t="shared" si="0"/>
        <v>0</v>
      </c>
      <c r="M59" s="301" t="str">
        <f t="shared" si="1"/>
        <v/>
      </c>
      <c r="N59" s="301">
        <f t="shared" si="2"/>
        <v>0</v>
      </c>
    </row>
    <row r="60" spans="1:14" hidden="1" x14ac:dyDescent="0.2">
      <c r="A60" s="7"/>
      <c r="B60" s="124"/>
      <c r="C60" s="125"/>
      <c r="D60" s="124"/>
      <c r="E60" s="126"/>
      <c r="F60" s="198"/>
      <c r="G60" s="200"/>
      <c r="H60" s="127"/>
      <c r="I60" s="210"/>
      <c r="J60" s="128"/>
      <c r="K60" s="300"/>
      <c r="L60" s="301">
        <f t="shared" si="0"/>
        <v>0</v>
      </c>
      <c r="M60" s="301" t="str">
        <f t="shared" si="1"/>
        <v/>
      </c>
      <c r="N60" s="301">
        <f t="shared" si="2"/>
        <v>0</v>
      </c>
    </row>
    <row r="61" spans="1:14" hidden="1" x14ac:dyDescent="0.2">
      <c r="A61" s="7"/>
      <c r="B61" s="124"/>
      <c r="C61" s="125"/>
      <c r="D61" s="124"/>
      <c r="E61" s="126"/>
      <c r="F61" s="198"/>
      <c r="G61" s="200"/>
      <c r="H61" s="127"/>
      <c r="I61" s="210"/>
      <c r="J61" s="128"/>
      <c r="K61" s="300"/>
      <c r="L61" s="301">
        <f t="shared" si="0"/>
        <v>0</v>
      </c>
      <c r="M61" s="301" t="str">
        <f t="shared" si="1"/>
        <v/>
      </c>
      <c r="N61" s="301">
        <f t="shared" si="2"/>
        <v>0</v>
      </c>
    </row>
    <row r="62" spans="1:14" hidden="1" x14ac:dyDescent="0.2">
      <c r="A62" s="7"/>
      <c r="B62" s="124"/>
      <c r="C62" s="125"/>
      <c r="D62" s="124"/>
      <c r="E62" s="126"/>
      <c r="F62" s="198"/>
      <c r="G62" s="200"/>
      <c r="H62" s="127"/>
      <c r="I62" s="210"/>
      <c r="J62" s="128"/>
      <c r="K62" s="300"/>
      <c r="L62" s="301">
        <f t="shared" si="0"/>
        <v>0</v>
      </c>
      <c r="M62" s="301" t="str">
        <f t="shared" si="1"/>
        <v/>
      </c>
      <c r="N62" s="301">
        <f t="shared" si="2"/>
        <v>0</v>
      </c>
    </row>
    <row r="63" spans="1:14" hidden="1" x14ac:dyDescent="0.2">
      <c r="A63" s="7"/>
      <c r="B63" s="124"/>
      <c r="C63" s="125"/>
      <c r="D63" s="124"/>
      <c r="E63" s="126"/>
      <c r="F63" s="198"/>
      <c r="G63" s="200"/>
      <c r="H63" s="127"/>
      <c r="I63" s="210"/>
      <c r="J63" s="128"/>
      <c r="K63" s="300"/>
      <c r="L63" s="301">
        <f t="shared" si="0"/>
        <v>0</v>
      </c>
      <c r="M63" s="301" t="str">
        <f t="shared" si="1"/>
        <v/>
      </c>
      <c r="N63" s="301">
        <f t="shared" si="2"/>
        <v>0</v>
      </c>
    </row>
    <row r="64" spans="1:14" hidden="1" x14ac:dyDescent="0.2">
      <c r="A64" s="123"/>
      <c r="B64" s="124"/>
      <c r="C64" s="125"/>
      <c r="D64" s="124"/>
      <c r="E64" s="126"/>
      <c r="F64" s="198"/>
      <c r="G64" s="200"/>
      <c r="H64" s="127"/>
      <c r="I64" s="210"/>
      <c r="J64" s="128"/>
      <c r="K64" s="300"/>
      <c r="L64" s="301">
        <f t="shared" si="0"/>
        <v>0</v>
      </c>
      <c r="M64" s="301" t="str">
        <f t="shared" si="1"/>
        <v/>
      </c>
      <c r="N64" s="301">
        <f t="shared" si="2"/>
        <v>0</v>
      </c>
    </row>
    <row r="65" spans="1:14" hidden="1" x14ac:dyDescent="0.2">
      <c r="A65" s="123"/>
      <c r="B65" s="124"/>
      <c r="C65" s="125"/>
      <c r="D65" s="124"/>
      <c r="E65" s="126"/>
      <c r="F65" s="198"/>
      <c r="G65" s="200"/>
      <c r="H65" s="127"/>
      <c r="I65" s="210"/>
      <c r="J65" s="128"/>
      <c r="K65" s="300"/>
      <c r="L65" s="301">
        <f t="shared" si="0"/>
        <v>0</v>
      </c>
      <c r="M65" s="301" t="str">
        <f t="shared" si="1"/>
        <v/>
      </c>
      <c r="N65" s="301">
        <f t="shared" si="2"/>
        <v>0</v>
      </c>
    </row>
    <row r="66" spans="1:14" hidden="1" x14ac:dyDescent="0.2">
      <c r="A66" s="123"/>
      <c r="B66" s="124"/>
      <c r="C66" s="125"/>
      <c r="D66" s="124"/>
      <c r="E66" s="126"/>
      <c r="F66" s="198"/>
      <c r="G66" s="200"/>
      <c r="H66" s="127"/>
      <c r="I66" s="210"/>
      <c r="J66" s="128"/>
      <c r="K66" s="300"/>
      <c r="L66" s="301">
        <f t="shared" si="0"/>
        <v>0</v>
      </c>
      <c r="M66" s="301" t="str">
        <f t="shared" si="1"/>
        <v/>
      </c>
      <c r="N66" s="301">
        <f t="shared" si="2"/>
        <v>0</v>
      </c>
    </row>
    <row r="67" spans="1:14" hidden="1" x14ac:dyDescent="0.2">
      <c r="A67" s="123"/>
      <c r="B67" s="124"/>
      <c r="C67" s="125"/>
      <c r="D67" s="124"/>
      <c r="E67" s="126"/>
      <c r="F67" s="198"/>
      <c r="G67" s="200"/>
      <c r="H67" s="127"/>
      <c r="I67" s="210"/>
      <c r="J67" s="128"/>
      <c r="K67" s="300"/>
      <c r="L67" s="301">
        <f t="shared" si="0"/>
        <v>0</v>
      </c>
      <c r="M67" s="301" t="str">
        <f t="shared" si="1"/>
        <v/>
      </c>
      <c r="N67" s="301">
        <f t="shared" si="2"/>
        <v>0</v>
      </c>
    </row>
    <row r="68" spans="1:14" hidden="1" x14ac:dyDescent="0.2">
      <c r="A68" s="123"/>
      <c r="B68" s="124"/>
      <c r="C68" s="125"/>
      <c r="D68" s="124"/>
      <c r="E68" s="126"/>
      <c r="F68" s="198"/>
      <c r="G68" s="200"/>
      <c r="H68" s="127"/>
      <c r="I68" s="210"/>
      <c r="J68" s="128"/>
      <c r="K68" s="300"/>
      <c r="L68" s="301">
        <f t="shared" si="0"/>
        <v>0</v>
      </c>
      <c r="M68" s="301" t="str">
        <f t="shared" si="1"/>
        <v/>
      </c>
      <c r="N68" s="301">
        <f t="shared" si="2"/>
        <v>0</v>
      </c>
    </row>
    <row r="69" spans="1:14" hidden="1" x14ac:dyDescent="0.2">
      <c r="A69" s="123"/>
      <c r="B69" s="124"/>
      <c r="C69" s="125"/>
      <c r="D69" s="124"/>
      <c r="E69" s="126"/>
      <c r="F69" s="198"/>
      <c r="G69" s="200"/>
      <c r="H69" s="127"/>
      <c r="I69" s="210"/>
      <c r="J69" s="128"/>
      <c r="K69" s="300"/>
      <c r="L69" s="301">
        <f t="shared" si="0"/>
        <v>0</v>
      </c>
      <c r="M69" s="301" t="str">
        <f t="shared" si="1"/>
        <v/>
      </c>
      <c r="N69" s="301">
        <f t="shared" si="2"/>
        <v>0</v>
      </c>
    </row>
    <row r="70" spans="1:14" hidden="1" x14ac:dyDescent="0.2">
      <c r="A70" s="123"/>
      <c r="B70" s="124"/>
      <c r="C70" s="125"/>
      <c r="D70" s="124"/>
      <c r="E70" s="126"/>
      <c r="F70" s="198"/>
      <c r="G70" s="200"/>
      <c r="H70" s="127"/>
      <c r="I70" s="210"/>
      <c r="J70" s="128"/>
      <c r="K70" s="300"/>
      <c r="L70" s="301">
        <f t="shared" ref="L70:L73" si="3">J70/$J$77</f>
        <v>0</v>
      </c>
      <c r="M70" s="301" t="str">
        <f t="shared" ref="M70:M73" si="4">IF(K143&gt;0,K70/$K$78,"")</f>
        <v/>
      </c>
      <c r="N70" s="301">
        <f t="shared" ref="N70:N73" si="5">ROUND((IF(OR(F70="Terrestre",F70="Terrestre com Balsa"),G70,0))/$G$78,6)</f>
        <v>0</v>
      </c>
    </row>
    <row r="71" spans="1:14" hidden="1" x14ac:dyDescent="0.2">
      <c r="A71" s="123"/>
      <c r="B71" s="124"/>
      <c r="C71" s="125"/>
      <c r="D71" s="124"/>
      <c r="E71" s="126"/>
      <c r="F71" s="198"/>
      <c r="G71" s="200"/>
      <c r="H71" s="127"/>
      <c r="I71" s="210"/>
      <c r="J71" s="128"/>
      <c r="K71" s="300"/>
      <c r="L71" s="301">
        <f t="shared" si="3"/>
        <v>0</v>
      </c>
      <c r="M71" s="301" t="str">
        <f t="shared" si="4"/>
        <v/>
      </c>
      <c r="N71" s="301">
        <f t="shared" si="5"/>
        <v>0</v>
      </c>
    </row>
    <row r="72" spans="1:14" hidden="1" x14ac:dyDescent="0.2">
      <c r="A72" s="123"/>
      <c r="B72" s="124"/>
      <c r="C72" s="125"/>
      <c r="D72" s="124"/>
      <c r="E72" s="126"/>
      <c r="F72" s="198"/>
      <c r="G72" s="200"/>
      <c r="H72" s="127"/>
      <c r="I72" s="210"/>
      <c r="J72" s="128"/>
      <c r="K72" s="300"/>
      <c r="L72" s="301">
        <f t="shared" si="3"/>
        <v>0</v>
      </c>
      <c r="M72" s="301" t="str">
        <f t="shared" si="4"/>
        <v/>
      </c>
      <c r="N72" s="301">
        <f t="shared" si="5"/>
        <v>0</v>
      </c>
    </row>
    <row r="73" spans="1:14" hidden="1" x14ac:dyDescent="0.2">
      <c r="A73" s="123"/>
      <c r="B73" s="124"/>
      <c r="C73" s="125"/>
      <c r="D73" s="124"/>
      <c r="E73" s="126"/>
      <c r="F73" s="198"/>
      <c r="G73" s="200"/>
      <c r="H73" s="127"/>
      <c r="I73" s="210"/>
      <c r="J73" s="128"/>
      <c r="K73" s="300"/>
      <c r="L73" s="301">
        <f t="shared" si="3"/>
        <v>0</v>
      </c>
      <c r="M73" s="301" t="str">
        <f t="shared" si="4"/>
        <v/>
      </c>
      <c r="N73" s="301">
        <f t="shared" si="5"/>
        <v>0</v>
      </c>
    </row>
    <row r="74" spans="1:14" hidden="1" x14ac:dyDescent="0.2">
      <c r="A74" s="123"/>
      <c r="B74" s="124"/>
      <c r="C74" s="125"/>
      <c r="D74" s="124"/>
      <c r="E74" s="126"/>
      <c r="F74" s="198"/>
      <c r="G74" s="200"/>
      <c r="H74" s="127"/>
      <c r="I74" s="210"/>
      <c r="J74" s="128"/>
      <c r="K74" s="300"/>
      <c r="L74" s="301"/>
      <c r="M74" s="301"/>
      <c r="N74" s="301"/>
    </row>
    <row r="75" spans="1:14" x14ac:dyDescent="0.2">
      <c r="A75" s="123"/>
      <c r="B75" s="124"/>
      <c r="C75" s="125"/>
      <c r="D75" s="124"/>
      <c r="E75" s="126"/>
      <c r="F75" s="198"/>
      <c r="G75" s="200"/>
      <c r="H75" s="127"/>
      <c r="I75" s="210"/>
      <c r="J75" s="128"/>
      <c r="K75" s="300"/>
      <c r="L75" s="379"/>
      <c r="M75" s="379"/>
      <c r="N75" s="379"/>
    </row>
    <row r="76" spans="1:14" x14ac:dyDescent="0.2">
      <c r="A76"/>
      <c r="B76"/>
      <c r="C76"/>
      <c r="D76"/>
      <c r="E76" s="43"/>
      <c r="F76" s="43"/>
      <c r="G76" s="43"/>
      <c r="H76" s="43"/>
      <c r="I76" s="25"/>
      <c r="J76" s="43"/>
      <c r="K76" s="43"/>
      <c r="L76" s="380">
        <f>SUM(L5:L73)</f>
        <v>1</v>
      </c>
      <c r="M76" s="380">
        <f>SUM(M5:M73)</f>
        <v>0</v>
      </c>
      <c r="N76" s="380">
        <f>SUM(N5:N73)</f>
        <v>0.99999900000000008</v>
      </c>
    </row>
    <row r="77" spans="1:14" x14ac:dyDescent="0.2">
      <c r="A77" s="7"/>
      <c r="B77" s="7"/>
      <c r="C77" s="302"/>
      <c r="D77" s="303" t="s">
        <v>416</v>
      </c>
      <c r="E77" s="304">
        <f>SUM(E5:E73)</f>
        <v>499.8</v>
      </c>
      <c r="F77" s="305" t="s">
        <v>417</v>
      </c>
      <c r="G77" s="306">
        <f>SUM(G5:G73)</f>
        <v>11.466666666666667</v>
      </c>
      <c r="H77" s="478" t="s">
        <v>418</v>
      </c>
      <c r="I77" s="479"/>
      <c r="J77" s="307">
        <f t="shared" ref="J77:K77" si="6">SUM(J5:J73)</f>
        <v>4</v>
      </c>
      <c r="K77" s="321">
        <f t="shared" si="6"/>
        <v>0</v>
      </c>
      <c r="L77" s="43"/>
      <c r="M77" s="43"/>
    </row>
    <row r="78" spans="1:14" x14ac:dyDescent="0.2">
      <c r="D78" s="490" t="s">
        <v>419</v>
      </c>
      <c r="E78" s="491"/>
      <c r="F78" s="492"/>
      <c r="G78" s="306">
        <v>11.466666666666667</v>
      </c>
      <c r="H78" s="490" t="s">
        <v>420</v>
      </c>
      <c r="I78" s="491"/>
      <c r="J78" s="491"/>
      <c r="K78" s="320">
        <f>K77</f>
        <v>0</v>
      </c>
      <c r="L78" s="43"/>
      <c r="M78" s="43"/>
    </row>
    <row r="79" spans="1:14" x14ac:dyDescent="0.2">
      <c r="D79" s="59"/>
      <c r="E79" s="59"/>
      <c r="F79" s="59"/>
      <c r="H79" s="43"/>
      <c r="I79" s="25"/>
      <c r="J79" s="43"/>
      <c r="K79" s="43"/>
      <c r="L79" s="43"/>
      <c r="M79" s="43"/>
    </row>
    <row r="80" spans="1:14" x14ac:dyDescent="0.2">
      <c r="A80" s="308" t="s">
        <v>421</v>
      </c>
      <c r="B80" s="309"/>
      <c r="C80" s="309"/>
      <c r="D80" s="309"/>
      <c r="E80" s="309"/>
      <c r="F80" s="310" t="s">
        <v>422</v>
      </c>
      <c r="G80" s="311" t="s">
        <v>422</v>
      </c>
      <c r="H80" s="311" t="s">
        <v>422</v>
      </c>
      <c r="I80" s="311" t="s">
        <v>422</v>
      </c>
      <c r="J80" s="312" t="s">
        <v>422</v>
      </c>
      <c r="K80" s="43"/>
      <c r="L80" s="43"/>
      <c r="M80" s="43"/>
    </row>
    <row r="81" spans="1:13" x14ac:dyDescent="0.2">
      <c r="A81" s="313" t="s">
        <v>423</v>
      </c>
      <c r="B81" s="314"/>
      <c r="C81" s="23"/>
      <c r="D81" s="23"/>
      <c r="E81" s="23"/>
      <c r="F81" s="196"/>
      <c r="G81" s="23"/>
      <c r="H81" s="23"/>
      <c r="I81" s="23"/>
      <c r="J81" s="315" t="s">
        <v>422</v>
      </c>
      <c r="K81" s="43"/>
      <c r="L81" s="43"/>
      <c r="M81" s="43"/>
    </row>
    <row r="82" spans="1:13" x14ac:dyDescent="0.2">
      <c r="A82" s="316" t="s">
        <v>424</v>
      </c>
      <c r="B82" s="23"/>
      <c r="C82" s="23"/>
      <c r="D82" s="23"/>
      <c r="E82" s="23"/>
      <c r="F82" s="23"/>
      <c r="G82" s="23"/>
      <c r="H82" s="23"/>
      <c r="I82" s="23"/>
      <c r="J82" s="315" t="s">
        <v>422</v>
      </c>
      <c r="K82" s="43"/>
      <c r="L82" s="43"/>
      <c r="M82" s="43"/>
    </row>
    <row r="83" spans="1:13" x14ac:dyDescent="0.2">
      <c r="A83" s="316" t="s">
        <v>425</v>
      </c>
      <c r="B83" s="23"/>
      <c r="C83" s="23"/>
      <c r="D83" s="23"/>
      <c r="E83" s="23"/>
      <c r="F83" s="23"/>
      <c r="G83" s="23"/>
      <c r="H83" s="23"/>
      <c r="I83" s="23"/>
      <c r="J83" s="315" t="s">
        <v>422</v>
      </c>
      <c r="K83" s="43"/>
      <c r="L83" s="43"/>
      <c r="M83" s="43"/>
    </row>
    <row r="84" spans="1:13" x14ac:dyDescent="0.2">
      <c r="A84" s="313" t="s">
        <v>426</v>
      </c>
      <c r="B84" s="314"/>
      <c r="C84" s="23"/>
      <c r="D84" s="23"/>
      <c r="E84" s="23"/>
      <c r="F84" s="196"/>
      <c r="G84" s="23"/>
      <c r="H84" s="23"/>
      <c r="I84" s="23"/>
      <c r="J84" s="315" t="s">
        <v>422</v>
      </c>
      <c r="K84" s="43"/>
      <c r="L84" s="43"/>
      <c r="M84" s="43"/>
    </row>
    <row r="85" spans="1:13" x14ac:dyDescent="0.2">
      <c r="A85" s="316" t="s">
        <v>427</v>
      </c>
      <c r="B85" s="23" t="s">
        <v>428</v>
      </c>
      <c r="C85" s="23"/>
      <c r="D85" s="23"/>
      <c r="E85" s="23"/>
      <c r="F85" s="196"/>
      <c r="G85" s="23"/>
      <c r="H85" s="23"/>
      <c r="I85" s="23"/>
      <c r="J85" s="315" t="s">
        <v>422</v>
      </c>
    </row>
    <row r="86" spans="1:13" x14ac:dyDescent="0.2">
      <c r="A86" s="316" t="s">
        <v>429</v>
      </c>
      <c r="B86" s="23" t="s">
        <v>430</v>
      </c>
      <c r="C86" s="23"/>
      <c r="D86" s="23"/>
      <c r="E86" s="23"/>
      <c r="F86" s="196"/>
      <c r="G86" s="23"/>
      <c r="H86" s="23"/>
      <c r="I86" s="23"/>
      <c r="J86" s="315" t="s">
        <v>422</v>
      </c>
    </row>
    <row r="87" spans="1:13" x14ac:dyDescent="0.2">
      <c r="A87" s="316" t="s">
        <v>431</v>
      </c>
      <c r="B87" s="23" t="s">
        <v>432</v>
      </c>
      <c r="C87" s="23"/>
      <c r="D87" s="23"/>
      <c r="E87" s="23"/>
      <c r="F87" s="196"/>
      <c r="G87" s="23"/>
      <c r="H87" s="23"/>
      <c r="I87" s="23"/>
      <c r="J87" s="315" t="s">
        <v>422</v>
      </c>
    </row>
    <row r="88" spans="1:13" x14ac:dyDescent="0.2">
      <c r="A88" s="316" t="s">
        <v>433</v>
      </c>
      <c r="B88" s="23" t="s">
        <v>434</v>
      </c>
      <c r="C88" s="23"/>
      <c r="D88" s="23"/>
      <c r="E88" s="23"/>
      <c r="F88" s="23"/>
      <c r="G88" s="23"/>
      <c r="H88" s="23"/>
      <c r="I88" s="23"/>
      <c r="J88" s="315" t="s">
        <v>422</v>
      </c>
    </row>
    <row r="89" spans="1:13" x14ac:dyDescent="0.2">
      <c r="A89" s="316" t="s">
        <v>83</v>
      </c>
      <c r="B89" s="23" t="s">
        <v>435</v>
      </c>
      <c r="C89" s="23"/>
      <c r="D89" s="23"/>
      <c r="E89" s="23"/>
      <c r="F89" s="23"/>
      <c r="G89" s="23"/>
      <c r="H89" s="23"/>
      <c r="I89" s="23"/>
      <c r="J89" s="315" t="s">
        <v>422</v>
      </c>
    </row>
    <row r="90" spans="1:13" x14ac:dyDescent="0.2">
      <c r="A90" s="313" t="s">
        <v>436</v>
      </c>
      <c r="B90" s="314"/>
      <c r="C90" s="314"/>
      <c r="D90" s="314"/>
      <c r="E90" s="314"/>
      <c r="F90" s="314"/>
      <c r="G90" s="314"/>
      <c r="H90" s="23"/>
      <c r="I90" s="23"/>
      <c r="J90" s="315" t="s">
        <v>422</v>
      </c>
    </row>
    <row r="91" spans="1:13" x14ac:dyDescent="0.2">
      <c r="A91" s="493" t="s">
        <v>437</v>
      </c>
      <c r="B91" s="494"/>
      <c r="C91" s="494"/>
      <c r="D91" s="315" t="s">
        <v>438</v>
      </c>
      <c r="E91" s="23"/>
      <c r="F91" s="23"/>
      <c r="G91" s="23"/>
      <c r="H91" s="23"/>
      <c r="I91" s="23"/>
      <c r="J91" s="315"/>
    </row>
    <row r="92" spans="1:13" x14ac:dyDescent="0.2">
      <c r="A92" s="493" t="s">
        <v>439</v>
      </c>
      <c r="B92" s="494"/>
      <c r="C92" s="494"/>
      <c r="D92" s="23" t="s">
        <v>440</v>
      </c>
      <c r="E92" s="23"/>
      <c r="F92" s="23"/>
      <c r="G92" s="23"/>
      <c r="H92" s="23"/>
      <c r="I92" s="23"/>
      <c r="J92" s="315" t="s">
        <v>422</v>
      </c>
    </row>
    <row r="93" spans="1:13" x14ac:dyDescent="0.2">
      <c r="A93" s="493" t="s">
        <v>441</v>
      </c>
      <c r="B93" s="494"/>
      <c r="C93" s="494"/>
      <c r="D93" s="495" t="s">
        <v>442</v>
      </c>
      <c r="E93" s="495"/>
      <c r="F93" s="495"/>
      <c r="G93" s="495"/>
      <c r="H93" s="495"/>
      <c r="I93" s="495"/>
      <c r="J93" s="496"/>
    </row>
    <row r="94" spans="1:13" x14ac:dyDescent="0.2">
      <c r="A94" s="316" t="s">
        <v>422</v>
      </c>
      <c r="B94" s="23"/>
      <c r="C94" s="23"/>
      <c r="D94" s="495"/>
      <c r="E94" s="495"/>
      <c r="F94" s="495"/>
      <c r="G94" s="495"/>
      <c r="H94" s="495"/>
      <c r="I94" s="495"/>
      <c r="J94" s="496"/>
    </row>
    <row r="95" spans="1:13" x14ac:dyDescent="0.2">
      <c r="A95" s="313" t="s">
        <v>443</v>
      </c>
      <c r="B95" s="314"/>
      <c r="C95" s="23"/>
      <c r="D95" s="23"/>
      <c r="E95" s="23"/>
      <c r="F95" s="196"/>
      <c r="G95" s="23"/>
      <c r="H95" s="23"/>
      <c r="I95" s="23"/>
      <c r="J95" s="315" t="s">
        <v>422</v>
      </c>
    </row>
    <row r="96" spans="1:13" x14ac:dyDescent="0.2">
      <c r="A96" s="317" t="s">
        <v>444</v>
      </c>
      <c r="B96" s="318"/>
      <c r="C96" s="318"/>
      <c r="D96" s="318"/>
      <c r="E96" s="318"/>
      <c r="F96" s="318"/>
      <c r="G96" s="318"/>
      <c r="H96" s="318"/>
      <c r="I96" s="318"/>
      <c r="J96" s="319" t="s">
        <v>422</v>
      </c>
    </row>
  </sheetData>
  <mergeCells count="12">
    <mergeCell ref="D78:F78"/>
    <mergeCell ref="H78:J78"/>
    <mergeCell ref="A91:C91"/>
    <mergeCell ref="A92:C92"/>
    <mergeCell ref="A93:C93"/>
    <mergeCell ref="D93:J94"/>
    <mergeCell ref="H77:I77"/>
    <mergeCell ref="A2:N2"/>
    <mergeCell ref="A3:A4"/>
    <mergeCell ref="B3:D3"/>
    <mergeCell ref="E3:K3"/>
    <mergeCell ref="L3:N3"/>
  </mergeCells>
  <dataValidations disablePrompts="1" count="1">
    <dataValidation type="list" allowBlank="1" showInputMessage="1" showErrorMessage="1" sqref="D74:D75" xr:uid="{69735FE3-446C-4740-9C82-F89A065958C3}">
      <formula1>"O,N,C,F"</formula1>
      <formula2>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39997558519241921"/>
    <pageSetUpPr fitToPage="1"/>
  </sheetPr>
  <dimension ref="A1:AMG331"/>
  <sheetViews>
    <sheetView view="pageBreakPreview" topLeftCell="A309" zoomScale="85" zoomScaleNormal="100" zoomScalePageLayoutView="85" workbookViewId="0">
      <selection activeCell="P325" sqref="P325:P328"/>
    </sheetView>
  </sheetViews>
  <sheetFormatPr defaultRowHeight="14.25" x14ac:dyDescent="0.2"/>
  <cols>
    <col min="1" max="1" width="5.625" style="121"/>
    <col min="2" max="2" width="9.25" style="121"/>
    <col min="3" max="3" width="8.75" style="121"/>
    <col min="4" max="4" width="51" style="131"/>
    <col min="5" max="5" width="9.25" style="121"/>
    <col min="6" max="6" width="11.25" style="121"/>
    <col min="7" max="7" width="15" style="121"/>
    <col min="8" max="8" width="9.75" style="121"/>
    <col min="9" max="9" width="12.75" style="121"/>
    <col min="10" max="14" width="0" style="25" hidden="1"/>
    <col min="15" max="15" width="1.125" style="25" customWidth="1"/>
    <col min="16" max="1021" width="10.875" style="25"/>
    <col min="1022" max="1025" width="8.875"/>
  </cols>
  <sheetData>
    <row r="1" spans="1:13" s="62" customFormat="1" ht="71.25" customHeight="1" x14ac:dyDescent="0.2">
      <c r="A1" s="498" t="s">
        <v>445</v>
      </c>
      <c r="B1" s="498"/>
      <c r="C1" s="498"/>
      <c r="D1" s="498"/>
      <c r="E1" s="498"/>
      <c r="F1" s="498"/>
      <c r="G1" s="498"/>
      <c r="H1" s="498"/>
      <c r="I1" s="498"/>
    </row>
    <row r="2" spans="1:13" ht="24.75" customHeight="1" x14ac:dyDescent="0.2">
      <c r="A2" s="132"/>
      <c r="B2" s="132"/>
      <c r="C2" s="132"/>
      <c r="D2" s="132"/>
      <c r="E2" s="132"/>
      <c r="F2" s="132"/>
      <c r="G2" s="132" t="s">
        <v>446</v>
      </c>
      <c r="H2" s="499" t="s">
        <v>662</v>
      </c>
      <c r="I2" s="499"/>
      <c r="J2"/>
      <c r="K2"/>
      <c r="L2"/>
      <c r="M2"/>
    </row>
    <row r="3" spans="1:13" ht="22.5" x14ac:dyDescent="0.2">
      <c r="A3" s="9" t="s">
        <v>328</v>
      </c>
      <c r="B3" s="9" t="s">
        <v>352</v>
      </c>
      <c r="C3" s="9" t="s">
        <v>95</v>
      </c>
      <c r="D3" s="9" t="s">
        <v>96</v>
      </c>
      <c r="E3" s="9" t="s">
        <v>97</v>
      </c>
      <c r="F3" s="133" t="s">
        <v>447</v>
      </c>
      <c r="G3" s="9" t="s">
        <v>448</v>
      </c>
      <c r="H3" s="9" t="s">
        <v>331</v>
      </c>
      <c r="I3" s="9" t="s">
        <v>449</v>
      </c>
      <c r="J3"/>
      <c r="K3"/>
      <c r="L3"/>
      <c r="M3"/>
    </row>
    <row r="4" spans="1:13" x14ac:dyDescent="0.2">
      <c r="A4" s="134" t="s">
        <v>450</v>
      </c>
      <c r="B4" s="135" t="s">
        <v>306</v>
      </c>
      <c r="C4" s="136">
        <v>39701</v>
      </c>
      <c r="D4" s="137" t="s">
        <v>712</v>
      </c>
      <c r="E4" s="138" t="s">
        <v>589</v>
      </c>
      <c r="F4" s="117">
        <v>1</v>
      </c>
      <c r="G4" s="139">
        <v>0.48000000000000004</v>
      </c>
      <c r="H4" s="553"/>
      <c r="I4" s="140">
        <f t="shared" ref="I4:I35" si="0">IFERROR(H4*G4,"")</f>
        <v>0</v>
      </c>
      <c r="J4"/>
      <c r="K4"/>
      <c r="L4"/>
      <c r="M4"/>
    </row>
    <row r="5" spans="1:13" ht="22.5" x14ac:dyDescent="0.2">
      <c r="A5" s="134" t="s">
        <v>451</v>
      </c>
      <c r="B5" s="135" t="s">
        <v>306</v>
      </c>
      <c r="C5" s="136">
        <v>38082</v>
      </c>
      <c r="D5" s="137" t="s">
        <v>797</v>
      </c>
      <c r="E5" s="138" t="s">
        <v>589</v>
      </c>
      <c r="F5" s="117">
        <v>1</v>
      </c>
      <c r="G5" s="139">
        <v>1.8580000000000001</v>
      </c>
      <c r="H5" s="553"/>
      <c r="I5" s="140">
        <f t="shared" si="0"/>
        <v>0</v>
      </c>
      <c r="J5"/>
      <c r="K5"/>
      <c r="L5"/>
      <c r="M5"/>
    </row>
    <row r="6" spans="1:13" ht="22.5" x14ac:dyDescent="0.2">
      <c r="A6" s="134" t="s">
        <v>452</v>
      </c>
      <c r="B6" s="135" t="s">
        <v>306</v>
      </c>
      <c r="C6" s="136">
        <v>38083</v>
      </c>
      <c r="D6" s="137" t="s">
        <v>798</v>
      </c>
      <c r="E6" s="138" t="s">
        <v>589</v>
      </c>
      <c r="F6" s="117">
        <v>1</v>
      </c>
      <c r="G6" s="139">
        <v>11.541600000000001</v>
      </c>
      <c r="H6" s="553"/>
      <c r="I6" s="140">
        <f t="shared" si="0"/>
        <v>0</v>
      </c>
      <c r="J6"/>
      <c r="K6"/>
      <c r="L6"/>
      <c r="M6"/>
    </row>
    <row r="7" spans="1:13" x14ac:dyDescent="0.2">
      <c r="A7" s="134" t="s">
        <v>453</v>
      </c>
      <c r="B7" s="135" t="s">
        <v>306</v>
      </c>
      <c r="C7" s="136">
        <v>11902</v>
      </c>
      <c r="D7" s="137" t="s">
        <v>687</v>
      </c>
      <c r="E7" s="138" t="s">
        <v>664</v>
      </c>
      <c r="F7" s="117">
        <v>1</v>
      </c>
      <c r="G7" s="139">
        <v>16.094000000000001</v>
      </c>
      <c r="H7" s="553"/>
      <c r="I7" s="140">
        <f t="shared" si="0"/>
        <v>0</v>
      </c>
      <c r="J7"/>
      <c r="K7"/>
      <c r="L7"/>
      <c r="M7"/>
    </row>
    <row r="8" spans="1:13" x14ac:dyDescent="0.2">
      <c r="A8" s="134" t="s">
        <v>454</v>
      </c>
      <c r="B8" s="135" t="s">
        <v>306</v>
      </c>
      <c r="C8" s="136">
        <v>11904</v>
      </c>
      <c r="D8" s="137" t="s">
        <v>688</v>
      </c>
      <c r="E8" s="138" t="s">
        <v>664</v>
      </c>
      <c r="F8" s="117">
        <v>1</v>
      </c>
      <c r="G8" s="139">
        <v>16.094000000000001</v>
      </c>
      <c r="H8" s="553"/>
      <c r="I8" s="140">
        <f t="shared" si="0"/>
        <v>0</v>
      </c>
      <c r="J8"/>
      <c r="K8"/>
      <c r="L8"/>
      <c r="M8"/>
    </row>
    <row r="9" spans="1:13" x14ac:dyDescent="0.2">
      <c r="A9" s="134" t="s">
        <v>455</v>
      </c>
      <c r="B9" s="135" t="s">
        <v>306</v>
      </c>
      <c r="C9" s="136">
        <v>11906</v>
      </c>
      <c r="D9" s="137" t="s">
        <v>689</v>
      </c>
      <c r="E9" s="138" t="s">
        <v>664</v>
      </c>
      <c r="F9" s="117">
        <v>1</v>
      </c>
      <c r="G9" s="139">
        <v>16.094000000000001</v>
      </c>
      <c r="H9" s="553"/>
      <c r="I9" s="140">
        <f t="shared" si="0"/>
        <v>0</v>
      </c>
      <c r="J9"/>
      <c r="K9"/>
      <c r="L9"/>
      <c r="M9"/>
    </row>
    <row r="10" spans="1:13" x14ac:dyDescent="0.2">
      <c r="A10" s="134" t="s">
        <v>456</v>
      </c>
      <c r="B10" s="135" t="s">
        <v>306</v>
      </c>
      <c r="C10" s="141">
        <v>11919</v>
      </c>
      <c r="D10" s="137" t="s">
        <v>690</v>
      </c>
      <c r="E10" s="138" t="s">
        <v>664</v>
      </c>
      <c r="F10" s="117">
        <v>1</v>
      </c>
      <c r="G10" s="139">
        <v>16.094000000000001</v>
      </c>
      <c r="H10" s="553"/>
      <c r="I10" s="140">
        <f t="shared" si="0"/>
        <v>0</v>
      </c>
      <c r="J10"/>
      <c r="K10"/>
      <c r="L10"/>
      <c r="M10"/>
    </row>
    <row r="11" spans="1:13" x14ac:dyDescent="0.2">
      <c r="A11" s="134" t="s">
        <v>457</v>
      </c>
      <c r="B11" s="135" t="s">
        <v>306</v>
      </c>
      <c r="C11" s="141">
        <v>11922</v>
      </c>
      <c r="D11" s="137" t="s">
        <v>691</v>
      </c>
      <c r="E11" s="138" t="s">
        <v>664</v>
      </c>
      <c r="F11" s="117">
        <v>1</v>
      </c>
      <c r="G11" s="139">
        <v>16.094000000000001</v>
      </c>
      <c r="H11" s="553"/>
      <c r="I11" s="140">
        <f t="shared" si="0"/>
        <v>0</v>
      </c>
      <c r="J11"/>
      <c r="K11"/>
      <c r="L11"/>
      <c r="M11"/>
    </row>
    <row r="12" spans="1:13" x14ac:dyDescent="0.2">
      <c r="A12" s="134" t="s">
        <v>458</v>
      </c>
      <c r="B12" s="135" t="s">
        <v>306</v>
      </c>
      <c r="C12" s="141">
        <v>935</v>
      </c>
      <c r="D12" s="137" t="e">
        <v>#N/A</v>
      </c>
      <c r="E12" s="138" t="e">
        <v>#N/A</v>
      </c>
      <c r="F12" s="117">
        <v>1</v>
      </c>
      <c r="G12" s="139">
        <v>12.043200000000001</v>
      </c>
      <c r="H12" s="553"/>
      <c r="I12" s="140">
        <f t="shared" si="0"/>
        <v>0</v>
      </c>
      <c r="J12"/>
      <c r="K12"/>
      <c r="L12"/>
      <c r="M12"/>
    </row>
    <row r="13" spans="1:13" x14ac:dyDescent="0.2">
      <c r="A13" s="134" t="s">
        <v>459</v>
      </c>
      <c r="B13" s="135" t="s">
        <v>306</v>
      </c>
      <c r="C13" s="141">
        <v>936</v>
      </c>
      <c r="D13" s="137" t="e">
        <v>#N/A</v>
      </c>
      <c r="E13" s="138" t="e">
        <v>#N/A</v>
      </c>
      <c r="F13" s="117">
        <v>1</v>
      </c>
      <c r="G13" s="139">
        <v>12.043200000000001</v>
      </c>
      <c r="H13" s="553"/>
      <c r="I13" s="140">
        <f t="shared" si="0"/>
        <v>0</v>
      </c>
      <c r="J13"/>
      <c r="K13"/>
      <c r="L13"/>
      <c r="M13"/>
    </row>
    <row r="14" spans="1:13" ht="22.5" x14ac:dyDescent="0.2">
      <c r="A14" s="134" t="s">
        <v>460</v>
      </c>
      <c r="B14" s="135" t="s">
        <v>306</v>
      </c>
      <c r="C14" s="141">
        <v>39607</v>
      </c>
      <c r="D14" s="137" t="s">
        <v>766</v>
      </c>
      <c r="E14" s="138" t="s">
        <v>589</v>
      </c>
      <c r="F14" s="117">
        <v>1</v>
      </c>
      <c r="G14" s="139">
        <v>16.349360000000001</v>
      </c>
      <c r="H14" s="553"/>
      <c r="I14" s="140">
        <f t="shared" si="0"/>
        <v>0</v>
      </c>
      <c r="J14"/>
      <c r="K14"/>
      <c r="L14"/>
      <c r="M14"/>
    </row>
    <row r="15" spans="1:13" x14ac:dyDescent="0.2">
      <c r="A15" s="134" t="s">
        <v>461</v>
      </c>
      <c r="B15" s="135" t="s">
        <v>306</v>
      </c>
      <c r="C15" s="141">
        <v>39601</v>
      </c>
      <c r="D15" s="137" t="s">
        <v>698</v>
      </c>
      <c r="E15" s="138" t="s">
        <v>589</v>
      </c>
      <c r="F15" s="117">
        <v>1</v>
      </c>
      <c r="G15" s="139">
        <v>6.5397439999999998</v>
      </c>
      <c r="H15" s="553"/>
      <c r="I15" s="140">
        <f t="shared" si="0"/>
        <v>0</v>
      </c>
      <c r="J15"/>
      <c r="K15"/>
      <c r="L15"/>
      <c r="M15"/>
    </row>
    <row r="16" spans="1:13" x14ac:dyDescent="0.2">
      <c r="A16" s="134" t="s">
        <v>462</v>
      </c>
      <c r="B16" s="135" t="s">
        <v>306</v>
      </c>
      <c r="C16" s="141">
        <v>39603</v>
      </c>
      <c r="D16" s="137" t="s">
        <v>699</v>
      </c>
      <c r="E16" s="138" t="s">
        <v>589</v>
      </c>
      <c r="F16" s="117">
        <v>1</v>
      </c>
      <c r="G16" s="139">
        <v>13.079488</v>
      </c>
      <c r="H16" s="553"/>
      <c r="I16" s="140">
        <f t="shared" si="0"/>
        <v>0</v>
      </c>
      <c r="J16"/>
      <c r="K16"/>
      <c r="L16"/>
      <c r="M16"/>
    </row>
    <row r="17" spans="1:13" ht="22.5" x14ac:dyDescent="0.2">
      <c r="A17" s="134" t="s">
        <v>463</v>
      </c>
      <c r="B17" s="135" t="s">
        <v>306</v>
      </c>
      <c r="C17" s="141">
        <v>39599</v>
      </c>
      <c r="D17" s="137" t="s">
        <v>686</v>
      </c>
      <c r="E17" s="138" t="s">
        <v>664</v>
      </c>
      <c r="F17" s="117">
        <v>1</v>
      </c>
      <c r="G17" s="139">
        <v>163.49359999999999</v>
      </c>
      <c r="H17" s="553"/>
      <c r="I17" s="140">
        <f t="shared" si="0"/>
        <v>0</v>
      </c>
      <c r="J17"/>
      <c r="K17"/>
      <c r="L17"/>
      <c r="M17"/>
    </row>
    <row r="18" spans="1:13" x14ac:dyDescent="0.2">
      <c r="A18" s="134" t="s">
        <v>464</v>
      </c>
      <c r="B18" s="135" t="s">
        <v>306</v>
      </c>
      <c r="C18" s="141">
        <v>122</v>
      </c>
      <c r="D18" s="137" t="s">
        <v>667</v>
      </c>
      <c r="E18" s="138" t="s">
        <v>589</v>
      </c>
      <c r="F18" s="117">
        <v>8.9999999999999993E-3</v>
      </c>
      <c r="G18" s="139">
        <v>2.6999999999999996E-2</v>
      </c>
      <c r="H18" s="553"/>
      <c r="I18" s="140">
        <f t="shared" si="0"/>
        <v>0</v>
      </c>
      <c r="J18"/>
      <c r="K18"/>
      <c r="L18"/>
      <c r="M18"/>
    </row>
    <row r="19" spans="1:13" x14ac:dyDescent="0.2">
      <c r="A19" s="134" t="s">
        <v>464</v>
      </c>
      <c r="B19" s="135" t="s">
        <v>306</v>
      </c>
      <c r="C19" s="141">
        <v>38383</v>
      </c>
      <c r="D19" s="137" t="s">
        <v>748</v>
      </c>
      <c r="E19" s="138" t="s">
        <v>589</v>
      </c>
      <c r="F19" s="117">
        <v>3.9E-2</v>
      </c>
      <c r="G19" s="139">
        <v>0.11699999999999999</v>
      </c>
      <c r="H19" s="553"/>
      <c r="I19" s="140">
        <f t="shared" si="0"/>
        <v>0</v>
      </c>
      <c r="J19"/>
      <c r="K19"/>
      <c r="L19"/>
      <c r="M19"/>
    </row>
    <row r="20" spans="1:13" x14ac:dyDescent="0.2">
      <c r="A20" s="134" t="s">
        <v>464</v>
      </c>
      <c r="B20" s="135" t="s">
        <v>306</v>
      </c>
      <c r="C20" s="141">
        <v>20083</v>
      </c>
      <c r="D20" s="137" t="s">
        <v>773</v>
      </c>
      <c r="E20" s="138" t="s">
        <v>589</v>
      </c>
      <c r="F20" s="117">
        <v>8.9999999999999993E-3</v>
      </c>
      <c r="G20" s="139">
        <v>2.6999999999999996E-2</v>
      </c>
      <c r="H20" s="553"/>
      <c r="I20" s="140">
        <f t="shared" si="0"/>
        <v>0</v>
      </c>
      <c r="J20"/>
      <c r="K20"/>
      <c r="L20"/>
      <c r="M20"/>
    </row>
    <row r="21" spans="1:13" ht="22.5" x14ac:dyDescent="0.2">
      <c r="A21" s="134" t="s">
        <v>464</v>
      </c>
      <c r="B21" s="135" t="s">
        <v>306</v>
      </c>
      <c r="C21" s="141">
        <v>7138</v>
      </c>
      <c r="D21" s="137" t="s">
        <v>782</v>
      </c>
      <c r="E21" s="138" t="s">
        <v>589</v>
      </c>
      <c r="F21" s="117">
        <v>1</v>
      </c>
      <c r="G21" s="139">
        <v>3</v>
      </c>
      <c r="H21" s="553"/>
      <c r="I21" s="140">
        <f t="shared" si="0"/>
        <v>0</v>
      </c>
      <c r="J21"/>
      <c r="K21"/>
      <c r="L21"/>
      <c r="M21"/>
    </row>
    <row r="22" spans="1:13" x14ac:dyDescent="0.2">
      <c r="A22" s="134" t="s">
        <v>465</v>
      </c>
      <c r="B22" s="135" t="s">
        <v>306</v>
      </c>
      <c r="C22" s="141">
        <v>122</v>
      </c>
      <c r="D22" s="137" t="s">
        <v>667</v>
      </c>
      <c r="E22" s="138" t="s">
        <v>589</v>
      </c>
      <c r="F22" s="117">
        <v>1.0999999999999999E-2</v>
      </c>
      <c r="G22" s="139">
        <v>2.1999999999999999E-2</v>
      </c>
      <c r="H22" s="553"/>
      <c r="I22" s="140">
        <f t="shared" si="0"/>
        <v>0</v>
      </c>
      <c r="J22"/>
      <c r="K22"/>
      <c r="L22"/>
      <c r="M22"/>
    </row>
    <row r="23" spans="1:13" x14ac:dyDescent="0.2">
      <c r="A23" s="134" t="s">
        <v>465</v>
      </c>
      <c r="B23" s="135" t="s">
        <v>306</v>
      </c>
      <c r="C23" s="141">
        <v>38383</v>
      </c>
      <c r="D23" s="137" t="s">
        <v>748</v>
      </c>
      <c r="E23" s="138" t="s">
        <v>589</v>
      </c>
      <c r="F23" s="117">
        <v>4.4999999999999998E-2</v>
      </c>
      <c r="G23" s="139">
        <v>0.09</v>
      </c>
      <c r="H23" s="553"/>
      <c r="I23" s="140">
        <f t="shared" si="0"/>
        <v>0</v>
      </c>
      <c r="J23"/>
      <c r="K23"/>
      <c r="L23"/>
      <c r="M23"/>
    </row>
    <row r="24" spans="1:13" x14ac:dyDescent="0.2">
      <c r="A24" s="134" t="s">
        <v>465</v>
      </c>
      <c r="B24" s="135" t="s">
        <v>306</v>
      </c>
      <c r="C24" s="141">
        <v>20083</v>
      </c>
      <c r="D24" s="137" t="s">
        <v>773</v>
      </c>
      <c r="E24" s="138" t="s">
        <v>589</v>
      </c>
      <c r="F24" s="117">
        <v>1.2E-2</v>
      </c>
      <c r="G24" s="139">
        <v>2.4E-2</v>
      </c>
      <c r="H24" s="553"/>
      <c r="I24" s="140">
        <f t="shared" si="0"/>
        <v>0</v>
      </c>
      <c r="J24"/>
      <c r="K24"/>
      <c r="L24"/>
      <c r="M24"/>
    </row>
    <row r="25" spans="1:13" ht="22.5" x14ac:dyDescent="0.2">
      <c r="A25" s="134" t="s">
        <v>465</v>
      </c>
      <c r="B25" s="135" t="s">
        <v>306</v>
      </c>
      <c r="C25" s="141">
        <v>7139</v>
      </c>
      <c r="D25" s="137" t="s">
        <v>783</v>
      </c>
      <c r="E25" s="138" t="s">
        <v>589</v>
      </c>
      <c r="F25" s="117">
        <v>1</v>
      </c>
      <c r="G25" s="139">
        <v>2</v>
      </c>
      <c r="H25" s="553"/>
      <c r="I25" s="140">
        <f t="shared" si="0"/>
        <v>0</v>
      </c>
      <c r="J25"/>
      <c r="K25"/>
      <c r="L25"/>
      <c r="M25"/>
    </row>
    <row r="26" spans="1:13" x14ac:dyDescent="0.2">
      <c r="A26" s="134" t="s">
        <v>466</v>
      </c>
      <c r="B26" s="135" t="s">
        <v>306</v>
      </c>
      <c r="C26" s="141">
        <v>122</v>
      </c>
      <c r="D26" s="137" t="s">
        <v>667</v>
      </c>
      <c r="E26" s="138" t="s">
        <v>589</v>
      </c>
      <c r="F26" s="117">
        <v>1.4E-2</v>
      </c>
      <c r="G26" s="139">
        <v>1.4E-2</v>
      </c>
      <c r="H26" s="553"/>
      <c r="I26" s="140">
        <f t="shared" si="0"/>
        <v>0</v>
      </c>
      <c r="J26"/>
      <c r="K26"/>
      <c r="L26"/>
      <c r="M26"/>
    </row>
    <row r="27" spans="1:13" x14ac:dyDescent="0.2">
      <c r="A27" s="134" t="s">
        <v>466</v>
      </c>
      <c r="B27" s="135" t="s">
        <v>306</v>
      </c>
      <c r="C27" s="141">
        <v>38383</v>
      </c>
      <c r="D27" s="137" t="s">
        <v>748</v>
      </c>
      <c r="E27" s="138" t="s">
        <v>589</v>
      </c>
      <c r="F27" s="117">
        <v>5.2999999999999999E-2</v>
      </c>
      <c r="G27" s="139">
        <v>5.2999999999999999E-2</v>
      </c>
      <c r="H27" s="553"/>
      <c r="I27" s="140">
        <f t="shared" si="0"/>
        <v>0</v>
      </c>
      <c r="J27"/>
      <c r="K27"/>
      <c r="L27"/>
      <c r="M27"/>
    </row>
    <row r="28" spans="1:13" x14ac:dyDescent="0.2">
      <c r="A28" s="134" t="s">
        <v>466</v>
      </c>
      <c r="B28" s="135" t="s">
        <v>306</v>
      </c>
      <c r="C28" s="141">
        <v>20083</v>
      </c>
      <c r="D28" s="137" t="s">
        <v>773</v>
      </c>
      <c r="E28" s="138" t="s">
        <v>589</v>
      </c>
      <c r="F28" s="117">
        <v>1.7000000000000001E-2</v>
      </c>
      <c r="G28" s="139">
        <v>1.7000000000000001E-2</v>
      </c>
      <c r="H28" s="553"/>
      <c r="I28" s="140">
        <f t="shared" si="0"/>
        <v>0</v>
      </c>
      <c r="J28"/>
      <c r="K28"/>
      <c r="L28"/>
      <c r="M28"/>
    </row>
    <row r="29" spans="1:13" ht="22.5" x14ac:dyDescent="0.2">
      <c r="A29" s="134" t="s">
        <v>466</v>
      </c>
      <c r="B29" s="135" t="s">
        <v>306</v>
      </c>
      <c r="C29" s="141">
        <v>7140</v>
      </c>
      <c r="D29" s="137" t="s">
        <v>784</v>
      </c>
      <c r="E29" s="138" t="s">
        <v>589</v>
      </c>
      <c r="F29" s="117">
        <v>1</v>
      </c>
      <c r="G29" s="139">
        <v>1</v>
      </c>
      <c r="H29" s="553"/>
      <c r="I29" s="140">
        <f t="shared" si="0"/>
        <v>0</v>
      </c>
      <c r="J29"/>
      <c r="K29"/>
      <c r="L29"/>
      <c r="M29"/>
    </row>
    <row r="30" spans="1:13" x14ac:dyDescent="0.2">
      <c r="A30" s="134" t="s">
        <v>467</v>
      </c>
      <c r="B30" s="135" t="s">
        <v>306</v>
      </c>
      <c r="C30" s="141">
        <v>122</v>
      </c>
      <c r="D30" s="137" t="s">
        <v>667</v>
      </c>
      <c r="E30" s="138" t="s">
        <v>589</v>
      </c>
      <c r="F30" s="117">
        <v>1.7999999999999999E-2</v>
      </c>
      <c r="G30" s="139">
        <v>1.7999999999999999E-2</v>
      </c>
      <c r="H30" s="553"/>
      <c r="I30" s="140">
        <f t="shared" si="0"/>
        <v>0</v>
      </c>
      <c r="J30"/>
      <c r="K30"/>
      <c r="L30"/>
      <c r="M30"/>
    </row>
    <row r="31" spans="1:13" x14ac:dyDescent="0.2">
      <c r="A31" s="134" t="s">
        <v>467</v>
      </c>
      <c r="B31" s="135" t="s">
        <v>306</v>
      </c>
      <c r="C31" s="141">
        <v>38383</v>
      </c>
      <c r="D31" s="137" t="s">
        <v>748</v>
      </c>
      <c r="E31" s="138" t="s">
        <v>589</v>
      </c>
      <c r="F31" s="117">
        <v>0.03</v>
      </c>
      <c r="G31" s="139">
        <v>0.03</v>
      </c>
      <c r="H31" s="553"/>
      <c r="I31" s="140">
        <f t="shared" si="0"/>
        <v>0</v>
      </c>
      <c r="J31"/>
      <c r="K31"/>
      <c r="L31"/>
      <c r="M31"/>
    </row>
    <row r="32" spans="1:13" x14ac:dyDescent="0.2">
      <c r="A32" s="134" t="s">
        <v>467</v>
      </c>
      <c r="B32" s="135" t="s">
        <v>306</v>
      </c>
      <c r="C32" s="141">
        <v>20083</v>
      </c>
      <c r="D32" s="137" t="s">
        <v>773</v>
      </c>
      <c r="E32" s="138" t="s">
        <v>589</v>
      </c>
      <c r="F32" s="117">
        <v>2.1000000000000001E-2</v>
      </c>
      <c r="G32" s="139">
        <v>2.1000000000000001E-2</v>
      </c>
      <c r="H32" s="553"/>
      <c r="I32" s="140">
        <f t="shared" si="0"/>
        <v>0</v>
      </c>
      <c r="J32"/>
      <c r="K32"/>
      <c r="L32"/>
      <c r="M32"/>
    </row>
    <row r="33" spans="1:13" ht="22.5" x14ac:dyDescent="0.2">
      <c r="A33" s="134" t="s">
        <v>467</v>
      </c>
      <c r="B33" s="135" t="s">
        <v>306</v>
      </c>
      <c r="C33" s="141">
        <v>7141</v>
      </c>
      <c r="D33" s="137" t="s">
        <v>785</v>
      </c>
      <c r="E33" s="138" t="s">
        <v>589</v>
      </c>
      <c r="F33" s="117">
        <v>1</v>
      </c>
      <c r="G33" s="139">
        <v>1</v>
      </c>
      <c r="H33" s="553"/>
      <c r="I33" s="140">
        <f t="shared" si="0"/>
        <v>0</v>
      </c>
      <c r="J33"/>
      <c r="K33"/>
      <c r="L33"/>
      <c r="M33"/>
    </row>
    <row r="34" spans="1:13" x14ac:dyDescent="0.2">
      <c r="A34" s="134" t="s">
        <v>468</v>
      </c>
      <c r="B34" s="135" t="s">
        <v>306</v>
      </c>
      <c r="C34" s="141">
        <v>122</v>
      </c>
      <c r="D34" s="137" t="s">
        <v>667</v>
      </c>
      <c r="E34" s="138" t="s">
        <v>589</v>
      </c>
      <c r="F34" s="117">
        <v>3.5000000000000003E-2</v>
      </c>
      <c r="G34" s="139">
        <v>3.5000000000000003E-2</v>
      </c>
      <c r="H34" s="553"/>
      <c r="I34" s="140">
        <f t="shared" si="0"/>
        <v>0</v>
      </c>
      <c r="J34"/>
      <c r="K34"/>
      <c r="L34"/>
      <c r="M34"/>
    </row>
    <row r="35" spans="1:13" x14ac:dyDescent="0.2">
      <c r="A35" s="134" t="s">
        <v>468</v>
      </c>
      <c r="B35" s="135" t="s">
        <v>306</v>
      </c>
      <c r="C35" s="141">
        <v>38383</v>
      </c>
      <c r="D35" s="137" t="s">
        <v>748</v>
      </c>
      <c r="E35" s="138" t="s">
        <v>589</v>
      </c>
      <c r="F35" s="117">
        <v>4.2999999999999997E-2</v>
      </c>
      <c r="G35" s="139">
        <v>4.2999999999999997E-2</v>
      </c>
      <c r="H35" s="553"/>
      <c r="I35" s="140">
        <f t="shared" si="0"/>
        <v>0</v>
      </c>
      <c r="J35"/>
      <c r="K35"/>
      <c r="L35"/>
      <c r="M35"/>
    </row>
    <row r="36" spans="1:13" x14ac:dyDescent="0.2">
      <c r="A36" s="134" t="s">
        <v>468</v>
      </c>
      <c r="B36" s="135" t="s">
        <v>306</v>
      </c>
      <c r="C36" s="141">
        <v>20083</v>
      </c>
      <c r="D36" s="137" t="s">
        <v>773</v>
      </c>
      <c r="E36" s="138" t="s">
        <v>589</v>
      </c>
      <c r="F36" s="117">
        <v>4.4999999999999998E-2</v>
      </c>
      <c r="G36" s="139">
        <v>4.4999999999999998E-2</v>
      </c>
      <c r="H36" s="553"/>
      <c r="I36" s="140">
        <f t="shared" ref="I36:I66" si="1">IFERROR(H36*G36,"")</f>
        <v>0</v>
      </c>
      <c r="J36"/>
      <c r="K36"/>
      <c r="L36"/>
      <c r="M36"/>
    </row>
    <row r="37" spans="1:13" ht="22.5" x14ac:dyDescent="0.2">
      <c r="A37" s="134" t="s">
        <v>468</v>
      </c>
      <c r="B37" s="135" t="s">
        <v>306</v>
      </c>
      <c r="C37" s="141">
        <v>7143</v>
      </c>
      <c r="D37" s="137" t="s">
        <v>786</v>
      </c>
      <c r="E37" s="138" t="s">
        <v>589</v>
      </c>
      <c r="F37" s="117">
        <v>1</v>
      </c>
      <c r="G37" s="139">
        <v>1</v>
      </c>
      <c r="H37" s="553"/>
      <c r="I37" s="140">
        <f t="shared" si="1"/>
        <v>0</v>
      </c>
      <c r="J37"/>
      <c r="K37"/>
      <c r="L37"/>
      <c r="M37"/>
    </row>
    <row r="38" spans="1:13" x14ac:dyDescent="0.2">
      <c r="A38" s="134" t="s">
        <v>469</v>
      </c>
      <c r="B38" s="135" t="s">
        <v>306</v>
      </c>
      <c r="C38" s="141">
        <v>20080</v>
      </c>
      <c r="D38" s="137" t="s">
        <v>668</v>
      </c>
      <c r="E38" s="138" t="s">
        <v>589</v>
      </c>
      <c r="F38" s="117">
        <v>0.23100000000000001</v>
      </c>
      <c r="G38" s="139">
        <v>0.23100000000000001</v>
      </c>
      <c r="H38" s="553"/>
      <c r="I38" s="140">
        <f t="shared" si="1"/>
        <v>0</v>
      </c>
      <c r="J38"/>
      <c r="K38"/>
      <c r="L38"/>
      <c r="M38"/>
    </row>
    <row r="39" spans="1:13" x14ac:dyDescent="0.2">
      <c r="A39" s="134" t="s">
        <v>469</v>
      </c>
      <c r="B39" s="135" t="s">
        <v>306</v>
      </c>
      <c r="C39" s="141">
        <v>38383</v>
      </c>
      <c r="D39" s="137" t="s">
        <v>748</v>
      </c>
      <c r="E39" s="138" t="s">
        <v>589</v>
      </c>
      <c r="F39" s="117">
        <v>5.5E-2</v>
      </c>
      <c r="G39" s="139">
        <v>5.5E-2</v>
      </c>
      <c r="H39" s="553"/>
      <c r="I39" s="140">
        <f t="shared" si="1"/>
        <v>0</v>
      </c>
      <c r="J39"/>
      <c r="K39"/>
      <c r="L39"/>
      <c r="M39"/>
    </row>
    <row r="40" spans="1:13" x14ac:dyDescent="0.2">
      <c r="A40" s="134" t="s">
        <v>469</v>
      </c>
      <c r="B40" s="135" t="s">
        <v>306</v>
      </c>
      <c r="C40" s="141">
        <v>20083</v>
      </c>
      <c r="D40" s="137" t="s">
        <v>773</v>
      </c>
      <c r="E40" s="138" t="s">
        <v>589</v>
      </c>
      <c r="F40" s="117">
        <v>6.2E-2</v>
      </c>
      <c r="G40" s="139">
        <v>6.2E-2</v>
      </c>
      <c r="H40" s="553"/>
      <c r="I40" s="140">
        <f t="shared" si="1"/>
        <v>0</v>
      </c>
      <c r="J40"/>
      <c r="K40"/>
      <c r="L40"/>
      <c r="M40"/>
    </row>
    <row r="41" spans="1:13" ht="22.5" x14ac:dyDescent="0.2">
      <c r="A41" s="134" t="s">
        <v>469</v>
      </c>
      <c r="B41" s="135" t="s">
        <v>306</v>
      </c>
      <c r="C41" s="141">
        <v>7144</v>
      </c>
      <c r="D41" s="137" t="s">
        <v>787</v>
      </c>
      <c r="E41" s="138" t="s">
        <v>589</v>
      </c>
      <c r="F41" s="117">
        <v>1</v>
      </c>
      <c r="G41" s="139">
        <v>1</v>
      </c>
      <c r="H41" s="553"/>
      <c r="I41" s="140">
        <f t="shared" si="1"/>
        <v>0</v>
      </c>
      <c r="J41"/>
      <c r="K41"/>
      <c r="L41"/>
      <c r="M41"/>
    </row>
    <row r="42" spans="1:13" x14ac:dyDescent="0.2">
      <c r="A42" s="134" t="s">
        <v>470</v>
      </c>
      <c r="B42" s="135" t="s">
        <v>306</v>
      </c>
      <c r="C42" s="141">
        <v>122</v>
      </c>
      <c r="D42" s="137" t="s">
        <v>667</v>
      </c>
      <c r="E42" s="138" t="s">
        <v>589</v>
      </c>
      <c r="F42" s="117">
        <v>1.7999999999999999E-2</v>
      </c>
      <c r="G42" s="139">
        <v>1.7999999999999999E-2</v>
      </c>
      <c r="H42" s="553"/>
      <c r="I42" s="140">
        <f t="shared" si="1"/>
        <v>0</v>
      </c>
      <c r="J42"/>
      <c r="K42"/>
      <c r="L42"/>
      <c r="M42"/>
    </row>
    <row r="43" spans="1:13" x14ac:dyDescent="0.2">
      <c r="A43" s="134" t="s">
        <v>470</v>
      </c>
      <c r="B43" s="135" t="s">
        <v>306</v>
      </c>
      <c r="C43" s="141">
        <v>38383</v>
      </c>
      <c r="D43" s="137" t="s">
        <v>748</v>
      </c>
      <c r="E43" s="138" t="s">
        <v>589</v>
      </c>
      <c r="F43" s="117">
        <v>0.03</v>
      </c>
      <c r="G43" s="139">
        <v>0.03</v>
      </c>
      <c r="H43" s="553"/>
      <c r="I43" s="140">
        <f t="shared" si="1"/>
        <v>0</v>
      </c>
      <c r="J43"/>
      <c r="K43"/>
      <c r="L43"/>
      <c r="M43"/>
    </row>
    <row r="44" spans="1:13" x14ac:dyDescent="0.2">
      <c r="A44" s="134" t="s">
        <v>470</v>
      </c>
      <c r="B44" s="135" t="s">
        <v>306</v>
      </c>
      <c r="C44" s="141">
        <v>20083</v>
      </c>
      <c r="D44" s="137" t="s">
        <v>773</v>
      </c>
      <c r="E44" s="138" t="s">
        <v>589</v>
      </c>
      <c r="F44" s="117">
        <v>2.1000000000000001E-2</v>
      </c>
      <c r="G44" s="139">
        <v>2.1000000000000001E-2</v>
      </c>
      <c r="H44" s="553"/>
      <c r="I44" s="140">
        <f t="shared" si="1"/>
        <v>0</v>
      </c>
      <c r="J44"/>
      <c r="K44"/>
      <c r="L44"/>
      <c r="M44"/>
    </row>
    <row r="45" spans="1:13" ht="22.5" x14ac:dyDescent="0.2">
      <c r="A45" s="134" t="s">
        <v>470</v>
      </c>
      <c r="B45" s="135" t="s">
        <v>306</v>
      </c>
      <c r="C45" s="141">
        <v>7128</v>
      </c>
      <c r="D45" s="137" t="s">
        <v>777</v>
      </c>
      <c r="E45" s="138" t="s">
        <v>589</v>
      </c>
      <c r="F45" s="117">
        <v>1</v>
      </c>
      <c r="G45" s="139">
        <v>1</v>
      </c>
      <c r="H45" s="553"/>
      <c r="I45" s="140">
        <f t="shared" si="1"/>
        <v>0</v>
      </c>
      <c r="J45"/>
      <c r="K45"/>
      <c r="L45"/>
      <c r="M45"/>
    </row>
    <row r="46" spans="1:13" x14ac:dyDescent="0.2">
      <c r="A46" s="134" t="s">
        <v>471</v>
      </c>
      <c r="B46" s="135" t="s">
        <v>306</v>
      </c>
      <c r="C46" s="141">
        <v>122</v>
      </c>
      <c r="D46" s="137" t="s">
        <v>667</v>
      </c>
      <c r="E46" s="138" t="s">
        <v>589</v>
      </c>
      <c r="F46" s="117">
        <v>6.0000000000000001E-3</v>
      </c>
      <c r="G46" s="139">
        <v>0.06</v>
      </c>
      <c r="H46" s="553"/>
      <c r="I46" s="140">
        <f t="shared" si="1"/>
        <v>0</v>
      </c>
      <c r="J46"/>
      <c r="K46"/>
      <c r="L46"/>
      <c r="M46"/>
    </row>
    <row r="47" spans="1:13" ht="22.5" x14ac:dyDescent="0.2">
      <c r="A47" s="134" t="s">
        <v>471</v>
      </c>
      <c r="B47" s="135" t="s">
        <v>306</v>
      </c>
      <c r="C47" s="141">
        <v>3542</v>
      </c>
      <c r="D47" s="137" t="s">
        <v>730</v>
      </c>
      <c r="E47" s="138" t="s">
        <v>589</v>
      </c>
      <c r="F47" s="117">
        <v>1</v>
      </c>
      <c r="G47" s="139">
        <v>10</v>
      </c>
      <c r="H47" s="553"/>
      <c r="I47" s="140">
        <f t="shared" si="1"/>
        <v>0</v>
      </c>
      <c r="J47"/>
      <c r="K47"/>
      <c r="L47"/>
      <c r="M47"/>
    </row>
    <row r="48" spans="1:13" x14ac:dyDescent="0.2">
      <c r="A48" s="134" t="s">
        <v>471</v>
      </c>
      <c r="B48" s="135" t="s">
        <v>306</v>
      </c>
      <c r="C48" s="141">
        <v>38383</v>
      </c>
      <c r="D48" s="137" t="s">
        <v>748</v>
      </c>
      <c r="E48" s="138" t="s">
        <v>589</v>
      </c>
      <c r="F48" s="117">
        <v>2.5999999999999999E-2</v>
      </c>
      <c r="G48" s="139">
        <v>0.26</v>
      </c>
      <c r="H48" s="553"/>
      <c r="I48" s="140">
        <f t="shared" si="1"/>
        <v>0</v>
      </c>
      <c r="J48"/>
      <c r="K48"/>
      <c r="L48"/>
      <c r="M48"/>
    </row>
    <row r="49" spans="1:13" x14ac:dyDescent="0.2">
      <c r="A49" s="134" t="s">
        <v>471</v>
      </c>
      <c r="B49" s="135" t="s">
        <v>306</v>
      </c>
      <c r="C49" s="141">
        <v>20083</v>
      </c>
      <c r="D49" s="137" t="s">
        <v>773</v>
      </c>
      <c r="E49" s="138" t="s">
        <v>589</v>
      </c>
      <c r="F49" s="117">
        <v>6.0000000000000001E-3</v>
      </c>
      <c r="G49" s="139">
        <v>0.06</v>
      </c>
      <c r="H49" s="553"/>
      <c r="I49" s="140">
        <f t="shared" si="1"/>
        <v>0</v>
      </c>
      <c r="J49"/>
      <c r="K49"/>
      <c r="L49"/>
      <c r="M49"/>
    </row>
    <row r="50" spans="1:13" x14ac:dyDescent="0.2">
      <c r="A50" s="134" t="s">
        <v>472</v>
      </c>
      <c r="B50" s="135" t="s">
        <v>306</v>
      </c>
      <c r="C50" s="141">
        <v>122</v>
      </c>
      <c r="D50" s="137" t="s">
        <v>667</v>
      </c>
      <c r="E50" s="138" t="s">
        <v>589</v>
      </c>
      <c r="F50" s="117">
        <v>7.0000000000000001E-3</v>
      </c>
      <c r="G50" s="139">
        <v>1.4E-2</v>
      </c>
      <c r="H50" s="553"/>
      <c r="I50" s="140">
        <f t="shared" si="1"/>
        <v>0</v>
      </c>
      <c r="J50"/>
      <c r="K50"/>
      <c r="L50"/>
      <c r="M50"/>
    </row>
    <row r="51" spans="1:13" ht="22.5" x14ac:dyDescent="0.2">
      <c r="A51" s="134" t="s">
        <v>472</v>
      </c>
      <c r="B51" s="135" t="s">
        <v>306</v>
      </c>
      <c r="C51" s="141">
        <v>3529</v>
      </c>
      <c r="D51" s="137" t="s">
        <v>731</v>
      </c>
      <c r="E51" s="138" t="s">
        <v>589</v>
      </c>
      <c r="F51" s="117">
        <v>1</v>
      </c>
      <c r="G51" s="139">
        <v>2</v>
      </c>
      <c r="H51" s="553"/>
      <c r="I51" s="140">
        <f t="shared" si="1"/>
        <v>0</v>
      </c>
      <c r="J51"/>
      <c r="K51"/>
      <c r="L51"/>
      <c r="M51"/>
    </row>
    <row r="52" spans="1:13" x14ac:dyDescent="0.2">
      <c r="A52" s="134" t="s">
        <v>472</v>
      </c>
      <c r="B52" s="135" t="s">
        <v>306</v>
      </c>
      <c r="C52" s="141">
        <v>38383</v>
      </c>
      <c r="D52" s="137" t="s">
        <v>748</v>
      </c>
      <c r="E52" s="138" t="s">
        <v>589</v>
      </c>
      <c r="F52" s="117">
        <v>1.2999999999999999E-2</v>
      </c>
      <c r="G52" s="139">
        <v>2.5999999999999999E-2</v>
      </c>
      <c r="H52" s="553"/>
      <c r="I52" s="140">
        <f t="shared" si="1"/>
        <v>0</v>
      </c>
      <c r="J52"/>
      <c r="K52"/>
      <c r="L52"/>
      <c r="M52"/>
    </row>
    <row r="53" spans="1:13" x14ac:dyDescent="0.2">
      <c r="A53" s="134" t="s">
        <v>472</v>
      </c>
      <c r="B53" s="135" t="s">
        <v>306</v>
      </c>
      <c r="C53" s="141">
        <v>20083</v>
      </c>
      <c r="D53" s="137" t="s">
        <v>773</v>
      </c>
      <c r="E53" s="138" t="s">
        <v>589</v>
      </c>
      <c r="F53" s="117">
        <v>8.0000000000000002E-3</v>
      </c>
      <c r="G53" s="139">
        <v>1.6E-2</v>
      </c>
      <c r="H53" s="553"/>
      <c r="I53" s="140">
        <f t="shared" si="1"/>
        <v>0</v>
      </c>
      <c r="J53"/>
      <c r="K53"/>
      <c r="L53"/>
      <c r="M53"/>
    </row>
    <row r="54" spans="1:13" x14ac:dyDescent="0.2">
      <c r="A54" s="134" t="s">
        <v>473</v>
      </c>
      <c r="B54" s="135" t="s">
        <v>306</v>
      </c>
      <c r="C54" s="141">
        <v>122</v>
      </c>
      <c r="D54" s="137" t="s">
        <v>667</v>
      </c>
      <c r="E54" s="138" t="s">
        <v>589</v>
      </c>
      <c r="F54" s="117">
        <v>8.9999999999999993E-3</v>
      </c>
      <c r="G54" s="139">
        <v>8.9999999999999993E-3</v>
      </c>
      <c r="H54" s="553"/>
      <c r="I54" s="140">
        <f t="shared" si="1"/>
        <v>0</v>
      </c>
      <c r="J54"/>
      <c r="K54"/>
      <c r="L54"/>
      <c r="M54"/>
    </row>
    <row r="55" spans="1:13" ht="22.5" x14ac:dyDescent="0.2">
      <c r="A55" s="134" t="s">
        <v>473</v>
      </c>
      <c r="B55" s="135" t="s">
        <v>306</v>
      </c>
      <c r="C55" s="141">
        <v>3536</v>
      </c>
      <c r="D55" s="137" t="s">
        <v>732</v>
      </c>
      <c r="E55" s="138" t="s">
        <v>589</v>
      </c>
      <c r="F55" s="117">
        <v>1</v>
      </c>
      <c r="G55" s="139">
        <v>1</v>
      </c>
      <c r="H55" s="553"/>
      <c r="I55" s="140">
        <f t="shared" si="1"/>
        <v>0</v>
      </c>
      <c r="J55"/>
      <c r="K55"/>
      <c r="L55"/>
      <c r="M55"/>
    </row>
    <row r="56" spans="1:13" x14ac:dyDescent="0.2">
      <c r="A56" s="134" t="s">
        <v>473</v>
      </c>
      <c r="B56" s="135" t="s">
        <v>306</v>
      </c>
      <c r="C56" s="141">
        <v>38383</v>
      </c>
      <c r="D56" s="137" t="s">
        <v>748</v>
      </c>
      <c r="E56" s="138" t="s">
        <v>589</v>
      </c>
      <c r="F56" s="117">
        <v>1.7000000000000001E-2</v>
      </c>
      <c r="G56" s="139">
        <v>1.7000000000000001E-2</v>
      </c>
      <c r="H56" s="553"/>
      <c r="I56" s="140">
        <f t="shared" si="1"/>
        <v>0</v>
      </c>
      <c r="J56"/>
      <c r="K56"/>
      <c r="L56"/>
      <c r="M56"/>
    </row>
    <row r="57" spans="1:13" x14ac:dyDescent="0.2">
      <c r="A57" s="134" t="s">
        <v>473</v>
      </c>
      <c r="B57" s="135" t="s">
        <v>306</v>
      </c>
      <c r="C57" s="141">
        <v>20083</v>
      </c>
      <c r="D57" s="137" t="s">
        <v>773</v>
      </c>
      <c r="E57" s="138" t="s">
        <v>589</v>
      </c>
      <c r="F57" s="117">
        <v>1.0999999999999999E-2</v>
      </c>
      <c r="G57" s="139">
        <v>1.0999999999999999E-2</v>
      </c>
      <c r="H57" s="553"/>
      <c r="I57" s="140">
        <f t="shared" si="1"/>
        <v>0</v>
      </c>
      <c r="J57"/>
      <c r="K57"/>
      <c r="L57"/>
      <c r="M57"/>
    </row>
    <row r="58" spans="1:13" x14ac:dyDescent="0.2">
      <c r="A58" s="134" t="s">
        <v>474</v>
      </c>
      <c r="B58" s="135" t="s">
        <v>306</v>
      </c>
      <c r="C58" s="141">
        <v>122</v>
      </c>
      <c r="D58" s="137" t="s">
        <v>667</v>
      </c>
      <c r="E58" s="138" t="s">
        <v>589</v>
      </c>
      <c r="F58" s="117">
        <v>1.2E-2</v>
      </c>
      <c r="G58" s="139">
        <v>4.8000000000000001E-2</v>
      </c>
      <c r="H58" s="553"/>
      <c r="I58" s="140">
        <f t="shared" si="1"/>
        <v>0</v>
      </c>
      <c r="J58"/>
      <c r="K58"/>
      <c r="L58"/>
      <c r="M58"/>
    </row>
    <row r="59" spans="1:13" ht="22.5" x14ac:dyDescent="0.2">
      <c r="A59" s="134" t="s">
        <v>474</v>
      </c>
      <c r="B59" s="135" t="s">
        <v>306</v>
      </c>
      <c r="C59" s="141">
        <v>3535</v>
      </c>
      <c r="D59" s="137" t="s">
        <v>733</v>
      </c>
      <c r="E59" s="138" t="s">
        <v>589</v>
      </c>
      <c r="F59" s="117">
        <v>1</v>
      </c>
      <c r="G59" s="139">
        <v>4</v>
      </c>
      <c r="H59" s="553"/>
      <c r="I59" s="140">
        <f t="shared" si="1"/>
        <v>0</v>
      </c>
      <c r="J59"/>
      <c r="K59"/>
      <c r="L59"/>
      <c r="M59"/>
    </row>
    <row r="60" spans="1:13" x14ac:dyDescent="0.2">
      <c r="A60" s="134" t="s">
        <v>474</v>
      </c>
      <c r="B60" s="135" t="s">
        <v>306</v>
      </c>
      <c r="C60" s="141">
        <v>38383</v>
      </c>
      <c r="D60" s="137" t="s">
        <v>748</v>
      </c>
      <c r="E60" s="138" t="s">
        <v>589</v>
      </c>
      <c r="F60" s="117">
        <v>0.02</v>
      </c>
      <c r="G60" s="139">
        <v>0.08</v>
      </c>
      <c r="H60" s="553"/>
      <c r="I60" s="140">
        <f t="shared" si="1"/>
        <v>0</v>
      </c>
      <c r="J60"/>
      <c r="K60"/>
      <c r="L60"/>
      <c r="M60"/>
    </row>
    <row r="61" spans="1:13" x14ac:dyDescent="0.2">
      <c r="A61" s="134" t="s">
        <v>474</v>
      </c>
      <c r="B61" s="135" t="s">
        <v>306</v>
      </c>
      <c r="C61" s="141">
        <v>20083</v>
      </c>
      <c r="D61" s="137" t="s">
        <v>773</v>
      </c>
      <c r="E61" s="138" t="s">
        <v>589</v>
      </c>
      <c r="F61" s="117">
        <v>1.4E-2</v>
      </c>
      <c r="G61" s="139">
        <v>5.6000000000000001E-2</v>
      </c>
      <c r="H61" s="553"/>
      <c r="I61" s="140">
        <f t="shared" si="1"/>
        <v>0</v>
      </c>
      <c r="J61"/>
      <c r="K61"/>
      <c r="L61"/>
      <c r="M61"/>
    </row>
    <row r="62" spans="1:13" x14ac:dyDescent="0.2">
      <c r="A62" s="134" t="s">
        <v>475</v>
      </c>
      <c r="B62" s="135" t="s">
        <v>306</v>
      </c>
      <c r="C62" s="141">
        <v>122</v>
      </c>
      <c r="D62" s="137" t="s">
        <v>667</v>
      </c>
      <c r="E62" s="138" t="s">
        <v>589</v>
      </c>
      <c r="F62" s="117">
        <v>0.04</v>
      </c>
      <c r="G62" s="139">
        <v>0.04</v>
      </c>
      <c r="H62" s="553"/>
      <c r="I62" s="140">
        <f t="shared" si="1"/>
        <v>0</v>
      </c>
      <c r="J62"/>
      <c r="K62"/>
      <c r="L62"/>
      <c r="M62"/>
    </row>
    <row r="63" spans="1:13" ht="22.5" x14ac:dyDescent="0.2">
      <c r="A63" s="134" t="s">
        <v>475</v>
      </c>
      <c r="B63" s="135" t="s">
        <v>306</v>
      </c>
      <c r="C63" s="141">
        <v>3511</v>
      </c>
      <c r="D63" s="137" t="s">
        <v>735</v>
      </c>
      <c r="E63" s="138" t="s">
        <v>589</v>
      </c>
      <c r="F63" s="117">
        <v>1</v>
      </c>
      <c r="G63" s="139">
        <v>1</v>
      </c>
      <c r="H63" s="553"/>
      <c r="I63" s="140">
        <f t="shared" si="1"/>
        <v>0</v>
      </c>
      <c r="J63"/>
      <c r="K63"/>
      <c r="L63"/>
      <c r="M63"/>
    </row>
    <row r="64" spans="1:13" x14ac:dyDescent="0.2">
      <c r="A64" s="134" t="s">
        <v>475</v>
      </c>
      <c r="B64" s="135" t="s">
        <v>306</v>
      </c>
      <c r="C64" s="141">
        <v>38383</v>
      </c>
      <c r="D64" s="137" t="s">
        <v>748</v>
      </c>
      <c r="E64" s="138" t="s">
        <v>589</v>
      </c>
      <c r="F64" s="117">
        <v>3.5000000000000003E-2</v>
      </c>
      <c r="G64" s="139">
        <v>3.5000000000000003E-2</v>
      </c>
      <c r="H64" s="553"/>
      <c r="I64" s="140">
        <f t="shared" si="1"/>
        <v>0</v>
      </c>
      <c r="J64"/>
      <c r="K64"/>
      <c r="L64"/>
      <c r="M64"/>
    </row>
    <row r="65" spans="1:13" x14ac:dyDescent="0.2">
      <c r="A65" s="134" t="s">
        <v>475</v>
      </c>
      <c r="B65" s="135" t="s">
        <v>306</v>
      </c>
      <c r="C65" s="141">
        <v>20083</v>
      </c>
      <c r="D65" s="137" t="s">
        <v>773</v>
      </c>
      <c r="E65" s="138" t="s">
        <v>589</v>
      </c>
      <c r="F65" s="117">
        <v>5.1999999999999998E-2</v>
      </c>
      <c r="G65" s="139">
        <v>5.1999999999999998E-2</v>
      </c>
      <c r="H65" s="553"/>
      <c r="I65" s="140">
        <f t="shared" si="1"/>
        <v>0</v>
      </c>
      <c r="J65"/>
      <c r="K65"/>
      <c r="L65"/>
      <c r="M65"/>
    </row>
    <row r="66" spans="1:13" x14ac:dyDescent="0.2">
      <c r="A66" s="134" t="s">
        <v>476</v>
      </c>
      <c r="B66" s="135" t="s">
        <v>306</v>
      </c>
      <c r="C66" s="141">
        <v>122</v>
      </c>
      <c r="D66" s="137" t="s">
        <v>667</v>
      </c>
      <c r="E66" s="138" t="s">
        <v>589</v>
      </c>
      <c r="F66" s="117">
        <v>7.0000000000000001E-3</v>
      </c>
      <c r="G66" s="139">
        <v>7.0000000000000001E-3</v>
      </c>
      <c r="H66" s="553"/>
      <c r="I66" s="140">
        <f t="shared" si="1"/>
        <v>0</v>
      </c>
      <c r="J66"/>
      <c r="K66"/>
      <c r="L66"/>
      <c r="M66"/>
    </row>
    <row r="67" spans="1:13" ht="22.5" x14ac:dyDescent="0.2">
      <c r="A67" s="134" t="s">
        <v>476</v>
      </c>
      <c r="B67" s="135" t="s">
        <v>306</v>
      </c>
      <c r="C67" s="141">
        <v>3500</v>
      </c>
      <c r="D67" s="137" t="s">
        <v>734</v>
      </c>
      <c r="E67" s="138" t="s">
        <v>589</v>
      </c>
      <c r="F67" s="117">
        <v>1</v>
      </c>
      <c r="G67" s="139">
        <v>1</v>
      </c>
      <c r="H67" s="553"/>
      <c r="I67" s="140">
        <f t="shared" ref="I67:I130" si="2">IFERROR(H67*G67,"")</f>
        <v>0</v>
      </c>
      <c r="J67"/>
      <c r="K67"/>
      <c r="L67"/>
      <c r="M67"/>
    </row>
    <row r="68" spans="1:13" x14ac:dyDescent="0.2">
      <c r="A68" s="134" t="s">
        <v>476</v>
      </c>
      <c r="B68" s="135" t="s">
        <v>306</v>
      </c>
      <c r="C68" s="141">
        <v>38383</v>
      </c>
      <c r="D68" s="137" t="s">
        <v>748</v>
      </c>
      <c r="E68" s="138" t="s">
        <v>589</v>
      </c>
      <c r="F68" s="117">
        <v>1.2999999999999999E-2</v>
      </c>
      <c r="G68" s="139">
        <v>1.2999999999999999E-2</v>
      </c>
      <c r="H68" s="553"/>
      <c r="I68" s="140">
        <f t="shared" si="2"/>
        <v>0</v>
      </c>
      <c r="J68"/>
      <c r="K68"/>
      <c r="L68"/>
      <c r="M68"/>
    </row>
    <row r="69" spans="1:13" x14ac:dyDescent="0.2">
      <c r="A69" s="134" t="s">
        <v>476</v>
      </c>
      <c r="B69" s="135" t="s">
        <v>306</v>
      </c>
      <c r="C69" s="141">
        <v>20083</v>
      </c>
      <c r="D69" s="137" t="s">
        <v>773</v>
      </c>
      <c r="E69" s="138" t="s">
        <v>589</v>
      </c>
      <c r="F69" s="117">
        <v>8.0000000000000002E-3</v>
      </c>
      <c r="G69" s="139">
        <v>8.0000000000000002E-3</v>
      </c>
      <c r="H69" s="553"/>
      <c r="I69" s="140">
        <f t="shared" si="2"/>
        <v>0</v>
      </c>
      <c r="J69"/>
      <c r="K69"/>
      <c r="L69"/>
      <c r="M69"/>
    </row>
    <row r="70" spans="1:13" x14ac:dyDescent="0.2">
      <c r="A70" s="134" t="s">
        <v>477</v>
      </c>
      <c r="B70" s="135" t="s">
        <v>306</v>
      </c>
      <c r="C70" s="141">
        <v>3143</v>
      </c>
      <c r="D70" s="137" t="s">
        <v>715</v>
      </c>
      <c r="E70" s="138" t="s">
        <v>589</v>
      </c>
      <c r="F70" s="117">
        <v>3.7999999999999999E-2</v>
      </c>
      <c r="G70" s="139">
        <v>3.7999999999999999E-2</v>
      </c>
      <c r="H70" s="553"/>
      <c r="I70" s="140">
        <f t="shared" si="2"/>
        <v>0</v>
      </c>
      <c r="J70"/>
      <c r="K70"/>
      <c r="L70"/>
      <c r="M70"/>
    </row>
    <row r="71" spans="1:13" x14ac:dyDescent="0.2">
      <c r="A71" s="134" t="s">
        <v>477</v>
      </c>
      <c r="B71" s="135" t="s">
        <v>306</v>
      </c>
      <c r="C71" s="141">
        <v>4212</v>
      </c>
      <c r="D71" s="137" t="e">
        <v>#N/A</v>
      </c>
      <c r="E71" s="138" t="e">
        <v>#N/A</v>
      </c>
      <c r="F71" s="117">
        <v>1</v>
      </c>
      <c r="G71" s="139">
        <v>1</v>
      </c>
      <c r="H71" s="553"/>
      <c r="I71" s="140">
        <f t="shared" si="2"/>
        <v>0</v>
      </c>
      <c r="J71"/>
      <c r="K71"/>
      <c r="L71"/>
      <c r="M71"/>
    </row>
    <row r="72" spans="1:13" x14ac:dyDescent="0.2">
      <c r="A72" s="134" t="s">
        <v>478</v>
      </c>
      <c r="B72" s="135" t="s">
        <v>306</v>
      </c>
      <c r="C72" s="141">
        <v>3143</v>
      </c>
      <c r="D72" s="137" t="s">
        <v>715</v>
      </c>
      <c r="E72" s="138" t="s">
        <v>589</v>
      </c>
      <c r="F72" s="117">
        <v>2.4E-2</v>
      </c>
      <c r="G72" s="139">
        <v>4.8000000000000001E-2</v>
      </c>
      <c r="H72" s="553"/>
      <c r="I72" s="140">
        <f t="shared" si="2"/>
        <v>0</v>
      </c>
      <c r="J72"/>
      <c r="K72"/>
      <c r="L72"/>
      <c r="M72"/>
    </row>
    <row r="73" spans="1:13" x14ac:dyDescent="0.2">
      <c r="A73" s="134" t="s">
        <v>478</v>
      </c>
      <c r="B73" s="135" t="s">
        <v>306</v>
      </c>
      <c r="C73" s="141">
        <v>4210</v>
      </c>
      <c r="D73" s="137" t="e">
        <v>#N/A</v>
      </c>
      <c r="E73" s="138" t="e">
        <v>#N/A</v>
      </c>
      <c r="F73" s="117">
        <v>1</v>
      </c>
      <c r="G73" s="139">
        <v>2</v>
      </c>
      <c r="H73" s="553"/>
      <c r="I73" s="140">
        <f t="shared" si="2"/>
        <v>0</v>
      </c>
      <c r="J73"/>
      <c r="K73"/>
      <c r="L73"/>
      <c r="M73"/>
    </row>
    <row r="74" spans="1:13" ht="22.5" x14ac:dyDescent="0.2">
      <c r="A74" s="134" t="s">
        <v>479</v>
      </c>
      <c r="B74" s="135" t="s">
        <v>306</v>
      </c>
      <c r="C74" s="141">
        <v>298</v>
      </c>
      <c r="D74" s="137" t="s">
        <v>673</v>
      </c>
      <c r="E74" s="138" t="s">
        <v>589</v>
      </c>
      <c r="F74" s="117">
        <v>1</v>
      </c>
      <c r="G74" s="139">
        <v>1</v>
      </c>
      <c r="H74" s="553"/>
      <c r="I74" s="140">
        <f t="shared" si="2"/>
        <v>0</v>
      </c>
      <c r="J74"/>
      <c r="K74"/>
      <c r="L74"/>
      <c r="M74"/>
    </row>
    <row r="75" spans="1:13" ht="22.5" x14ac:dyDescent="0.2">
      <c r="A75" s="134" t="s">
        <v>479</v>
      </c>
      <c r="B75" s="135" t="s">
        <v>306</v>
      </c>
      <c r="C75" s="141">
        <v>20078</v>
      </c>
      <c r="D75" s="137" t="s">
        <v>765</v>
      </c>
      <c r="E75" s="138" t="s">
        <v>589</v>
      </c>
      <c r="F75" s="117">
        <v>0.03</v>
      </c>
      <c r="G75" s="139">
        <v>0.03</v>
      </c>
      <c r="H75" s="553"/>
      <c r="I75" s="140">
        <f t="shared" si="2"/>
        <v>0</v>
      </c>
      <c r="J75"/>
      <c r="K75"/>
      <c r="L75"/>
      <c r="M75"/>
    </row>
    <row r="76" spans="1:13" x14ac:dyDescent="0.2">
      <c r="A76" s="134" t="s">
        <v>479</v>
      </c>
      <c r="B76" s="135" t="s">
        <v>306</v>
      </c>
      <c r="C76" s="141">
        <v>20045</v>
      </c>
      <c r="D76" s="137" t="s">
        <v>770</v>
      </c>
      <c r="E76" s="138" t="s">
        <v>589</v>
      </c>
      <c r="F76" s="117">
        <v>1</v>
      </c>
      <c r="G76" s="139">
        <v>1</v>
      </c>
      <c r="H76" s="553"/>
      <c r="I76" s="140">
        <f t="shared" si="2"/>
        <v>0</v>
      </c>
      <c r="J76"/>
      <c r="K76"/>
      <c r="L76"/>
      <c r="M76"/>
    </row>
    <row r="77" spans="1:13" x14ac:dyDescent="0.2">
      <c r="A77" s="134" t="s">
        <v>480</v>
      </c>
      <c r="B77" s="135" t="s">
        <v>306</v>
      </c>
      <c r="C77" s="141">
        <v>122</v>
      </c>
      <c r="D77" s="137" t="s">
        <v>667</v>
      </c>
      <c r="E77" s="138" t="s">
        <v>589</v>
      </c>
      <c r="F77" s="117">
        <v>2.4E-2</v>
      </c>
      <c r="G77" s="139">
        <v>2.4E-2</v>
      </c>
      <c r="H77" s="553"/>
      <c r="I77" s="140">
        <f t="shared" si="2"/>
        <v>0</v>
      </c>
      <c r="J77"/>
      <c r="K77"/>
      <c r="L77"/>
      <c r="M77"/>
    </row>
    <row r="78" spans="1:13" x14ac:dyDescent="0.2">
      <c r="A78" s="134" t="s">
        <v>480</v>
      </c>
      <c r="B78" s="135" t="s">
        <v>306</v>
      </c>
      <c r="C78" s="141">
        <v>38383</v>
      </c>
      <c r="D78" s="137" t="s">
        <v>748</v>
      </c>
      <c r="E78" s="138" t="s">
        <v>589</v>
      </c>
      <c r="F78" s="117">
        <v>2.8000000000000001E-2</v>
      </c>
      <c r="G78" s="139">
        <v>2.8000000000000001E-2</v>
      </c>
      <c r="H78" s="553"/>
      <c r="I78" s="140">
        <f t="shared" si="2"/>
        <v>0</v>
      </c>
      <c r="J78"/>
      <c r="K78"/>
      <c r="L78"/>
      <c r="M78"/>
    </row>
    <row r="79" spans="1:13" ht="22.5" x14ac:dyDescent="0.2">
      <c r="A79" s="134" t="s">
        <v>480</v>
      </c>
      <c r="B79" s="135" t="s">
        <v>306</v>
      </c>
      <c r="C79" s="141">
        <v>3850</v>
      </c>
      <c r="D79" s="137" t="s">
        <v>760</v>
      </c>
      <c r="E79" s="138" t="s">
        <v>589</v>
      </c>
      <c r="F79" s="117">
        <v>1</v>
      </c>
      <c r="G79" s="139">
        <v>1</v>
      </c>
      <c r="H79" s="553"/>
      <c r="I79" s="140">
        <f t="shared" si="2"/>
        <v>0</v>
      </c>
      <c r="J79"/>
      <c r="K79"/>
      <c r="L79"/>
      <c r="M79"/>
    </row>
    <row r="80" spans="1:13" x14ac:dyDescent="0.2">
      <c r="A80" s="134" t="s">
        <v>480</v>
      </c>
      <c r="B80" s="135" t="s">
        <v>306</v>
      </c>
      <c r="C80" s="141">
        <v>20083</v>
      </c>
      <c r="D80" s="137" t="s">
        <v>773</v>
      </c>
      <c r="E80" s="138" t="s">
        <v>589</v>
      </c>
      <c r="F80" s="117">
        <v>0.03</v>
      </c>
      <c r="G80" s="139">
        <v>0.03</v>
      </c>
      <c r="H80" s="553"/>
      <c r="I80" s="140">
        <f t="shared" si="2"/>
        <v>0</v>
      </c>
      <c r="J80"/>
      <c r="K80"/>
      <c r="L80"/>
      <c r="M80"/>
    </row>
    <row r="81" spans="1:13" x14ac:dyDescent="0.2">
      <c r="A81" s="134" t="s">
        <v>481</v>
      </c>
      <c r="B81" s="135" t="s">
        <v>306</v>
      </c>
      <c r="C81" s="141">
        <v>122</v>
      </c>
      <c r="D81" s="137" t="s">
        <v>667</v>
      </c>
      <c r="E81" s="138" t="s">
        <v>589</v>
      </c>
      <c r="F81" s="117">
        <v>1.7999999999999999E-2</v>
      </c>
      <c r="G81" s="139">
        <v>1.7999999999999999E-2</v>
      </c>
      <c r="H81" s="553"/>
      <c r="I81" s="140">
        <f t="shared" si="2"/>
        <v>0</v>
      </c>
      <c r="J81"/>
      <c r="K81"/>
      <c r="L81"/>
      <c r="M81"/>
    </row>
    <row r="82" spans="1:13" x14ac:dyDescent="0.2">
      <c r="A82" s="134" t="s">
        <v>481</v>
      </c>
      <c r="B82" s="135" t="s">
        <v>306</v>
      </c>
      <c r="C82" s="141">
        <v>38383</v>
      </c>
      <c r="D82" s="137" t="s">
        <v>748</v>
      </c>
      <c r="E82" s="138" t="s">
        <v>589</v>
      </c>
      <c r="F82" s="117">
        <v>2.4E-2</v>
      </c>
      <c r="G82" s="139">
        <v>2.4E-2</v>
      </c>
      <c r="H82" s="553"/>
      <c r="I82" s="140">
        <f t="shared" si="2"/>
        <v>0</v>
      </c>
      <c r="J82"/>
      <c r="K82"/>
      <c r="L82"/>
      <c r="M82"/>
    </row>
    <row r="83" spans="1:13" x14ac:dyDescent="0.2">
      <c r="A83" s="134" t="s">
        <v>481</v>
      </c>
      <c r="B83" s="135" t="s">
        <v>306</v>
      </c>
      <c r="C83" s="141">
        <v>38023</v>
      </c>
      <c r="D83" s="137" t="s">
        <v>761</v>
      </c>
      <c r="E83" s="138" t="s">
        <v>589</v>
      </c>
      <c r="F83" s="117">
        <v>1</v>
      </c>
      <c r="G83" s="139">
        <v>1</v>
      </c>
      <c r="H83" s="553"/>
      <c r="I83" s="140">
        <f t="shared" si="2"/>
        <v>0</v>
      </c>
      <c r="J83"/>
      <c r="K83"/>
      <c r="L83"/>
      <c r="M83"/>
    </row>
    <row r="84" spans="1:13" x14ac:dyDescent="0.2">
      <c r="A84" s="134" t="s">
        <v>481</v>
      </c>
      <c r="B84" s="135" t="s">
        <v>306</v>
      </c>
      <c r="C84" s="141">
        <v>20083</v>
      </c>
      <c r="D84" s="137" t="s">
        <v>773</v>
      </c>
      <c r="E84" s="138" t="s">
        <v>589</v>
      </c>
      <c r="F84" s="117">
        <v>2.1999999999999999E-2</v>
      </c>
      <c r="G84" s="139">
        <v>2.1999999999999999E-2</v>
      </c>
      <c r="H84" s="553"/>
      <c r="I84" s="140">
        <f t="shared" si="2"/>
        <v>0</v>
      </c>
      <c r="J84"/>
      <c r="K84"/>
      <c r="L84"/>
      <c r="M84"/>
    </row>
    <row r="85" spans="1:13" x14ac:dyDescent="0.2">
      <c r="A85" s="134" t="s">
        <v>482</v>
      </c>
      <c r="B85" s="135" t="s">
        <v>306</v>
      </c>
      <c r="C85" s="141">
        <v>122</v>
      </c>
      <c r="D85" s="137" t="s">
        <v>667</v>
      </c>
      <c r="E85" s="138" t="s">
        <v>589</v>
      </c>
      <c r="F85" s="117">
        <v>1.2E-2</v>
      </c>
      <c r="G85" s="139">
        <v>2.4E-2</v>
      </c>
      <c r="H85" s="553"/>
      <c r="I85" s="140">
        <f t="shared" si="2"/>
        <v>0</v>
      </c>
      <c r="J85"/>
      <c r="K85"/>
      <c r="L85"/>
      <c r="M85"/>
    </row>
    <row r="86" spans="1:13" ht="22.5" x14ac:dyDescent="0.2">
      <c r="A86" s="134" t="s">
        <v>482</v>
      </c>
      <c r="B86" s="135" t="s">
        <v>306</v>
      </c>
      <c r="C86" s="141">
        <v>3872</v>
      </c>
      <c r="D86" s="137" t="s">
        <v>759</v>
      </c>
      <c r="E86" s="138" t="s">
        <v>589</v>
      </c>
      <c r="F86" s="117">
        <v>1</v>
      </c>
      <c r="G86" s="139">
        <v>2</v>
      </c>
      <c r="H86" s="553"/>
      <c r="I86" s="140">
        <f t="shared" si="2"/>
        <v>0</v>
      </c>
      <c r="J86"/>
      <c r="K86"/>
      <c r="L86"/>
      <c r="M86"/>
    </row>
    <row r="87" spans="1:13" x14ac:dyDescent="0.2">
      <c r="A87" s="134" t="s">
        <v>482</v>
      </c>
      <c r="B87" s="135" t="s">
        <v>306</v>
      </c>
      <c r="C87" s="141">
        <v>38383</v>
      </c>
      <c r="D87" s="137" t="s">
        <v>748</v>
      </c>
      <c r="E87" s="138" t="s">
        <v>589</v>
      </c>
      <c r="F87" s="117">
        <v>0.02</v>
      </c>
      <c r="G87" s="139">
        <v>0.04</v>
      </c>
      <c r="H87" s="553"/>
      <c r="I87" s="140">
        <f t="shared" si="2"/>
        <v>0</v>
      </c>
      <c r="J87"/>
      <c r="K87"/>
      <c r="L87"/>
      <c r="M87"/>
    </row>
    <row r="88" spans="1:13" x14ac:dyDescent="0.2">
      <c r="A88" s="134" t="s">
        <v>482</v>
      </c>
      <c r="B88" s="135" t="s">
        <v>306</v>
      </c>
      <c r="C88" s="141">
        <v>20083</v>
      </c>
      <c r="D88" s="137" t="s">
        <v>773</v>
      </c>
      <c r="E88" s="138" t="s">
        <v>589</v>
      </c>
      <c r="F88" s="117">
        <v>1.4E-2</v>
      </c>
      <c r="G88" s="139">
        <v>2.8000000000000001E-2</v>
      </c>
      <c r="H88" s="553"/>
      <c r="I88" s="140">
        <f t="shared" si="2"/>
        <v>0</v>
      </c>
      <c r="J88"/>
      <c r="K88"/>
      <c r="L88"/>
      <c r="M88"/>
    </row>
    <row r="89" spans="1:13" x14ac:dyDescent="0.2">
      <c r="A89" s="134" t="s">
        <v>483</v>
      </c>
      <c r="B89" s="135" t="s">
        <v>306</v>
      </c>
      <c r="C89" s="141">
        <v>122</v>
      </c>
      <c r="D89" s="137" t="s">
        <v>667</v>
      </c>
      <c r="E89" s="138" t="s">
        <v>589</v>
      </c>
      <c r="F89" s="117">
        <v>7.0000000000000001E-3</v>
      </c>
      <c r="G89" s="139">
        <v>1.4E-2</v>
      </c>
      <c r="H89" s="553"/>
      <c r="I89" s="140">
        <f t="shared" si="2"/>
        <v>0</v>
      </c>
      <c r="J89"/>
      <c r="K89"/>
      <c r="L89"/>
      <c r="M89"/>
    </row>
    <row r="90" spans="1:13" ht="22.5" x14ac:dyDescent="0.2">
      <c r="A90" s="134" t="s">
        <v>483</v>
      </c>
      <c r="B90" s="135" t="s">
        <v>306</v>
      </c>
      <c r="C90" s="141">
        <v>3869</v>
      </c>
      <c r="D90" s="137" t="s">
        <v>758</v>
      </c>
      <c r="E90" s="138" t="s">
        <v>589</v>
      </c>
      <c r="F90" s="117">
        <v>1</v>
      </c>
      <c r="G90" s="139">
        <v>2</v>
      </c>
      <c r="H90" s="553"/>
      <c r="I90" s="140">
        <f t="shared" si="2"/>
        <v>0</v>
      </c>
      <c r="J90"/>
      <c r="K90"/>
      <c r="L90"/>
      <c r="M90"/>
    </row>
    <row r="91" spans="1:13" x14ac:dyDescent="0.2">
      <c r="A91" s="134" t="s">
        <v>483</v>
      </c>
      <c r="B91" s="135" t="s">
        <v>306</v>
      </c>
      <c r="C91" s="141">
        <v>38383</v>
      </c>
      <c r="D91" s="137" t="s">
        <v>748</v>
      </c>
      <c r="E91" s="138" t="s">
        <v>589</v>
      </c>
      <c r="F91" s="117">
        <v>1.2999999999999999E-2</v>
      </c>
      <c r="G91" s="139">
        <v>2.5999999999999999E-2</v>
      </c>
      <c r="H91" s="553"/>
      <c r="I91" s="140">
        <f t="shared" si="2"/>
        <v>0</v>
      </c>
      <c r="J91"/>
      <c r="K91"/>
      <c r="L91"/>
      <c r="M91"/>
    </row>
    <row r="92" spans="1:13" x14ac:dyDescent="0.2">
      <c r="A92" s="134" t="s">
        <v>483</v>
      </c>
      <c r="B92" s="135" t="s">
        <v>306</v>
      </c>
      <c r="C92" s="141">
        <v>20083</v>
      </c>
      <c r="D92" s="137" t="s">
        <v>773</v>
      </c>
      <c r="E92" s="138" t="s">
        <v>589</v>
      </c>
      <c r="F92" s="117">
        <v>8.0000000000000002E-3</v>
      </c>
      <c r="G92" s="139">
        <v>1.6E-2</v>
      </c>
      <c r="H92" s="553"/>
      <c r="I92" s="140">
        <f t="shared" si="2"/>
        <v>0</v>
      </c>
      <c r="J92"/>
      <c r="K92"/>
      <c r="L92"/>
      <c r="M92"/>
    </row>
    <row r="93" spans="1:13" ht="22.5" x14ac:dyDescent="0.2">
      <c r="A93" s="134" t="s">
        <v>484</v>
      </c>
      <c r="B93" s="135" t="s">
        <v>306</v>
      </c>
      <c r="C93" s="141">
        <v>97</v>
      </c>
      <c r="D93" s="137" t="s">
        <v>665</v>
      </c>
      <c r="E93" s="138" t="s">
        <v>589</v>
      </c>
      <c r="F93" s="117">
        <v>1</v>
      </c>
      <c r="G93" s="139">
        <v>1</v>
      </c>
      <c r="H93" s="553"/>
      <c r="I93" s="140">
        <f t="shared" si="2"/>
        <v>0</v>
      </c>
      <c r="J93"/>
      <c r="K93"/>
      <c r="L93"/>
      <c r="M93"/>
    </row>
    <row r="94" spans="1:13" x14ac:dyDescent="0.2">
      <c r="A94" s="134" t="s">
        <v>484</v>
      </c>
      <c r="B94" s="135" t="s">
        <v>306</v>
      </c>
      <c r="C94" s="141">
        <v>20080</v>
      </c>
      <c r="D94" s="137" t="s">
        <v>668</v>
      </c>
      <c r="E94" s="138" t="s">
        <v>589</v>
      </c>
      <c r="F94" s="117">
        <v>4.5999999999999999E-2</v>
      </c>
      <c r="G94" s="139">
        <v>4.5999999999999999E-2</v>
      </c>
      <c r="H94" s="553"/>
      <c r="I94" s="140">
        <f t="shared" si="2"/>
        <v>0</v>
      </c>
      <c r="J94"/>
      <c r="K94"/>
      <c r="L94"/>
      <c r="M94"/>
    </row>
    <row r="95" spans="1:13" x14ac:dyDescent="0.2">
      <c r="A95" s="134" t="s">
        <v>484</v>
      </c>
      <c r="B95" s="135" t="s">
        <v>306</v>
      </c>
      <c r="C95" s="141">
        <v>38383</v>
      </c>
      <c r="D95" s="137" t="s">
        <v>748</v>
      </c>
      <c r="E95" s="138" t="s">
        <v>589</v>
      </c>
      <c r="F95" s="117">
        <v>1.4E-2</v>
      </c>
      <c r="G95" s="139">
        <v>1.4E-2</v>
      </c>
      <c r="H95" s="553"/>
      <c r="I95" s="140">
        <f t="shared" si="2"/>
        <v>0</v>
      </c>
      <c r="J95"/>
      <c r="K95"/>
      <c r="L95"/>
      <c r="M95"/>
    </row>
    <row r="96" spans="1:13" x14ac:dyDescent="0.2">
      <c r="A96" s="134" t="s">
        <v>484</v>
      </c>
      <c r="B96" s="135" t="s">
        <v>306</v>
      </c>
      <c r="C96" s="141">
        <v>20083</v>
      </c>
      <c r="D96" s="137" t="s">
        <v>773</v>
      </c>
      <c r="E96" s="138" t="s">
        <v>589</v>
      </c>
      <c r="F96" s="117">
        <v>1.0999999999999999E-2</v>
      </c>
      <c r="G96" s="139">
        <v>1.0999999999999999E-2</v>
      </c>
      <c r="H96" s="553"/>
      <c r="I96" s="140">
        <f t="shared" si="2"/>
        <v>0</v>
      </c>
      <c r="J96"/>
      <c r="K96"/>
      <c r="L96"/>
      <c r="M96"/>
    </row>
    <row r="97" spans="1:13" x14ac:dyDescent="0.2">
      <c r="A97" s="134" t="s">
        <v>485</v>
      </c>
      <c r="B97" s="135" t="s">
        <v>306</v>
      </c>
      <c r="C97" s="141">
        <v>20080</v>
      </c>
      <c r="D97" s="137" t="s">
        <v>668</v>
      </c>
      <c r="E97" s="138" t="s">
        <v>589</v>
      </c>
      <c r="F97" s="117">
        <v>4.5999999999999999E-2</v>
      </c>
      <c r="G97" s="139">
        <v>4.5999999999999999E-2</v>
      </c>
      <c r="H97" s="553"/>
      <c r="I97" s="140">
        <f t="shared" si="2"/>
        <v>0</v>
      </c>
      <c r="J97"/>
      <c r="K97"/>
      <c r="L97"/>
      <c r="M97"/>
    </row>
    <row r="98" spans="1:13" ht="22.5" x14ac:dyDescent="0.2">
      <c r="A98" s="134" t="s">
        <v>485</v>
      </c>
      <c r="B98" s="135" t="s">
        <v>306</v>
      </c>
      <c r="C98" s="141">
        <v>88</v>
      </c>
      <c r="D98" s="137" t="s">
        <v>666</v>
      </c>
      <c r="E98" s="138" t="s">
        <v>589</v>
      </c>
      <c r="F98" s="117">
        <v>1</v>
      </c>
      <c r="G98" s="139">
        <v>1</v>
      </c>
      <c r="H98" s="553"/>
      <c r="I98" s="140">
        <f t="shared" si="2"/>
        <v>0</v>
      </c>
      <c r="J98"/>
      <c r="K98"/>
      <c r="L98"/>
      <c r="M98"/>
    </row>
    <row r="99" spans="1:13" x14ac:dyDescent="0.2">
      <c r="A99" s="134" t="s">
        <v>485</v>
      </c>
      <c r="B99" s="135" t="s">
        <v>306</v>
      </c>
      <c r="C99" s="141">
        <v>38383</v>
      </c>
      <c r="D99" s="137" t="s">
        <v>748</v>
      </c>
      <c r="E99" s="138" t="s">
        <v>589</v>
      </c>
      <c r="F99" s="117">
        <v>2.3E-2</v>
      </c>
      <c r="G99" s="139">
        <v>2.3E-2</v>
      </c>
      <c r="H99" s="553"/>
      <c r="I99" s="140">
        <f t="shared" si="2"/>
        <v>0</v>
      </c>
      <c r="J99"/>
      <c r="K99"/>
      <c r="L99"/>
      <c r="M99"/>
    </row>
    <row r="100" spans="1:13" x14ac:dyDescent="0.2">
      <c r="A100" s="134" t="s">
        <v>485</v>
      </c>
      <c r="B100" s="135" t="s">
        <v>306</v>
      </c>
      <c r="C100" s="141">
        <v>20083</v>
      </c>
      <c r="D100" s="137" t="s">
        <v>773</v>
      </c>
      <c r="E100" s="138" t="s">
        <v>589</v>
      </c>
      <c r="F100" s="117">
        <v>0.01</v>
      </c>
      <c r="G100" s="139">
        <v>0.01</v>
      </c>
      <c r="H100" s="553"/>
      <c r="I100" s="140">
        <f t="shared" si="2"/>
        <v>0</v>
      </c>
      <c r="J100"/>
      <c r="K100"/>
      <c r="L100"/>
      <c r="M100"/>
    </row>
    <row r="101" spans="1:13" x14ac:dyDescent="0.2">
      <c r="A101" s="134" t="s">
        <v>486</v>
      </c>
      <c r="B101" s="135" t="s">
        <v>306</v>
      </c>
      <c r="C101" s="141">
        <v>314</v>
      </c>
      <c r="D101" s="137" t="e">
        <v>#N/A</v>
      </c>
      <c r="E101" s="138" t="e">
        <v>#N/A</v>
      </c>
      <c r="F101" s="117">
        <v>3.1E-2</v>
      </c>
      <c r="G101" s="139">
        <v>6.2E-2</v>
      </c>
      <c r="H101" s="553"/>
      <c r="I101" s="140">
        <f t="shared" si="2"/>
        <v>0</v>
      </c>
      <c r="J101"/>
      <c r="K101"/>
      <c r="L101"/>
      <c r="M101"/>
    </row>
    <row r="102" spans="1:13" ht="22.5" x14ac:dyDescent="0.2">
      <c r="A102" s="134" t="s">
        <v>486</v>
      </c>
      <c r="B102" s="135" t="s">
        <v>306</v>
      </c>
      <c r="C102" s="141">
        <v>7121</v>
      </c>
      <c r="D102" s="137" t="s">
        <v>778</v>
      </c>
      <c r="E102" s="138" t="s">
        <v>589</v>
      </c>
      <c r="F102" s="117">
        <v>1</v>
      </c>
      <c r="G102" s="139">
        <v>2</v>
      </c>
      <c r="H102" s="553"/>
      <c r="I102" s="140">
        <f t="shared" si="2"/>
        <v>0</v>
      </c>
      <c r="J102"/>
      <c r="K102"/>
      <c r="L102"/>
      <c r="M102"/>
    </row>
    <row r="103" spans="1:13" x14ac:dyDescent="0.2">
      <c r="A103" s="134" t="s">
        <v>487</v>
      </c>
      <c r="B103" s="135" t="s">
        <v>306</v>
      </c>
      <c r="C103" s="141">
        <v>3146</v>
      </c>
      <c r="D103" s="137" t="s">
        <v>714</v>
      </c>
      <c r="E103" s="138" t="s">
        <v>589</v>
      </c>
      <c r="F103" s="117">
        <v>3.9E-2</v>
      </c>
      <c r="G103" s="139">
        <v>3.9E-2</v>
      </c>
      <c r="H103" s="553"/>
      <c r="I103" s="140">
        <f t="shared" si="2"/>
        <v>0</v>
      </c>
      <c r="J103"/>
      <c r="K103"/>
      <c r="L103"/>
      <c r="M103"/>
    </row>
    <row r="104" spans="1:13" ht="22.5" x14ac:dyDescent="0.2">
      <c r="A104" s="134" t="s">
        <v>487</v>
      </c>
      <c r="B104" s="135" t="s">
        <v>306</v>
      </c>
      <c r="C104" s="141">
        <v>3524</v>
      </c>
      <c r="D104" s="137" t="s">
        <v>724</v>
      </c>
      <c r="E104" s="138" t="s">
        <v>589</v>
      </c>
      <c r="F104" s="117">
        <v>1</v>
      </c>
      <c r="G104" s="139">
        <v>1</v>
      </c>
      <c r="H104" s="553"/>
      <c r="I104" s="140">
        <f t="shared" si="2"/>
        <v>0</v>
      </c>
      <c r="J104"/>
      <c r="K104"/>
      <c r="L104"/>
      <c r="M104"/>
    </row>
    <row r="105" spans="1:13" x14ac:dyDescent="0.2">
      <c r="A105" s="134" t="s">
        <v>488</v>
      </c>
      <c r="B105" s="135" t="s">
        <v>306</v>
      </c>
      <c r="C105" s="141">
        <v>3146</v>
      </c>
      <c r="D105" s="137" t="s">
        <v>714</v>
      </c>
      <c r="E105" s="138" t="s">
        <v>589</v>
      </c>
      <c r="F105" s="117">
        <v>3.1E-2</v>
      </c>
      <c r="G105" s="139">
        <v>0.217</v>
      </c>
      <c r="H105" s="553"/>
      <c r="I105" s="140">
        <f t="shared" si="2"/>
        <v>0</v>
      </c>
      <c r="J105"/>
      <c r="K105"/>
      <c r="L105"/>
      <c r="M105"/>
    </row>
    <row r="106" spans="1:13" ht="22.5" x14ac:dyDescent="0.2">
      <c r="A106" s="134" t="s">
        <v>488</v>
      </c>
      <c r="B106" s="135" t="s">
        <v>306</v>
      </c>
      <c r="C106" s="141">
        <v>3515</v>
      </c>
      <c r="D106" s="137" t="s">
        <v>723</v>
      </c>
      <c r="E106" s="138" t="s">
        <v>589</v>
      </c>
      <c r="F106" s="117">
        <v>1</v>
      </c>
      <c r="G106" s="139">
        <v>7</v>
      </c>
      <c r="H106" s="553"/>
      <c r="I106" s="140">
        <f t="shared" si="2"/>
        <v>0</v>
      </c>
      <c r="J106"/>
      <c r="K106"/>
      <c r="L106"/>
      <c r="M106"/>
    </row>
    <row r="107" spans="1:13" x14ac:dyDescent="0.2">
      <c r="A107" s="134" t="s">
        <v>489</v>
      </c>
      <c r="B107" s="135" t="s">
        <v>306</v>
      </c>
      <c r="C107" s="141">
        <v>3146</v>
      </c>
      <c r="D107" s="137" t="s">
        <v>714</v>
      </c>
      <c r="E107" s="138" t="s">
        <v>589</v>
      </c>
      <c r="F107" s="117">
        <v>0.04</v>
      </c>
      <c r="G107" s="139">
        <v>0.12</v>
      </c>
      <c r="H107" s="553"/>
      <c r="I107" s="140">
        <f t="shared" si="2"/>
        <v>0</v>
      </c>
      <c r="J107"/>
      <c r="K107"/>
      <c r="L107"/>
      <c r="M107"/>
    </row>
    <row r="108" spans="1:13" ht="22.5" x14ac:dyDescent="0.2">
      <c r="A108" s="134" t="s">
        <v>489</v>
      </c>
      <c r="B108" s="135" t="s">
        <v>306</v>
      </c>
      <c r="C108" s="141">
        <v>3522</v>
      </c>
      <c r="D108" s="137" t="s">
        <v>720</v>
      </c>
      <c r="E108" s="138" t="s">
        <v>589</v>
      </c>
      <c r="F108" s="117">
        <v>1</v>
      </c>
      <c r="G108" s="139">
        <v>3</v>
      </c>
      <c r="H108" s="553"/>
      <c r="I108" s="140">
        <f t="shared" si="2"/>
        <v>0</v>
      </c>
      <c r="J108"/>
      <c r="K108"/>
      <c r="L108"/>
      <c r="M108"/>
    </row>
    <row r="109" spans="1:13" x14ac:dyDescent="0.2">
      <c r="A109" s="134" t="s">
        <v>490</v>
      </c>
      <c r="B109" s="135" t="s">
        <v>306</v>
      </c>
      <c r="C109" s="141">
        <v>122</v>
      </c>
      <c r="D109" s="137" t="s">
        <v>667</v>
      </c>
      <c r="E109" s="138" t="s">
        <v>589</v>
      </c>
      <c r="F109" s="117">
        <v>7.0000000000000001E-3</v>
      </c>
      <c r="G109" s="139">
        <v>7.0000000000000001E-3</v>
      </c>
      <c r="H109" s="553"/>
      <c r="I109" s="140">
        <f t="shared" si="2"/>
        <v>0</v>
      </c>
      <c r="J109"/>
      <c r="K109"/>
      <c r="L109"/>
      <c r="M109"/>
    </row>
    <row r="110" spans="1:13" x14ac:dyDescent="0.2">
      <c r="A110" s="134" t="s">
        <v>490</v>
      </c>
      <c r="B110" s="135" t="s">
        <v>306</v>
      </c>
      <c r="C110" s="141">
        <v>38383</v>
      </c>
      <c r="D110" s="137" t="s">
        <v>748</v>
      </c>
      <c r="E110" s="138" t="s">
        <v>589</v>
      </c>
      <c r="F110" s="117">
        <v>1.2999999999999999E-2</v>
      </c>
      <c r="G110" s="139">
        <v>1.2999999999999999E-2</v>
      </c>
      <c r="H110" s="553"/>
      <c r="I110" s="140">
        <f t="shared" si="2"/>
        <v>0</v>
      </c>
      <c r="J110"/>
      <c r="K110"/>
      <c r="L110"/>
      <c r="M110"/>
    </row>
    <row r="111" spans="1:13" x14ac:dyDescent="0.2">
      <c r="A111" s="134" t="s">
        <v>490</v>
      </c>
      <c r="B111" s="135" t="s">
        <v>306</v>
      </c>
      <c r="C111" s="141">
        <v>3906</v>
      </c>
      <c r="D111" s="137" t="s">
        <v>763</v>
      </c>
      <c r="E111" s="138" t="s">
        <v>589</v>
      </c>
      <c r="F111" s="117">
        <v>1</v>
      </c>
      <c r="G111" s="139">
        <v>1</v>
      </c>
      <c r="H111" s="553"/>
      <c r="I111" s="140">
        <f t="shared" si="2"/>
        <v>0</v>
      </c>
      <c r="J111"/>
      <c r="K111"/>
      <c r="L111"/>
      <c r="M111"/>
    </row>
    <row r="112" spans="1:13" x14ac:dyDescent="0.2">
      <c r="A112" s="134" t="s">
        <v>490</v>
      </c>
      <c r="B112" s="135" t="s">
        <v>306</v>
      </c>
      <c r="C112" s="141">
        <v>20083</v>
      </c>
      <c r="D112" s="137" t="s">
        <v>773</v>
      </c>
      <c r="E112" s="138" t="s">
        <v>589</v>
      </c>
      <c r="F112" s="117">
        <v>8.0000000000000002E-3</v>
      </c>
      <c r="G112" s="139">
        <v>8.0000000000000002E-3</v>
      </c>
      <c r="H112" s="553"/>
      <c r="I112" s="140">
        <f t="shared" si="2"/>
        <v>0</v>
      </c>
      <c r="J112"/>
      <c r="K112"/>
      <c r="L112"/>
      <c r="M112"/>
    </row>
    <row r="113" spans="1:13" x14ac:dyDescent="0.2">
      <c r="A113" s="134" t="s">
        <v>491</v>
      </c>
      <c r="B113" s="135" t="s">
        <v>306</v>
      </c>
      <c r="C113" s="141">
        <v>7588</v>
      </c>
      <c r="D113" s="137" t="s">
        <v>674</v>
      </c>
      <c r="E113" s="138" t="s">
        <v>589</v>
      </c>
      <c r="F113" s="117">
        <v>1</v>
      </c>
      <c r="G113" s="139">
        <v>1</v>
      </c>
      <c r="H113" s="553"/>
      <c r="I113" s="140">
        <f t="shared" si="2"/>
        <v>0</v>
      </c>
      <c r="J113"/>
      <c r="K113"/>
      <c r="L113"/>
      <c r="M113"/>
    </row>
    <row r="114" spans="1:13" x14ac:dyDescent="0.2">
      <c r="A114" s="134" t="s">
        <v>492</v>
      </c>
      <c r="B114" s="135" t="s">
        <v>306</v>
      </c>
      <c r="C114" s="141">
        <v>38383</v>
      </c>
      <c r="D114" s="137" t="s">
        <v>748</v>
      </c>
      <c r="E114" s="138" t="s">
        <v>589</v>
      </c>
      <c r="F114" s="117">
        <v>3.2000000000000001E-2</v>
      </c>
      <c r="G114" s="139">
        <v>0.60799999999999998</v>
      </c>
      <c r="H114" s="553"/>
      <c r="I114" s="140">
        <f t="shared" si="2"/>
        <v>0</v>
      </c>
      <c r="J114"/>
      <c r="K114"/>
      <c r="L114"/>
      <c r="M114"/>
    </row>
    <row r="115" spans="1:13" x14ac:dyDescent="0.2">
      <c r="A115" s="134" t="s">
        <v>492</v>
      </c>
      <c r="B115" s="135" t="s">
        <v>306</v>
      </c>
      <c r="C115" s="141">
        <v>9867</v>
      </c>
      <c r="D115" s="137" t="s">
        <v>808</v>
      </c>
      <c r="E115" s="138" t="s">
        <v>664</v>
      </c>
      <c r="F115" s="117">
        <v>1.0609999999999999</v>
      </c>
      <c r="G115" s="139">
        <v>20.158999999999999</v>
      </c>
      <c r="H115" s="553"/>
      <c r="I115" s="140">
        <f t="shared" si="2"/>
        <v>0</v>
      </c>
      <c r="J115"/>
      <c r="K115"/>
      <c r="L115"/>
      <c r="M115"/>
    </row>
    <row r="116" spans="1:13" x14ac:dyDescent="0.2">
      <c r="A116" s="134" t="s">
        <v>493</v>
      </c>
      <c r="B116" s="135" t="s">
        <v>306</v>
      </c>
      <c r="C116" s="141">
        <v>38383</v>
      </c>
      <c r="D116" s="137" t="s">
        <v>748</v>
      </c>
      <c r="E116" s="138" t="s">
        <v>589</v>
      </c>
      <c r="F116" s="117">
        <v>3.7999999999999999E-2</v>
      </c>
      <c r="G116" s="139">
        <v>1.6339999999999999</v>
      </c>
      <c r="H116" s="553"/>
      <c r="I116" s="140">
        <f t="shared" si="2"/>
        <v>0</v>
      </c>
      <c r="J116"/>
      <c r="K116"/>
      <c r="L116"/>
      <c r="M116"/>
    </row>
    <row r="117" spans="1:13" x14ac:dyDescent="0.2">
      <c r="A117" s="134" t="s">
        <v>493</v>
      </c>
      <c r="B117" s="135" t="s">
        <v>306</v>
      </c>
      <c r="C117" s="141">
        <v>9868</v>
      </c>
      <c r="D117" s="137" t="s">
        <v>809</v>
      </c>
      <c r="E117" s="138" t="s">
        <v>664</v>
      </c>
      <c r="F117" s="117">
        <v>1.0609999999999999</v>
      </c>
      <c r="G117" s="139">
        <v>45.622999999999998</v>
      </c>
      <c r="H117" s="553"/>
      <c r="I117" s="140">
        <f t="shared" si="2"/>
        <v>0</v>
      </c>
      <c r="J117"/>
      <c r="K117"/>
      <c r="L117"/>
      <c r="M117"/>
    </row>
    <row r="118" spans="1:13" x14ac:dyDescent="0.2">
      <c r="A118" s="134" t="s">
        <v>494</v>
      </c>
      <c r="B118" s="135" t="s">
        <v>306</v>
      </c>
      <c r="C118" s="141">
        <v>38383</v>
      </c>
      <c r="D118" s="137" t="s">
        <v>748</v>
      </c>
      <c r="E118" s="138" t="s">
        <v>589</v>
      </c>
      <c r="F118" s="117">
        <v>4.4999999999999998E-2</v>
      </c>
      <c r="G118" s="139">
        <v>4.4999999999999998E-2</v>
      </c>
      <c r="H118" s="553"/>
      <c r="I118" s="140">
        <f t="shared" si="2"/>
        <v>0</v>
      </c>
      <c r="J118"/>
      <c r="K118"/>
      <c r="L118"/>
      <c r="M118"/>
    </row>
    <row r="119" spans="1:13" x14ac:dyDescent="0.2">
      <c r="A119" s="134" t="s">
        <v>494</v>
      </c>
      <c r="B119" s="135" t="s">
        <v>306</v>
      </c>
      <c r="C119" s="141">
        <v>9869</v>
      </c>
      <c r="D119" s="137" t="s">
        <v>810</v>
      </c>
      <c r="E119" s="138" t="s">
        <v>664</v>
      </c>
      <c r="F119" s="117">
        <v>1.0609999999999999</v>
      </c>
      <c r="G119" s="139">
        <v>1.0609999999999999</v>
      </c>
      <c r="H119" s="553"/>
      <c r="I119" s="140">
        <f t="shared" si="2"/>
        <v>0</v>
      </c>
      <c r="J119"/>
      <c r="K119"/>
      <c r="L119"/>
      <c r="M119"/>
    </row>
    <row r="120" spans="1:13" x14ac:dyDescent="0.2">
      <c r="A120" s="134" t="s">
        <v>495</v>
      </c>
      <c r="B120" s="135" t="s">
        <v>306</v>
      </c>
      <c r="C120" s="141">
        <v>38383</v>
      </c>
      <c r="D120" s="137" t="s">
        <v>748</v>
      </c>
      <c r="E120" s="138" t="s">
        <v>589</v>
      </c>
      <c r="F120" s="117">
        <v>2.2000000000000002</v>
      </c>
      <c r="G120" s="139">
        <v>17.600000000000001</v>
      </c>
      <c r="H120" s="553"/>
      <c r="I120" s="140">
        <f t="shared" si="2"/>
        <v>0</v>
      </c>
      <c r="J120"/>
      <c r="K120"/>
      <c r="L120"/>
      <c r="M120"/>
    </row>
    <row r="121" spans="1:13" x14ac:dyDescent="0.2">
      <c r="A121" s="134" t="s">
        <v>495</v>
      </c>
      <c r="B121" s="135" t="s">
        <v>306</v>
      </c>
      <c r="C121" s="141">
        <v>9874</v>
      </c>
      <c r="D121" s="137" t="s">
        <v>811</v>
      </c>
      <c r="E121" s="138" t="s">
        <v>664</v>
      </c>
      <c r="F121" s="117">
        <v>1.0609999999999999</v>
      </c>
      <c r="G121" s="139">
        <v>8.4879999999999995</v>
      </c>
      <c r="H121" s="553"/>
      <c r="I121" s="140">
        <f t="shared" si="2"/>
        <v>0</v>
      </c>
      <c r="J121"/>
      <c r="K121"/>
      <c r="L121"/>
      <c r="M121"/>
    </row>
    <row r="122" spans="1:13" x14ac:dyDescent="0.2">
      <c r="A122" s="134" t="s">
        <v>496</v>
      </c>
      <c r="B122" s="135" t="s">
        <v>306</v>
      </c>
      <c r="C122" s="141">
        <v>38383</v>
      </c>
      <c r="D122" s="137" t="s">
        <v>748</v>
      </c>
      <c r="E122" s="138" t="s">
        <v>589</v>
      </c>
      <c r="F122" s="117">
        <v>1.0999999999999999E-2</v>
      </c>
      <c r="G122" s="139">
        <v>7.6999999999999999E-2</v>
      </c>
      <c r="H122" s="553"/>
      <c r="I122" s="140">
        <f t="shared" si="2"/>
        <v>0</v>
      </c>
      <c r="J122"/>
      <c r="K122"/>
      <c r="L122"/>
      <c r="M122"/>
    </row>
    <row r="123" spans="1:13" x14ac:dyDescent="0.2">
      <c r="A123" s="134" t="s">
        <v>496</v>
      </c>
      <c r="B123" s="135" t="s">
        <v>306</v>
      </c>
      <c r="C123" s="141">
        <v>9873</v>
      </c>
      <c r="D123" s="137" t="s">
        <v>812</v>
      </c>
      <c r="E123" s="138" t="s">
        <v>664</v>
      </c>
      <c r="F123" s="117">
        <v>1.0609999999999999</v>
      </c>
      <c r="G123" s="139">
        <v>7.4269999999999996</v>
      </c>
      <c r="H123" s="553"/>
      <c r="I123" s="140">
        <f t="shared" si="2"/>
        <v>0</v>
      </c>
      <c r="J123"/>
      <c r="K123"/>
      <c r="L123"/>
      <c r="M123"/>
    </row>
    <row r="124" spans="1:13" x14ac:dyDescent="0.2">
      <c r="A124" s="134" t="s">
        <v>497</v>
      </c>
      <c r="B124" s="135" t="s">
        <v>306</v>
      </c>
      <c r="C124" s="141">
        <v>38383</v>
      </c>
      <c r="D124" s="137" t="s">
        <v>748</v>
      </c>
      <c r="E124" s="138" t="s">
        <v>589</v>
      </c>
      <c r="F124" s="117">
        <v>1.6E-2</v>
      </c>
      <c r="G124" s="139">
        <v>1.6E-2</v>
      </c>
      <c r="H124" s="553"/>
      <c r="I124" s="140">
        <f t="shared" si="2"/>
        <v>0</v>
      </c>
      <c r="J124"/>
      <c r="K124"/>
      <c r="L124"/>
      <c r="M124"/>
    </row>
    <row r="125" spans="1:13" x14ac:dyDescent="0.2">
      <c r="A125" s="134" t="s">
        <v>497</v>
      </c>
      <c r="B125" s="135" t="s">
        <v>306</v>
      </c>
      <c r="C125" s="141">
        <v>9872</v>
      </c>
      <c r="D125" s="137" t="s">
        <v>813</v>
      </c>
      <c r="E125" s="138" t="s">
        <v>664</v>
      </c>
      <c r="F125" s="117">
        <v>1.0609999999999999</v>
      </c>
      <c r="G125" s="139">
        <v>1.0609999999999999</v>
      </c>
      <c r="H125" s="553"/>
      <c r="I125" s="140">
        <f t="shared" si="2"/>
        <v>0</v>
      </c>
      <c r="J125"/>
      <c r="K125"/>
      <c r="L125"/>
      <c r="M125"/>
    </row>
    <row r="126" spans="1:13" x14ac:dyDescent="0.2">
      <c r="A126" s="134" t="s">
        <v>498</v>
      </c>
      <c r="B126" s="135" t="s">
        <v>306</v>
      </c>
      <c r="C126" s="141">
        <v>122</v>
      </c>
      <c r="D126" s="137" t="s">
        <v>667</v>
      </c>
      <c r="E126" s="138" t="s">
        <v>589</v>
      </c>
      <c r="F126" s="117">
        <v>7.0000000000000001E-3</v>
      </c>
      <c r="G126" s="139">
        <v>7.0000000000000001E-3</v>
      </c>
      <c r="H126" s="553"/>
      <c r="I126" s="140">
        <f t="shared" si="2"/>
        <v>0</v>
      </c>
      <c r="J126"/>
      <c r="K126"/>
      <c r="L126"/>
      <c r="M126"/>
    </row>
    <row r="127" spans="1:13" x14ac:dyDescent="0.2">
      <c r="A127" s="134" t="s">
        <v>498</v>
      </c>
      <c r="B127" s="135" t="s">
        <v>306</v>
      </c>
      <c r="C127" s="141">
        <v>12909</v>
      </c>
      <c r="D127" s="137" t="s">
        <v>692</v>
      </c>
      <c r="E127" s="138" t="s">
        <v>589</v>
      </c>
      <c r="F127" s="117">
        <v>1</v>
      </c>
      <c r="G127" s="139">
        <v>1</v>
      </c>
      <c r="H127" s="553"/>
      <c r="I127" s="140">
        <f t="shared" si="2"/>
        <v>0</v>
      </c>
      <c r="J127"/>
      <c r="K127"/>
      <c r="L127"/>
      <c r="M127"/>
    </row>
    <row r="128" spans="1:13" x14ac:dyDescent="0.2">
      <c r="A128" s="134" t="s">
        <v>498</v>
      </c>
      <c r="B128" s="135" t="s">
        <v>306</v>
      </c>
      <c r="C128" s="141">
        <v>20083</v>
      </c>
      <c r="D128" s="137" t="s">
        <v>773</v>
      </c>
      <c r="E128" s="138" t="s">
        <v>589</v>
      </c>
      <c r="F128" s="117">
        <v>5.0000000000000001E-3</v>
      </c>
      <c r="G128" s="139">
        <v>5.0000000000000001E-3</v>
      </c>
      <c r="H128" s="553"/>
      <c r="I128" s="140">
        <f t="shared" si="2"/>
        <v>0</v>
      </c>
      <c r="J128"/>
      <c r="K128"/>
      <c r="L128"/>
      <c r="M128"/>
    </row>
    <row r="129" spans="1:13" x14ac:dyDescent="0.2">
      <c r="A129" s="134" t="s">
        <v>499</v>
      </c>
      <c r="B129" s="135" t="s">
        <v>306</v>
      </c>
      <c r="C129" s="141">
        <v>122</v>
      </c>
      <c r="D129" s="137" t="s">
        <v>667</v>
      </c>
      <c r="E129" s="138" t="s">
        <v>589</v>
      </c>
      <c r="F129" s="117">
        <v>1.2E-2</v>
      </c>
      <c r="G129" s="139">
        <v>1.2E-2</v>
      </c>
      <c r="H129" s="553"/>
      <c r="I129" s="140">
        <f t="shared" si="2"/>
        <v>0</v>
      </c>
      <c r="J129"/>
      <c r="K129"/>
      <c r="L129"/>
      <c r="M129"/>
    </row>
    <row r="130" spans="1:13" x14ac:dyDescent="0.2">
      <c r="A130" s="134" t="s">
        <v>499</v>
      </c>
      <c r="B130" s="135" t="s">
        <v>306</v>
      </c>
      <c r="C130" s="141">
        <v>12910</v>
      </c>
      <c r="D130" s="137" t="s">
        <v>693</v>
      </c>
      <c r="E130" s="138" t="s">
        <v>589</v>
      </c>
      <c r="F130" s="117">
        <v>1</v>
      </c>
      <c r="G130" s="139">
        <v>1</v>
      </c>
      <c r="H130" s="553"/>
      <c r="I130" s="140">
        <f t="shared" si="2"/>
        <v>0</v>
      </c>
      <c r="J130"/>
      <c r="K130"/>
      <c r="L130"/>
      <c r="M130"/>
    </row>
    <row r="131" spans="1:13" x14ac:dyDescent="0.2">
      <c r="A131" s="134" t="s">
        <v>499</v>
      </c>
      <c r="B131" s="135" t="s">
        <v>306</v>
      </c>
      <c r="C131" s="141">
        <v>20083</v>
      </c>
      <c r="D131" s="137" t="s">
        <v>773</v>
      </c>
      <c r="E131" s="138" t="s">
        <v>589</v>
      </c>
      <c r="F131" s="117">
        <v>0.01</v>
      </c>
      <c r="G131" s="139">
        <v>0.01</v>
      </c>
      <c r="H131" s="553"/>
      <c r="I131" s="140">
        <f t="shared" ref="I131:I194" si="3">IFERROR(H131*G131,"")</f>
        <v>0</v>
      </c>
      <c r="J131"/>
      <c r="K131"/>
      <c r="L131"/>
      <c r="M131"/>
    </row>
    <row r="132" spans="1:13" x14ac:dyDescent="0.2">
      <c r="A132" s="134" t="s">
        <v>500</v>
      </c>
      <c r="B132" s="135" t="s">
        <v>306</v>
      </c>
      <c r="C132" s="141">
        <v>301</v>
      </c>
      <c r="D132" s="137" t="s">
        <v>669</v>
      </c>
      <c r="E132" s="138" t="s">
        <v>589</v>
      </c>
      <c r="F132" s="117">
        <v>2</v>
      </c>
      <c r="G132" s="139">
        <v>2</v>
      </c>
      <c r="H132" s="553"/>
      <c r="I132" s="140">
        <f t="shared" si="3"/>
        <v>0</v>
      </c>
      <c r="J132"/>
      <c r="K132"/>
      <c r="L132"/>
      <c r="M132"/>
    </row>
    <row r="133" spans="1:13" ht="22.5" x14ac:dyDescent="0.2">
      <c r="A133" s="134" t="s">
        <v>500</v>
      </c>
      <c r="B133" s="135" t="s">
        <v>306</v>
      </c>
      <c r="C133" s="141">
        <v>20078</v>
      </c>
      <c r="D133" s="137" t="s">
        <v>765</v>
      </c>
      <c r="E133" s="138" t="s">
        <v>589</v>
      </c>
      <c r="F133" s="117">
        <v>9.1999999999999998E-2</v>
      </c>
      <c r="G133" s="139">
        <v>9.1999999999999998E-2</v>
      </c>
      <c r="H133" s="553"/>
      <c r="I133" s="140">
        <f t="shared" si="3"/>
        <v>0</v>
      </c>
      <c r="J133"/>
      <c r="K133"/>
      <c r="L133"/>
      <c r="M133"/>
    </row>
    <row r="134" spans="1:13" ht="22.5" x14ac:dyDescent="0.2">
      <c r="A134" s="134" t="s">
        <v>500</v>
      </c>
      <c r="B134" s="135" t="s">
        <v>306</v>
      </c>
      <c r="C134" s="141">
        <v>7091</v>
      </c>
      <c r="D134" s="137" t="s">
        <v>779</v>
      </c>
      <c r="E134" s="138" t="s">
        <v>589</v>
      </c>
      <c r="F134" s="117">
        <v>1</v>
      </c>
      <c r="G134" s="139">
        <v>1</v>
      </c>
      <c r="H134" s="553"/>
      <c r="I134" s="140">
        <f t="shared" si="3"/>
        <v>0</v>
      </c>
      <c r="J134"/>
      <c r="K134"/>
      <c r="L134"/>
      <c r="M134"/>
    </row>
    <row r="135" spans="1:13" x14ac:dyDescent="0.2">
      <c r="A135" s="134" t="s">
        <v>501</v>
      </c>
      <c r="B135" s="135" t="s">
        <v>306</v>
      </c>
      <c r="C135" s="141">
        <v>301</v>
      </c>
      <c r="D135" s="137" t="s">
        <v>669</v>
      </c>
      <c r="E135" s="138" t="s">
        <v>589</v>
      </c>
      <c r="F135" s="117">
        <v>1</v>
      </c>
      <c r="G135" s="139">
        <v>1</v>
      </c>
      <c r="H135" s="553"/>
      <c r="I135" s="140">
        <f t="shared" si="3"/>
        <v>0</v>
      </c>
      <c r="J135"/>
      <c r="K135"/>
      <c r="L135"/>
      <c r="M135"/>
    </row>
    <row r="136" spans="1:13" ht="22.5" x14ac:dyDescent="0.2">
      <c r="A136" s="134" t="s">
        <v>501</v>
      </c>
      <c r="B136" s="135" t="s">
        <v>306</v>
      </c>
      <c r="C136" s="141">
        <v>298</v>
      </c>
      <c r="D136" s="137" t="s">
        <v>673</v>
      </c>
      <c r="E136" s="138" t="s">
        <v>589</v>
      </c>
      <c r="F136" s="117">
        <v>1</v>
      </c>
      <c r="G136" s="139">
        <v>1</v>
      </c>
      <c r="H136" s="553"/>
      <c r="I136" s="140">
        <f t="shared" si="3"/>
        <v>0</v>
      </c>
      <c r="J136"/>
      <c r="K136"/>
      <c r="L136"/>
      <c r="M136"/>
    </row>
    <row r="137" spans="1:13" ht="22.5" x14ac:dyDescent="0.2">
      <c r="A137" s="134" t="s">
        <v>501</v>
      </c>
      <c r="B137" s="135" t="s">
        <v>306</v>
      </c>
      <c r="C137" s="141">
        <v>20078</v>
      </c>
      <c r="D137" s="137" t="s">
        <v>765</v>
      </c>
      <c r="E137" s="138" t="s">
        <v>589</v>
      </c>
      <c r="F137" s="117">
        <v>9.1999999999999998E-2</v>
      </c>
      <c r="G137" s="139">
        <v>9.1999999999999998E-2</v>
      </c>
      <c r="H137" s="553"/>
      <c r="I137" s="140">
        <f t="shared" si="3"/>
        <v>0</v>
      </c>
      <c r="J137"/>
      <c r="K137"/>
      <c r="L137"/>
      <c r="M137"/>
    </row>
    <row r="138" spans="1:13" x14ac:dyDescent="0.2">
      <c r="A138" s="134" t="s">
        <v>501</v>
      </c>
      <c r="B138" s="135" t="s">
        <v>306</v>
      </c>
      <c r="C138" s="141">
        <v>20178</v>
      </c>
      <c r="D138" s="137" t="s">
        <v>788</v>
      </c>
      <c r="E138" s="138" t="s">
        <v>589</v>
      </c>
      <c r="F138" s="117">
        <v>1</v>
      </c>
      <c r="G138" s="139">
        <v>1</v>
      </c>
      <c r="H138" s="553"/>
      <c r="I138" s="140">
        <f t="shared" si="3"/>
        <v>0</v>
      </c>
      <c r="J138"/>
      <c r="K138"/>
      <c r="L138"/>
      <c r="M138"/>
    </row>
    <row r="139" spans="1:13" x14ac:dyDescent="0.2">
      <c r="A139" s="134" t="s">
        <v>502</v>
      </c>
      <c r="B139" s="135" t="s">
        <v>306</v>
      </c>
      <c r="C139" s="141">
        <v>296</v>
      </c>
      <c r="D139" s="137" t="s">
        <v>670</v>
      </c>
      <c r="E139" s="138" t="s">
        <v>589</v>
      </c>
      <c r="F139" s="117">
        <v>2</v>
      </c>
      <c r="G139" s="139">
        <v>6</v>
      </c>
      <c r="H139" s="553"/>
      <c r="I139" s="140">
        <f t="shared" si="3"/>
        <v>0</v>
      </c>
      <c r="J139"/>
      <c r="K139"/>
      <c r="L139"/>
      <c r="M139"/>
    </row>
    <row r="140" spans="1:13" ht="22.5" x14ac:dyDescent="0.2">
      <c r="A140" s="134" t="s">
        <v>502</v>
      </c>
      <c r="B140" s="135" t="s">
        <v>306</v>
      </c>
      <c r="C140" s="141">
        <v>20078</v>
      </c>
      <c r="D140" s="137" t="s">
        <v>765</v>
      </c>
      <c r="E140" s="138" t="s">
        <v>589</v>
      </c>
      <c r="F140" s="117">
        <v>0.04</v>
      </c>
      <c r="G140" s="139">
        <v>0.12</v>
      </c>
      <c r="H140" s="553"/>
      <c r="I140" s="140">
        <f t="shared" si="3"/>
        <v>0</v>
      </c>
      <c r="J140"/>
      <c r="K140"/>
      <c r="L140"/>
      <c r="M140"/>
    </row>
    <row r="141" spans="1:13" x14ac:dyDescent="0.2">
      <c r="A141" s="134" t="s">
        <v>502</v>
      </c>
      <c r="B141" s="135" t="s">
        <v>306</v>
      </c>
      <c r="C141" s="141">
        <v>7097</v>
      </c>
      <c r="D141" s="137" t="s">
        <v>780</v>
      </c>
      <c r="E141" s="138" t="s">
        <v>589</v>
      </c>
      <c r="F141" s="117">
        <v>1</v>
      </c>
      <c r="G141" s="139">
        <v>3</v>
      </c>
      <c r="H141" s="553"/>
      <c r="I141" s="140">
        <f t="shared" si="3"/>
        <v>0</v>
      </c>
      <c r="J141"/>
      <c r="K141"/>
      <c r="L141"/>
      <c r="M141"/>
    </row>
    <row r="142" spans="1:13" x14ac:dyDescent="0.2">
      <c r="A142" s="134" t="s">
        <v>503</v>
      </c>
      <c r="B142" s="135" t="s">
        <v>306</v>
      </c>
      <c r="C142" s="141">
        <v>297</v>
      </c>
      <c r="D142" s="137" t="s">
        <v>671</v>
      </c>
      <c r="E142" s="138" t="s">
        <v>589</v>
      </c>
      <c r="F142" s="117">
        <v>2</v>
      </c>
      <c r="G142" s="139">
        <v>2</v>
      </c>
      <c r="H142" s="553"/>
      <c r="I142" s="140">
        <f t="shared" si="3"/>
        <v>0</v>
      </c>
      <c r="J142"/>
      <c r="K142"/>
      <c r="L142"/>
      <c r="M142"/>
    </row>
    <row r="143" spans="1:13" ht="22.5" x14ac:dyDescent="0.2">
      <c r="A143" s="134" t="s">
        <v>503</v>
      </c>
      <c r="B143" s="135" t="s">
        <v>306</v>
      </c>
      <c r="C143" s="141">
        <v>20078</v>
      </c>
      <c r="D143" s="137" t="s">
        <v>765</v>
      </c>
      <c r="E143" s="138" t="s">
        <v>589</v>
      </c>
      <c r="F143" s="117">
        <v>0.06</v>
      </c>
      <c r="G143" s="139">
        <v>0.06</v>
      </c>
      <c r="H143" s="553"/>
      <c r="I143" s="140">
        <f t="shared" si="3"/>
        <v>0</v>
      </c>
      <c r="J143"/>
      <c r="K143"/>
      <c r="L143"/>
      <c r="M143"/>
    </row>
    <row r="144" spans="1:13" x14ac:dyDescent="0.2">
      <c r="A144" s="134" t="s">
        <v>503</v>
      </c>
      <c r="B144" s="135" t="s">
        <v>306</v>
      </c>
      <c r="C144" s="141">
        <v>11658</v>
      </c>
      <c r="D144" s="137" t="s">
        <v>781</v>
      </c>
      <c r="E144" s="138" t="s">
        <v>589</v>
      </c>
      <c r="F144" s="117">
        <v>1</v>
      </c>
      <c r="G144" s="139">
        <v>1</v>
      </c>
      <c r="H144" s="553"/>
      <c r="I144" s="140">
        <f t="shared" si="3"/>
        <v>0</v>
      </c>
      <c r="J144"/>
      <c r="K144"/>
      <c r="L144"/>
      <c r="M144"/>
    </row>
    <row r="145" spans="1:13" x14ac:dyDescent="0.2">
      <c r="A145" s="134" t="s">
        <v>504</v>
      </c>
      <c r="B145" s="135" t="s">
        <v>306</v>
      </c>
      <c r="C145" s="141">
        <v>301</v>
      </c>
      <c r="D145" s="137" t="s">
        <v>669</v>
      </c>
      <c r="E145" s="138" t="s">
        <v>589</v>
      </c>
      <c r="F145" s="117">
        <v>1</v>
      </c>
      <c r="G145" s="139">
        <v>4</v>
      </c>
      <c r="H145" s="553"/>
      <c r="I145" s="140">
        <f t="shared" si="3"/>
        <v>0</v>
      </c>
      <c r="J145"/>
      <c r="K145"/>
      <c r="L145"/>
      <c r="M145"/>
    </row>
    <row r="146" spans="1:13" x14ac:dyDescent="0.2">
      <c r="A146" s="134" t="s">
        <v>504</v>
      </c>
      <c r="B146" s="135" t="s">
        <v>306</v>
      </c>
      <c r="C146" s="141">
        <v>3520</v>
      </c>
      <c r="D146" s="137" t="s">
        <v>727</v>
      </c>
      <c r="E146" s="138" t="s">
        <v>589</v>
      </c>
      <c r="F146" s="117">
        <v>1</v>
      </c>
      <c r="G146" s="139">
        <v>4</v>
      </c>
      <c r="H146" s="553"/>
      <c r="I146" s="140">
        <f t="shared" si="3"/>
        <v>0</v>
      </c>
      <c r="J146"/>
      <c r="K146"/>
      <c r="L146"/>
      <c r="M146"/>
    </row>
    <row r="147" spans="1:13" ht="22.5" x14ac:dyDescent="0.2">
      <c r="A147" s="134" t="s">
        <v>504</v>
      </c>
      <c r="B147" s="135" t="s">
        <v>306</v>
      </c>
      <c r="C147" s="141">
        <v>20078</v>
      </c>
      <c r="D147" s="137" t="s">
        <v>765</v>
      </c>
      <c r="E147" s="138" t="s">
        <v>589</v>
      </c>
      <c r="F147" s="117">
        <v>4.5999999999999999E-2</v>
      </c>
      <c r="G147" s="139">
        <v>0.184</v>
      </c>
      <c r="H147" s="553"/>
      <c r="I147" s="140">
        <f t="shared" si="3"/>
        <v>0</v>
      </c>
      <c r="J147"/>
      <c r="K147"/>
      <c r="L147"/>
      <c r="M147"/>
    </row>
    <row r="148" spans="1:13" x14ac:dyDescent="0.2">
      <c r="A148" s="134" t="s">
        <v>505</v>
      </c>
      <c r="B148" s="135" t="s">
        <v>306</v>
      </c>
      <c r="C148" s="141">
        <v>301</v>
      </c>
      <c r="D148" s="137" t="s">
        <v>669</v>
      </c>
      <c r="E148" s="138" t="s">
        <v>589</v>
      </c>
      <c r="F148" s="117">
        <v>1</v>
      </c>
      <c r="G148" s="139">
        <v>2</v>
      </c>
      <c r="H148" s="553"/>
      <c r="I148" s="140">
        <f t="shared" si="3"/>
        <v>0</v>
      </c>
      <c r="J148"/>
      <c r="K148"/>
      <c r="L148"/>
      <c r="M148"/>
    </row>
    <row r="149" spans="1:13" x14ac:dyDescent="0.2">
      <c r="A149" s="134" t="s">
        <v>505</v>
      </c>
      <c r="B149" s="135" t="s">
        <v>306</v>
      </c>
      <c r="C149" s="141">
        <v>3528</v>
      </c>
      <c r="D149" s="137" t="s">
        <v>725</v>
      </c>
      <c r="E149" s="138" t="s">
        <v>589</v>
      </c>
      <c r="F149" s="117">
        <v>1</v>
      </c>
      <c r="G149" s="139">
        <v>2</v>
      </c>
      <c r="H149" s="553"/>
      <c r="I149" s="140">
        <f t="shared" si="3"/>
        <v>0</v>
      </c>
      <c r="J149"/>
      <c r="K149"/>
      <c r="L149"/>
      <c r="M149"/>
    </row>
    <row r="150" spans="1:13" ht="22.5" x14ac:dyDescent="0.2">
      <c r="A150" s="134" t="s">
        <v>505</v>
      </c>
      <c r="B150" s="135" t="s">
        <v>306</v>
      </c>
      <c r="C150" s="141">
        <v>20078</v>
      </c>
      <c r="D150" s="137" t="s">
        <v>765</v>
      </c>
      <c r="E150" s="138" t="s">
        <v>589</v>
      </c>
      <c r="F150" s="117">
        <v>4.5999999999999999E-2</v>
      </c>
      <c r="G150" s="139">
        <v>9.1999999999999998E-2</v>
      </c>
      <c r="H150" s="553"/>
      <c r="I150" s="140">
        <f t="shared" si="3"/>
        <v>0</v>
      </c>
      <c r="J150"/>
      <c r="K150"/>
      <c r="L150"/>
      <c r="M150"/>
    </row>
    <row r="151" spans="1:13" x14ac:dyDescent="0.2">
      <c r="A151" s="134" t="s">
        <v>506</v>
      </c>
      <c r="B151" s="135" t="s">
        <v>306</v>
      </c>
      <c r="C151" s="141">
        <v>122</v>
      </c>
      <c r="D151" s="137" t="s">
        <v>667</v>
      </c>
      <c r="E151" s="138" t="s">
        <v>589</v>
      </c>
      <c r="F151" s="117">
        <v>9.9000000000000008E-3</v>
      </c>
      <c r="G151" s="139">
        <v>7.9200000000000007E-2</v>
      </c>
      <c r="H151" s="553"/>
      <c r="I151" s="140">
        <f t="shared" si="3"/>
        <v>0</v>
      </c>
      <c r="J151"/>
      <c r="K151"/>
      <c r="L151"/>
      <c r="M151"/>
    </row>
    <row r="152" spans="1:13" ht="22.5" x14ac:dyDescent="0.2">
      <c r="A152" s="134" t="s">
        <v>506</v>
      </c>
      <c r="B152" s="135" t="s">
        <v>306</v>
      </c>
      <c r="C152" s="141">
        <v>3517</v>
      </c>
      <c r="D152" s="137" t="s">
        <v>722</v>
      </c>
      <c r="E152" s="138" t="s">
        <v>589</v>
      </c>
      <c r="F152" s="117">
        <v>1</v>
      </c>
      <c r="G152" s="139">
        <v>8</v>
      </c>
      <c r="H152" s="553"/>
      <c r="I152" s="140">
        <f t="shared" si="3"/>
        <v>0</v>
      </c>
      <c r="J152"/>
      <c r="K152"/>
      <c r="L152"/>
      <c r="M152"/>
    </row>
    <row r="153" spans="1:13" x14ac:dyDescent="0.2">
      <c r="A153" s="134" t="s">
        <v>506</v>
      </c>
      <c r="B153" s="135" t="s">
        <v>306</v>
      </c>
      <c r="C153" s="141">
        <v>38383</v>
      </c>
      <c r="D153" s="137" t="s">
        <v>748</v>
      </c>
      <c r="E153" s="138" t="s">
        <v>589</v>
      </c>
      <c r="F153" s="117">
        <v>2.1000000000000001E-2</v>
      </c>
      <c r="G153" s="139">
        <v>0.16800000000000001</v>
      </c>
      <c r="H153" s="553"/>
      <c r="I153" s="140">
        <f t="shared" si="3"/>
        <v>0</v>
      </c>
      <c r="J153"/>
      <c r="K153"/>
      <c r="L153"/>
      <c r="M153"/>
    </row>
    <row r="154" spans="1:13" x14ac:dyDescent="0.2">
      <c r="A154" s="134" t="s">
        <v>506</v>
      </c>
      <c r="B154" s="135" t="s">
        <v>306</v>
      </c>
      <c r="C154" s="141">
        <v>20083</v>
      </c>
      <c r="D154" s="137" t="s">
        <v>773</v>
      </c>
      <c r="E154" s="138" t="s">
        <v>589</v>
      </c>
      <c r="F154" s="117">
        <v>1.4999999999999999E-2</v>
      </c>
      <c r="G154" s="139">
        <v>0.12</v>
      </c>
      <c r="H154" s="553"/>
      <c r="I154" s="140">
        <f t="shared" si="3"/>
        <v>0</v>
      </c>
      <c r="J154"/>
      <c r="K154"/>
      <c r="L154"/>
      <c r="M154"/>
    </row>
    <row r="155" spans="1:13" x14ac:dyDescent="0.2">
      <c r="A155" s="134" t="s">
        <v>507</v>
      </c>
      <c r="B155" s="135" t="s">
        <v>306</v>
      </c>
      <c r="C155" s="141">
        <v>296</v>
      </c>
      <c r="D155" s="137" t="s">
        <v>670</v>
      </c>
      <c r="E155" s="138" t="s">
        <v>589</v>
      </c>
      <c r="F155" s="117">
        <v>1</v>
      </c>
      <c r="G155" s="139">
        <v>7</v>
      </c>
      <c r="H155" s="553"/>
      <c r="I155" s="140">
        <f t="shared" si="3"/>
        <v>0</v>
      </c>
      <c r="J155"/>
      <c r="K155"/>
      <c r="L155"/>
      <c r="M155"/>
    </row>
    <row r="156" spans="1:13" x14ac:dyDescent="0.2">
      <c r="A156" s="134" t="s">
        <v>507</v>
      </c>
      <c r="B156" s="135" t="s">
        <v>306</v>
      </c>
      <c r="C156" s="141">
        <v>3526</v>
      </c>
      <c r="D156" s="137" t="s">
        <v>728</v>
      </c>
      <c r="E156" s="138" t="s">
        <v>589</v>
      </c>
      <c r="F156" s="117">
        <v>1</v>
      </c>
      <c r="G156" s="139">
        <v>7</v>
      </c>
      <c r="H156" s="553"/>
      <c r="I156" s="140">
        <f t="shared" si="3"/>
        <v>0</v>
      </c>
      <c r="J156"/>
      <c r="K156"/>
      <c r="L156"/>
      <c r="M156"/>
    </row>
    <row r="157" spans="1:13" ht="22.5" x14ac:dyDescent="0.2">
      <c r="A157" s="134" t="s">
        <v>507</v>
      </c>
      <c r="B157" s="135" t="s">
        <v>306</v>
      </c>
      <c r="C157" s="141">
        <v>20078</v>
      </c>
      <c r="D157" s="137" t="s">
        <v>765</v>
      </c>
      <c r="E157" s="138" t="s">
        <v>589</v>
      </c>
      <c r="F157" s="117">
        <v>0.02</v>
      </c>
      <c r="G157" s="139">
        <v>0.14000000000000001</v>
      </c>
      <c r="H157" s="553"/>
      <c r="I157" s="140">
        <f t="shared" si="3"/>
        <v>0</v>
      </c>
      <c r="J157"/>
      <c r="K157"/>
      <c r="L157"/>
      <c r="M157"/>
    </row>
    <row r="158" spans="1:13" x14ac:dyDescent="0.2">
      <c r="A158" s="134" t="s">
        <v>508</v>
      </c>
      <c r="B158" s="135" t="s">
        <v>306</v>
      </c>
      <c r="C158" s="141">
        <v>297</v>
      </c>
      <c r="D158" s="137" t="s">
        <v>671</v>
      </c>
      <c r="E158" s="138" t="s">
        <v>589</v>
      </c>
      <c r="F158" s="117">
        <v>1</v>
      </c>
      <c r="G158" s="139">
        <v>1</v>
      </c>
      <c r="H158" s="553"/>
      <c r="I158" s="140">
        <f t="shared" si="3"/>
        <v>0</v>
      </c>
      <c r="J158"/>
      <c r="K158"/>
      <c r="L158"/>
      <c r="M158"/>
    </row>
    <row r="159" spans="1:13" x14ac:dyDescent="0.2">
      <c r="A159" s="134" t="s">
        <v>508</v>
      </c>
      <c r="B159" s="135" t="s">
        <v>306</v>
      </c>
      <c r="C159" s="141">
        <v>3509</v>
      </c>
      <c r="D159" s="137" t="s">
        <v>729</v>
      </c>
      <c r="E159" s="138" t="s">
        <v>589</v>
      </c>
      <c r="F159" s="117">
        <v>1</v>
      </c>
      <c r="G159" s="139">
        <v>1</v>
      </c>
      <c r="H159" s="553"/>
      <c r="I159" s="140">
        <f t="shared" si="3"/>
        <v>0</v>
      </c>
      <c r="J159"/>
      <c r="K159"/>
      <c r="L159"/>
      <c r="M159"/>
    </row>
    <row r="160" spans="1:13" ht="22.5" x14ac:dyDescent="0.2">
      <c r="A160" s="134" t="s">
        <v>508</v>
      </c>
      <c r="B160" s="135" t="s">
        <v>306</v>
      </c>
      <c r="C160" s="141">
        <v>20078</v>
      </c>
      <c r="D160" s="137" t="s">
        <v>765</v>
      </c>
      <c r="E160" s="138" t="s">
        <v>589</v>
      </c>
      <c r="F160" s="117">
        <v>0.03</v>
      </c>
      <c r="G160" s="139">
        <v>0.03</v>
      </c>
      <c r="H160" s="553"/>
      <c r="I160" s="140">
        <f t="shared" si="3"/>
        <v>0</v>
      </c>
      <c r="J160"/>
      <c r="K160"/>
      <c r="L160"/>
      <c r="M160"/>
    </row>
    <row r="161" spans="1:13" x14ac:dyDescent="0.2">
      <c r="A161" s="134" t="s">
        <v>509</v>
      </c>
      <c r="B161" s="135" t="s">
        <v>306</v>
      </c>
      <c r="C161" s="141">
        <v>122</v>
      </c>
      <c r="D161" s="137" t="s">
        <v>667</v>
      </c>
      <c r="E161" s="138" t="s">
        <v>589</v>
      </c>
      <c r="F161" s="117">
        <v>9.9000000000000008E-3</v>
      </c>
      <c r="G161" s="139">
        <v>1.9800000000000002E-2</v>
      </c>
      <c r="H161" s="553"/>
      <c r="I161" s="140">
        <f t="shared" si="3"/>
        <v>0</v>
      </c>
      <c r="J161"/>
      <c r="K161"/>
      <c r="L161"/>
      <c r="M161"/>
    </row>
    <row r="162" spans="1:13" x14ac:dyDescent="0.2">
      <c r="A162" s="134" t="s">
        <v>509</v>
      </c>
      <c r="B162" s="135" t="s">
        <v>306</v>
      </c>
      <c r="C162" s="141">
        <v>3516</v>
      </c>
      <c r="D162" s="137" t="s">
        <v>721</v>
      </c>
      <c r="E162" s="138" t="s">
        <v>589</v>
      </c>
      <c r="F162" s="117">
        <v>1</v>
      </c>
      <c r="G162" s="139">
        <v>2</v>
      </c>
      <c r="H162" s="553"/>
      <c r="I162" s="140">
        <f t="shared" si="3"/>
        <v>0</v>
      </c>
      <c r="J162"/>
      <c r="K162"/>
      <c r="L162"/>
      <c r="M162"/>
    </row>
    <row r="163" spans="1:13" x14ac:dyDescent="0.2">
      <c r="A163" s="134" t="s">
        <v>509</v>
      </c>
      <c r="B163" s="135" t="s">
        <v>306</v>
      </c>
      <c r="C163" s="141">
        <v>38383</v>
      </c>
      <c r="D163" s="137" t="s">
        <v>748</v>
      </c>
      <c r="E163" s="138" t="s">
        <v>589</v>
      </c>
      <c r="F163" s="117">
        <v>2.1000000000000001E-2</v>
      </c>
      <c r="G163" s="139">
        <v>4.2000000000000003E-2</v>
      </c>
      <c r="H163" s="553"/>
      <c r="I163" s="140">
        <f t="shared" si="3"/>
        <v>0</v>
      </c>
      <c r="J163"/>
      <c r="K163"/>
      <c r="L163"/>
      <c r="M163"/>
    </row>
    <row r="164" spans="1:13" x14ac:dyDescent="0.2">
      <c r="A164" s="134" t="s">
        <v>509</v>
      </c>
      <c r="B164" s="135" t="s">
        <v>306</v>
      </c>
      <c r="C164" s="141">
        <v>20083</v>
      </c>
      <c r="D164" s="137" t="s">
        <v>773</v>
      </c>
      <c r="E164" s="138" t="s">
        <v>589</v>
      </c>
      <c r="F164" s="117">
        <v>1.4999999999999999E-2</v>
      </c>
      <c r="G164" s="139">
        <v>0.03</v>
      </c>
      <c r="H164" s="553"/>
      <c r="I164" s="140">
        <f t="shared" si="3"/>
        <v>0</v>
      </c>
      <c r="J164"/>
      <c r="K164"/>
      <c r="L164"/>
      <c r="M164"/>
    </row>
    <row r="165" spans="1:13" x14ac:dyDescent="0.2">
      <c r="A165" s="134" t="s">
        <v>510</v>
      </c>
      <c r="B165" s="135" t="s">
        <v>306</v>
      </c>
      <c r="C165" s="141">
        <v>296</v>
      </c>
      <c r="D165" s="137" t="s">
        <v>670</v>
      </c>
      <c r="E165" s="138" t="s">
        <v>589</v>
      </c>
      <c r="F165" s="117">
        <v>1</v>
      </c>
      <c r="G165" s="139">
        <v>4</v>
      </c>
      <c r="H165" s="553"/>
      <c r="I165" s="140">
        <f t="shared" si="3"/>
        <v>0</v>
      </c>
      <c r="J165"/>
      <c r="K165"/>
      <c r="L165"/>
      <c r="M165"/>
    </row>
    <row r="166" spans="1:13" x14ac:dyDescent="0.2">
      <c r="A166" s="134" t="s">
        <v>510</v>
      </c>
      <c r="B166" s="135" t="s">
        <v>306</v>
      </c>
      <c r="C166" s="141">
        <v>3518</v>
      </c>
      <c r="D166" s="137" t="s">
        <v>726</v>
      </c>
      <c r="E166" s="138" t="s">
        <v>589</v>
      </c>
      <c r="F166" s="117">
        <v>1</v>
      </c>
      <c r="G166" s="139">
        <v>4</v>
      </c>
      <c r="H166" s="553"/>
      <c r="I166" s="140">
        <f t="shared" si="3"/>
        <v>0</v>
      </c>
      <c r="J166"/>
      <c r="K166"/>
      <c r="L166"/>
      <c r="M166"/>
    </row>
    <row r="167" spans="1:13" ht="22.5" x14ac:dyDescent="0.2">
      <c r="A167" s="134" t="s">
        <v>510</v>
      </c>
      <c r="B167" s="135" t="s">
        <v>306</v>
      </c>
      <c r="C167" s="141">
        <v>20078</v>
      </c>
      <c r="D167" s="137" t="s">
        <v>765</v>
      </c>
      <c r="E167" s="138" t="s">
        <v>589</v>
      </c>
      <c r="F167" s="117">
        <v>0.02</v>
      </c>
      <c r="G167" s="139">
        <v>0.08</v>
      </c>
      <c r="H167" s="553"/>
      <c r="I167" s="140">
        <f t="shared" si="3"/>
        <v>0</v>
      </c>
      <c r="J167"/>
      <c r="K167"/>
      <c r="L167"/>
      <c r="M167"/>
    </row>
    <row r="168" spans="1:13" x14ac:dyDescent="0.2">
      <c r="A168" s="134" t="s">
        <v>511</v>
      </c>
      <c r="B168" s="135" t="s">
        <v>306</v>
      </c>
      <c r="C168" s="141">
        <v>301</v>
      </c>
      <c r="D168" s="137" t="s">
        <v>669</v>
      </c>
      <c r="E168" s="138" t="s">
        <v>589</v>
      </c>
      <c r="F168" s="117">
        <v>2</v>
      </c>
      <c r="G168" s="139">
        <v>4</v>
      </c>
      <c r="H168" s="553"/>
      <c r="I168" s="140">
        <f t="shared" si="3"/>
        <v>0</v>
      </c>
      <c r="J168"/>
      <c r="K168"/>
      <c r="L168"/>
      <c r="M168"/>
    </row>
    <row r="169" spans="1:13" ht="22.5" x14ac:dyDescent="0.2">
      <c r="A169" s="134" t="s">
        <v>511</v>
      </c>
      <c r="B169" s="135" t="s">
        <v>306</v>
      </c>
      <c r="C169" s="141">
        <v>3670</v>
      </c>
      <c r="D169" s="137" t="s">
        <v>737</v>
      </c>
      <c r="E169" s="138" t="s">
        <v>589</v>
      </c>
      <c r="F169" s="117">
        <v>1</v>
      </c>
      <c r="G169" s="139">
        <v>2</v>
      </c>
      <c r="H169" s="553"/>
      <c r="I169" s="140">
        <f t="shared" si="3"/>
        <v>0</v>
      </c>
      <c r="J169"/>
      <c r="K169"/>
      <c r="L169"/>
      <c r="M169"/>
    </row>
    <row r="170" spans="1:13" ht="22.5" x14ac:dyDescent="0.2">
      <c r="A170" s="134" t="s">
        <v>511</v>
      </c>
      <c r="B170" s="135" t="s">
        <v>306</v>
      </c>
      <c r="C170" s="141">
        <v>20078</v>
      </c>
      <c r="D170" s="137" t="s">
        <v>765</v>
      </c>
      <c r="E170" s="138" t="s">
        <v>589</v>
      </c>
      <c r="F170" s="117">
        <v>9.1999999999999998E-2</v>
      </c>
      <c r="G170" s="139">
        <v>0.184</v>
      </c>
      <c r="H170" s="553"/>
      <c r="I170" s="140">
        <f t="shared" si="3"/>
        <v>0</v>
      </c>
      <c r="J170"/>
      <c r="K170"/>
      <c r="L170"/>
      <c r="M170"/>
    </row>
    <row r="171" spans="1:13" x14ac:dyDescent="0.2">
      <c r="A171" s="134" t="s">
        <v>512</v>
      </c>
      <c r="B171" s="135" t="s">
        <v>306</v>
      </c>
      <c r="C171" s="141">
        <v>296</v>
      </c>
      <c r="D171" s="137" t="s">
        <v>670</v>
      </c>
      <c r="E171" s="138" t="s">
        <v>589</v>
      </c>
      <c r="F171" s="117">
        <v>2</v>
      </c>
      <c r="G171" s="139">
        <v>2</v>
      </c>
      <c r="H171" s="553"/>
      <c r="I171" s="140">
        <f t="shared" si="3"/>
        <v>0</v>
      </c>
      <c r="J171"/>
      <c r="K171"/>
      <c r="L171"/>
      <c r="M171"/>
    </row>
    <row r="172" spans="1:13" ht="22.5" x14ac:dyDescent="0.2">
      <c r="A172" s="134" t="s">
        <v>512</v>
      </c>
      <c r="B172" s="135" t="s">
        <v>306</v>
      </c>
      <c r="C172" s="141">
        <v>3662</v>
      </c>
      <c r="D172" s="137" t="s">
        <v>738</v>
      </c>
      <c r="E172" s="138" t="s">
        <v>589</v>
      </c>
      <c r="F172" s="117">
        <v>1</v>
      </c>
      <c r="G172" s="139">
        <v>1</v>
      </c>
      <c r="H172" s="553"/>
      <c r="I172" s="140">
        <f t="shared" si="3"/>
        <v>0</v>
      </c>
      <c r="J172"/>
      <c r="K172"/>
      <c r="L172"/>
      <c r="M172"/>
    </row>
    <row r="173" spans="1:13" ht="22.5" x14ac:dyDescent="0.2">
      <c r="A173" s="134" t="s">
        <v>512</v>
      </c>
      <c r="B173" s="135" t="s">
        <v>306</v>
      </c>
      <c r="C173" s="141">
        <v>20078</v>
      </c>
      <c r="D173" s="137" t="s">
        <v>765</v>
      </c>
      <c r="E173" s="138" t="s">
        <v>589</v>
      </c>
      <c r="F173" s="117">
        <v>0.04</v>
      </c>
      <c r="G173" s="139">
        <v>0.04</v>
      </c>
      <c r="H173" s="553"/>
      <c r="I173" s="140">
        <f t="shared" si="3"/>
        <v>0</v>
      </c>
      <c r="J173"/>
      <c r="K173"/>
      <c r="L173"/>
      <c r="M173"/>
    </row>
    <row r="174" spans="1:13" x14ac:dyDescent="0.2">
      <c r="A174" s="134" t="s">
        <v>513</v>
      </c>
      <c r="B174" s="135" t="s">
        <v>306</v>
      </c>
      <c r="C174" s="141">
        <v>122</v>
      </c>
      <c r="D174" s="137" t="s">
        <v>667</v>
      </c>
      <c r="E174" s="138" t="s">
        <v>589</v>
      </c>
      <c r="F174" s="117">
        <v>6.7599999999999993E-2</v>
      </c>
      <c r="G174" s="139">
        <v>0.20279999999999998</v>
      </c>
      <c r="H174" s="553"/>
      <c r="I174" s="140">
        <f t="shared" si="3"/>
        <v>0</v>
      </c>
      <c r="J174"/>
      <c r="K174"/>
      <c r="L174"/>
      <c r="M174"/>
    </row>
    <row r="175" spans="1:13" ht="22.5" x14ac:dyDescent="0.2">
      <c r="A175" s="134" t="s">
        <v>513</v>
      </c>
      <c r="B175" s="135" t="s">
        <v>306</v>
      </c>
      <c r="C175" s="141">
        <v>3659</v>
      </c>
      <c r="D175" s="137" t="s">
        <v>736</v>
      </c>
      <c r="E175" s="138" t="s">
        <v>589</v>
      </c>
      <c r="F175" s="117">
        <v>1</v>
      </c>
      <c r="G175" s="139">
        <v>3</v>
      </c>
      <c r="H175" s="553"/>
      <c r="I175" s="140">
        <f t="shared" si="3"/>
        <v>0</v>
      </c>
      <c r="J175"/>
      <c r="K175"/>
      <c r="L175"/>
      <c r="M175"/>
    </row>
    <row r="176" spans="1:13" x14ac:dyDescent="0.2">
      <c r="A176" s="134" t="s">
        <v>513</v>
      </c>
      <c r="B176" s="135" t="s">
        <v>306</v>
      </c>
      <c r="C176" s="141">
        <v>20083</v>
      </c>
      <c r="D176" s="137" t="s">
        <v>773</v>
      </c>
      <c r="E176" s="138" t="s">
        <v>589</v>
      </c>
      <c r="F176" s="117">
        <v>9.11E-2</v>
      </c>
      <c r="G176" s="139">
        <v>0.27329999999999999</v>
      </c>
      <c r="H176" s="553"/>
      <c r="I176" s="140">
        <f t="shared" si="3"/>
        <v>0</v>
      </c>
      <c r="J176"/>
      <c r="K176"/>
      <c r="L176"/>
      <c r="M176"/>
    </row>
    <row r="177" spans="1:16" x14ac:dyDescent="0.2">
      <c r="A177" s="134" t="s">
        <v>514</v>
      </c>
      <c r="B177" s="135" t="s">
        <v>306</v>
      </c>
      <c r="C177" s="141">
        <v>38383</v>
      </c>
      <c r="D177" s="137" t="s">
        <v>748</v>
      </c>
      <c r="E177" s="138" t="s">
        <v>589</v>
      </c>
      <c r="F177" s="117">
        <v>0.1</v>
      </c>
      <c r="G177" s="139">
        <v>0.5</v>
      </c>
      <c r="H177" s="553"/>
      <c r="I177" s="140">
        <f t="shared" si="3"/>
        <v>0</v>
      </c>
      <c r="J177"/>
      <c r="K177"/>
      <c r="L177"/>
      <c r="M177"/>
    </row>
    <row r="178" spans="1:16" x14ac:dyDescent="0.2">
      <c r="A178" s="134" t="s">
        <v>514</v>
      </c>
      <c r="B178" s="135" t="s">
        <v>306</v>
      </c>
      <c r="C178" s="141">
        <v>9835</v>
      </c>
      <c r="D178" s="137" t="s">
        <v>804</v>
      </c>
      <c r="E178" s="138" t="s">
        <v>664</v>
      </c>
      <c r="F178" s="117">
        <v>1.05</v>
      </c>
      <c r="G178" s="139">
        <v>5.25</v>
      </c>
      <c r="H178" s="553"/>
      <c r="I178" s="140">
        <f t="shared" si="3"/>
        <v>0</v>
      </c>
      <c r="J178"/>
      <c r="K178"/>
      <c r="L178"/>
      <c r="M178"/>
    </row>
    <row r="179" spans="1:16" x14ac:dyDescent="0.2">
      <c r="A179" s="134" t="s">
        <v>515</v>
      </c>
      <c r="B179" s="135" t="s">
        <v>306</v>
      </c>
      <c r="C179" s="141">
        <v>122</v>
      </c>
      <c r="D179" s="137" t="s">
        <v>667</v>
      </c>
      <c r="E179" s="138" t="s">
        <v>589</v>
      </c>
      <c r="F179" s="117">
        <v>3.5000000000000001E-3</v>
      </c>
      <c r="G179" s="139">
        <v>6.6500000000000004E-2</v>
      </c>
      <c r="H179" s="553"/>
      <c r="I179" s="140">
        <f t="shared" si="3"/>
        <v>0</v>
      </c>
      <c r="J179"/>
      <c r="K179"/>
      <c r="L179"/>
      <c r="M179"/>
    </row>
    <row r="180" spans="1:16" x14ac:dyDescent="0.2">
      <c r="A180" s="134" t="s">
        <v>515</v>
      </c>
      <c r="B180" s="135" t="s">
        <v>306</v>
      </c>
      <c r="C180" s="141">
        <v>38383</v>
      </c>
      <c r="D180" s="137" t="s">
        <v>748</v>
      </c>
      <c r="E180" s="138" t="s">
        <v>589</v>
      </c>
      <c r="F180" s="117">
        <v>1.7000000000000001E-2</v>
      </c>
      <c r="G180" s="139">
        <v>0.32300000000000001</v>
      </c>
      <c r="H180" s="553"/>
      <c r="I180" s="140">
        <f t="shared" si="3"/>
        <v>0</v>
      </c>
      <c r="J180"/>
      <c r="K180"/>
      <c r="L180"/>
      <c r="M180"/>
    </row>
    <row r="181" spans="1:16" x14ac:dyDescent="0.2">
      <c r="A181" s="134" t="s">
        <v>515</v>
      </c>
      <c r="B181" s="135" t="s">
        <v>306</v>
      </c>
      <c r="C181" s="141">
        <v>20083</v>
      </c>
      <c r="D181" s="137" t="s">
        <v>773</v>
      </c>
      <c r="E181" s="138" t="s">
        <v>589</v>
      </c>
      <c r="F181" s="117">
        <v>4.7999999999999996E-3</v>
      </c>
      <c r="G181" s="139">
        <v>9.1199999999999989E-2</v>
      </c>
      <c r="H181" s="553"/>
      <c r="I181" s="140">
        <f t="shared" si="3"/>
        <v>0</v>
      </c>
      <c r="J181"/>
      <c r="K181"/>
      <c r="L181"/>
      <c r="M181"/>
    </row>
    <row r="182" spans="1:16" x14ac:dyDescent="0.2">
      <c r="A182" s="134" t="s">
        <v>515</v>
      </c>
      <c r="B182" s="135" t="s">
        <v>306</v>
      </c>
      <c r="C182" s="141">
        <v>9838</v>
      </c>
      <c r="D182" s="137" t="s">
        <v>805</v>
      </c>
      <c r="E182" s="138" t="s">
        <v>664</v>
      </c>
      <c r="F182" s="117">
        <v>1.05</v>
      </c>
      <c r="G182" s="139">
        <v>19.95</v>
      </c>
      <c r="H182" s="553"/>
      <c r="I182" s="140">
        <f t="shared" si="3"/>
        <v>0</v>
      </c>
      <c r="J182"/>
      <c r="K182"/>
      <c r="L182"/>
      <c r="M182"/>
    </row>
    <row r="183" spans="1:16" x14ac:dyDescent="0.2">
      <c r="A183" s="134" t="s">
        <v>516</v>
      </c>
      <c r="B183" s="135" t="s">
        <v>306</v>
      </c>
      <c r="C183" s="141">
        <v>122</v>
      </c>
      <c r="D183" s="137" t="s">
        <v>667</v>
      </c>
      <c r="E183" s="138" t="s">
        <v>589</v>
      </c>
      <c r="F183" s="117">
        <v>8.0000000000000002E-3</v>
      </c>
      <c r="G183" s="139">
        <v>2.4E-2</v>
      </c>
      <c r="H183" s="553"/>
      <c r="I183" s="140">
        <f t="shared" si="3"/>
        <v>0</v>
      </c>
      <c r="J183"/>
      <c r="K183"/>
      <c r="L183"/>
      <c r="M183"/>
    </row>
    <row r="184" spans="1:16" x14ac:dyDescent="0.2">
      <c r="A184" s="134" t="s">
        <v>516</v>
      </c>
      <c r="B184" s="135" t="s">
        <v>306</v>
      </c>
      <c r="C184" s="141">
        <v>38383</v>
      </c>
      <c r="D184" s="137" t="s">
        <v>748</v>
      </c>
      <c r="E184" s="138" t="s">
        <v>589</v>
      </c>
      <c r="F184" s="117">
        <v>3.6999999999999998E-2</v>
      </c>
      <c r="G184" s="139">
        <v>0.11099999999999999</v>
      </c>
      <c r="H184" s="553"/>
      <c r="I184" s="140">
        <f t="shared" si="3"/>
        <v>0</v>
      </c>
      <c r="J184"/>
      <c r="K184"/>
      <c r="L184"/>
      <c r="M184"/>
    </row>
    <row r="185" spans="1:16" ht="23.25" customHeight="1" x14ac:dyDescent="0.2">
      <c r="A185" s="134" t="s">
        <v>516</v>
      </c>
      <c r="B185" s="135" t="s">
        <v>306</v>
      </c>
      <c r="C185" s="141">
        <v>20083</v>
      </c>
      <c r="D185" s="137" t="s">
        <v>773</v>
      </c>
      <c r="E185" s="138" t="s">
        <v>589</v>
      </c>
      <c r="F185" s="117">
        <v>1.24E-2</v>
      </c>
      <c r="G185" s="139">
        <v>3.7199999999999997E-2</v>
      </c>
      <c r="H185" s="553"/>
      <c r="I185" s="140">
        <f t="shared" si="3"/>
        <v>0</v>
      </c>
      <c r="J185"/>
      <c r="K185"/>
      <c r="L185"/>
      <c r="M185"/>
    </row>
    <row r="186" spans="1:16" x14ac:dyDescent="0.2">
      <c r="A186" s="134" t="s">
        <v>516</v>
      </c>
      <c r="B186" s="135" t="s">
        <v>306</v>
      </c>
      <c r="C186" s="141">
        <v>9837</v>
      </c>
      <c r="D186" s="137" t="s">
        <v>806</v>
      </c>
      <c r="E186" s="138" t="s">
        <v>664</v>
      </c>
      <c r="F186" s="117">
        <v>1.05</v>
      </c>
      <c r="G186" s="139">
        <v>3.1500000000000004</v>
      </c>
      <c r="H186" s="553"/>
      <c r="I186" s="140">
        <f t="shared" si="3"/>
        <v>0</v>
      </c>
      <c r="J186"/>
      <c r="K186"/>
      <c r="L186"/>
      <c r="M186"/>
    </row>
    <row r="187" spans="1:16" x14ac:dyDescent="0.2">
      <c r="A187" s="134" t="s">
        <v>517</v>
      </c>
      <c r="B187" s="135" t="s">
        <v>306</v>
      </c>
      <c r="C187" s="141">
        <v>122</v>
      </c>
      <c r="D187" s="137" t="s">
        <v>667</v>
      </c>
      <c r="E187" s="138" t="s">
        <v>589</v>
      </c>
      <c r="F187" s="117">
        <v>1.17E-2</v>
      </c>
      <c r="G187" s="139">
        <v>0.30420000000000003</v>
      </c>
      <c r="H187" s="553"/>
      <c r="I187" s="140">
        <f t="shared" si="3"/>
        <v>0</v>
      </c>
      <c r="J187"/>
      <c r="K187"/>
      <c r="L187"/>
      <c r="M187"/>
    </row>
    <row r="188" spans="1:16" x14ac:dyDescent="0.2">
      <c r="A188" s="134" t="s">
        <v>517</v>
      </c>
      <c r="B188" s="135" t="s">
        <v>306</v>
      </c>
      <c r="C188" s="141">
        <v>38383</v>
      </c>
      <c r="D188" s="137" t="s">
        <v>748</v>
      </c>
      <c r="E188" s="138" t="s">
        <v>589</v>
      </c>
      <c r="F188" s="117">
        <v>5.2999999999999999E-2</v>
      </c>
      <c r="G188" s="139">
        <v>1.3779999999999999</v>
      </c>
      <c r="H188" s="553"/>
      <c r="I188" s="140">
        <f t="shared" si="3"/>
        <v>0</v>
      </c>
      <c r="J188"/>
      <c r="K188"/>
      <c r="L188"/>
      <c r="M188"/>
    </row>
    <row r="189" spans="1:16" ht="23.25" customHeight="1" x14ac:dyDescent="0.2">
      <c r="A189" s="134" t="s">
        <v>517</v>
      </c>
      <c r="B189" s="135" t="s">
        <v>306</v>
      </c>
      <c r="C189" s="141">
        <v>20083</v>
      </c>
      <c r="D189" s="137" t="s">
        <v>773</v>
      </c>
      <c r="E189" s="138" t="s">
        <v>589</v>
      </c>
      <c r="F189" s="117">
        <v>1.9099999999999999E-2</v>
      </c>
      <c r="G189" s="139">
        <v>0.49659999999999999</v>
      </c>
      <c r="H189" s="553"/>
      <c r="I189" s="140">
        <f t="shared" si="3"/>
        <v>0</v>
      </c>
      <c r="J189"/>
      <c r="K189"/>
      <c r="L189"/>
      <c r="M189"/>
    </row>
    <row r="190" spans="1:16" ht="22.5" customHeight="1" x14ac:dyDescent="0.2">
      <c r="A190" s="134" t="s">
        <v>517</v>
      </c>
      <c r="B190" s="135" t="s">
        <v>306</v>
      </c>
      <c r="C190" s="141">
        <v>9836</v>
      </c>
      <c r="D190" s="137" t="s">
        <v>803</v>
      </c>
      <c r="E190" s="138" t="s">
        <v>664</v>
      </c>
      <c r="F190" s="117">
        <v>1.05</v>
      </c>
      <c r="G190" s="139">
        <v>27.3</v>
      </c>
      <c r="H190" s="553"/>
      <c r="I190" s="140">
        <f t="shared" si="3"/>
        <v>0</v>
      </c>
      <c r="J190"/>
      <c r="K190"/>
      <c r="L190"/>
      <c r="M190"/>
      <c r="P190" s="130"/>
    </row>
    <row r="191" spans="1:16" ht="22.5" x14ac:dyDescent="0.2">
      <c r="A191" s="134" t="s">
        <v>518</v>
      </c>
      <c r="B191" s="135" t="s">
        <v>306</v>
      </c>
      <c r="C191" s="141">
        <v>299</v>
      </c>
      <c r="D191" s="137" t="s">
        <v>672</v>
      </c>
      <c r="E191" s="138" t="s">
        <v>589</v>
      </c>
      <c r="F191" s="117">
        <v>0.33</v>
      </c>
      <c r="G191" s="139">
        <v>3.96</v>
      </c>
      <c r="H191" s="553"/>
      <c r="I191" s="140">
        <f t="shared" si="3"/>
        <v>0</v>
      </c>
      <c r="J191"/>
      <c r="K191"/>
      <c r="L191"/>
      <c r="M191"/>
    </row>
    <row r="192" spans="1:16" ht="22.5" x14ac:dyDescent="0.2">
      <c r="A192" s="134" t="s">
        <v>518</v>
      </c>
      <c r="B192" s="135" t="s">
        <v>306</v>
      </c>
      <c r="C192" s="141">
        <v>9841</v>
      </c>
      <c r="D192" s="137" t="s">
        <v>807</v>
      </c>
      <c r="E192" s="138" t="s">
        <v>664</v>
      </c>
      <c r="F192" s="117">
        <v>1.1000000000000001</v>
      </c>
      <c r="G192" s="139">
        <v>13.200000000000001</v>
      </c>
      <c r="H192" s="553"/>
      <c r="I192" s="140">
        <f t="shared" si="3"/>
        <v>0</v>
      </c>
      <c r="J192"/>
      <c r="K192"/>
      <c r="L192"/>
      <c r="M192"/>
    </row>
    <row r="193" spans="1:13" x14ac:dyDescent="0.2">
      <c r="A193" s="142" t="s">
        <v>519</v>
      </c>
      <c r="B193" s="135" t="s">
        <v>306</v>
      </c>
      <c r="C193" s="141">
        <v>3146</v>
      </c>
      <c r="D193" s="137" t="s">
        <v>714</v>
      </c>
      <c r="E193" s="138" t="s">
        <v>589</v>
      </c>
      <c r="F193" s="117">
        <v>3.32E-2</v>
      </c>
      <c r="G193" s="139">
        <v>0.18524272</v>
      </c>
      <c r="H193" s="553"/>
      <c r="I193" s="140">
        <f t="shared" si="3"/>
        <v>0</v>
      </c>
      <c r="J193"/>
      <c r="K193"/>
      <c r="L193"/>
      <c r="M193"/>
    </row>
    <row r="194" spans="1:13" x14ac:dyDescent="0.2">
      <c r="A194" s="142" t="s">
        <v>519</v>
      </c>
      <c r="B194" s="135" t="s">
        <v>306</v>
      </c>
      <c r="C194" s="141">
        <v>6148</v>
      </c>
      <c r="D194" s="137" t="e">
        <v>#N/A</v>
      </c>
      <c r="E194" s="138" t="e">
        <v>#N/A</v>
      </c>
      <c r="F194" s="117">
        <v>1</v>
      </c>
      <c r="G194" s="139">
        <v>5.5796000000000001</v>
      </c>
      <c r="H194" s="553"/>
      <c r="I194" s="140">
        <f t="shared" si="3"/>
        <v>0</v>
      </c>
      <c r="J194"/>
      <c r="K194"/>
      <c r="L194"/>
      <c r="M194"/>
    </row>
    <row r="195" spans="1:13" x14ac:dyDescent="0.2">
      <c r="A195" s="142" t="s">
        <v>520</v>
      </c>
      <c r="B195" s="135" t="s">
        <v>306</v>
      </c>
      <c r="C195" s="141">
        <v>3146</v>
      </c>
      <c r="D195" s="137" t="s">
        <v>714</v>
      </c>
      <c r="E195" s="138" t="s">
        <v>589</v>
      </c>
      <c r="F195" s="117">
        <v>3.32E-2</v>
      </c>
      <c r="G195" s="139">
        <v>9.262136E-2</v>
      </c>
      <c r="H195" s="553"/>
      <c r="I195" s="140">
        <f t="shared" ref="I195:I258" si="4">IFERROR(H195*G195,"")</f>
        <v>0</v>
      </c>
      <c r="J195"/>
      <c r="K195"/>
      <c r="L195"/>
      <c r="M195"/>
    </row>
    <row r="196" spans="1:13" s="121" customFormat="1" ht="12.75" x14ac:dyDescent="0.2">
      <c r="A196" s="142" t="s">
        <v>520</v>
      </c>
      <c r="B196" s="135" t="s">
        <v>306</v>
      </c>
      <c r="C196" s="141">
        <v>6136</v>
      </c>
      <c r="D196" s="137" t="s">
        <v>772</v>
      </c>
      <c r="E196" s="138" t="s">
        <v>589</v>
      </c>
      <c r="F196" s="117">
        <v>1</v>
      </c>
      <c r="G196" s="139">
        <v>2.7898000000000001</v>
      </c>
      <c r="H196" s="553"/>
      <c r="I196" s="140">
        <f t="shared" si="4"/>
        <v>0</v>
      </c>
    </row>
    <row r="197" spans="1:13" x14ac:dyDescent="0.2">
      <c r="A197" s="134" t="s">
        <v>521</v>
      </c>
      <c r="B197" s="135" t="s">
        <v>306</v>
      </c>
      <c r="C197" s="141">
        <v>34653</v>
      </c>
      <c r="D197" s="137" t="s">
        <v>702</v>
      </c>
      <c r="E197" s="138" t="s">
        <v>589</v>
      </c>
      <c r="F197" s="117">
        <v>1</v>
      </c>
      <c r="G197" s="139">
        <v>4.1904000000000003</v>
      </c>
      <c r="H197" s="553"/>
      <c r="I197" s="140">
        <f t="shared" si="4"/>
        <v>0</v>
      </c>
      <c r="J197"/>
      <c r="K197"/>
      <c r="L197"/>
      <c r="M197"/>
    </row>
    <row r="198" spans="1:13" ht="22.5" x14ac:dyDescent="0.2">
      <c r="A198" s="134" t="s">
        <v>521</v>
      </c>
      <c r="B198" s="135" t="s">
        <v>306</v>
      </c>
      <c r="C198" s="141">
        <v>1570</v>
      </c>
      <c r="D198" s="137" t="s">
        <v>791</v>
      </c>
      <c r="E198" s="138" t="s">
        <v>589</v>
      </c>
      <c r="F198" s="117">
        <v>1</v>
      </c>
      <c r="G198" s="139">
        <v>4.1904000000000003</v>
      </c>
      <c r="H198" s="553"/>
      <c r="I198" s="140">
        <f t="shared" si="4"/>
        <v>0</v>
      </c>
      <c r="J198"/>
      <c r="K198"/>
      <c r="L198"/>
      <c r="M198"/>
    </row>
    <row r="199" spans="1:13" x14ac:dyDescent="0.2">
      <c r="A199" s="134" t="s">
        <v>522</v>
      </c>
      <c r="B199" s="135" t="s">
        <v>306</v>
      </c>
      <c r="C199" s="141">
        <v>34653</v>
      </c>
      <c r="D199" s="137" t="s">
        <v>702</v>
      </c>
      <c r="E199" s="138" t="s">
        <v>589</v>
      </c>
      <c r="F199" s="117">
        <v>1</v>
      </c>
      <c r="G199" s="139">
        <v>0</v>
      </c>
      <c r="H199" s="553"/>
      <c r="I199" s="140">
        <f t="shared" si="4"/>
        <v>0</v>
      </c>
      <c r="J199"/>
      <c r="K199"/>
      <c r="L199"/>
      <c r="M199"/>
    </row>
    <row r="200" spans="1:13" ht="22.5" x14ac:dyDescent="0.2">
      <c r="A200" s="134" t="s">
        <v>522</v>
      </c>
      <c r="B200" s="135" t="s">
        <v>306</v>
      </c>
      <c r="C200" s="141">
        <v>1571</v>
      </c>
      <c r="D200" s="137" t="s">
        <v>793</v>
      </c>
      <c r="E200" s="138" t="s">
        <v>589</v>
      </c>
      <c r="F200" s="117">
        <v>1</v>
      </c>
      <c r="G200" s="139">
        <v>0</v>
      </c>
      <c r="H200" s="553"/>
      <c r="I200" s="140">
        <f t="shared" si="4"/>
        <v>0</v>
      </c>
      <c r="J200"/>
      <c r="K200"/>
      <c r="L200"/>
      <c r="M200"/>
    </row>
    <row r="201" spans="1:13" x14ac:dyDescent="0.2">
      <c r="A201" s="134" t="s">
        <v>523</v>
      </c>
      <c r="B201" s="135" t="s">
        <v>306</v>
      </c>
      <c r="C201" s="141">
        <v>34653</v>
      </c>
      <c r="D201" s="137" t="s">
        <v>702</v>
      </c>
      <c r="E201" s="138" t="s">
        <v>589</v>
      </c>
      <c r="F201" s="117">
        <v>1</v>
      </c>
      <c r="G201" s="139">
        <v>0</v>
      </c>
      <c r="H201" s="553"/>
      <c r="I201" s="140">
        <f t="shared" si="4"/>
        <v>0</v>
      </c>
      <c r="J201"/>
      <c r="K201"/>
      <c r="L201"/>
      <c r="M201"/>
    </row>
    <row r="202" spans="1:13" ht="22.5" x14ac:dyDescent="0.2">
      <c r="A202" s="134" t="s">
        <v>523</v>
      </c>
      <c r="B202" s="135" t="s">
        <v>306</v>
      </c>
      <c r="C202" s="141">
        <v>1573</v>
      </c>
      <c r="D202" s="137" t="s">
        <v>794</v>
      </c>
      <c r="E202" s="138" t="s">
        <v>589</v>
      </c>
      <c r="F202" s="117">
        <v>1</v>
      </c>
      <c r="G202" s="139">
        <v>0</v>
      </c>
      <c r="H202" s="553"/>
      <c r="I202" s="140">
        <f t="shared" si="4"/>
        <v>0</v>
      </c>
      <c r="J202"/>
      <c r="K202"/>
      <c r="L202"/>
      <c r="M202"/>
    </row>
    <row r="203" spans="1:13" x14ac:dyDescent="0.2">
      <c r="A203" s="134" t="s">
        <v>524</v>
      </c>
      <c r="B203" s="135" t="s">
        <v>306</v>
      </c>
      <c r="C203" s="141">
        <v>34686</v>
      </c>
      <c r="D203" s="137" t="s">
        <v>701</v>
      </c>
      <c r="E203" s="138" t="s">
        <v>589</v>
      </c>
      <c r="F203" s="117">
        <v>1</v>
      </c>
      <c r="G203" s="139">
        <v>0</v>
      </c>
      <c r="H203" s="553"/>
      <c r="I203" s="140">
        <f t="shared" si="4"/>
        <v>0</v>
      </c>
      <c r="J203"/>
      <c r="K203"/>
      <c r="L203"/>
      <c r="M203"/>
    </row>
    <row r="204" spans="1:13" ht="22.5" x14ac:dyDescent="0.2">
      <c r="A204" s="134" t="s">
        <v>524</v>
      </c>
      <c r="B204" s="135" t="s">
        <v>306</v>
      </c>
      <c r="C204" s="141">
        <v>1574</v>
      </c>
      <c r="D204" s="137" t="s">
        <v>789</v>
      </c>
      <c r="E204" s="138" t="s">
        <v>589</v>
      </c>
      <c r="F204" s="117">
        <v>1</v>
      </c>
      <c r="G204" s="139">
        <v>0</v>
      </c>
      <c r="H204" s="553"/>
      <c r="I204" s="140">
        <f t="shared" si="4"/>
        <v>0</v>
      </c>
      <c r="J204"/>
      <c r="K204"/>
      <c r="L204"/>
      <c r="M204"/>
    </row>
    <row r="205" spans="1:13" x14ac:dyDescent="0.2">
      <c r="A205" s="134" t="s">
        <v>525</v>
      </c>
      <c r="B205" s="135" t="s">
        <v>306</v>
      </c>
      <c r="C205" s="141">
        <v>2388</v>
      </c>
      <c r="D205" s="137" t="s">
        <v>703</v>
      </c>
      <c r="E205" s="138" t="s">
        <v>589</v>
      </c>
      <c r="F205" s="117">
        <v>1</v>
      </c>
      <c r="G205" s="139">
        <v>3.7248000000000006</v>
      </c>
      <c r="H205" s="553"/>
      <c r="I205" s="140">
        <f t="shared" si="4"/>
        <v>0</v>
      </c>
      <c r="J205"/>
      <c r="K205"/>
      <c r="L205"/>
      <c r="M205"/>
    </row>
    <row r="206" spans="1:13" ht="22.5" x14ac:dyDescent="0.2">
      <c r="A206" s="134" t="s">
        <v>525</v>
      </c>
      <c r="B206" s="135" t="s">
        <v>306</v>
      </c>
      <c r="C206" s="141">
        <v>1571</v>
      </c>
      <c r="D206" s="137" t="s">
        <v>793</v>
      </c>
      <c r="E206" s="138" t="s">
        <v>589</v>
      </c>
      <c r="F206" s="117">
        <v>2</v>
      </c>
      <c r="G206" s="139">
        <v>7.4496000000000011</v>
      </c>
      <c r="H206" s="553"/>
      <c r="I206" s="140">
        <f t="shared" si="4"/>
        <v>0</v>
      </c>
      <c r="J206"/>
      <c r="K206"/>
      <c r="L206"/>
      <c r="M206"/>
    </row>
    <row r="207" spans="1:13" x14ac:dyDescent="0.2">
      <c r="A207" s="134" t="s">
        <v>526</v>
      </c>
      <c r="B207" s="135" t="s">
        <v>306</v>
      </c>
      <c r="C207" s="141">
        <v>2373</v>
      </c>
      <c r="D207" s="137" t="s">
        <v>704</v>
      </c>
      <c r="E207" s="138" t="s">
        <v>589</v>
      </c>
      <c r="F207" s="117">
        <v>1</v>
      </c>
      <c r="G207" s="139">
        <v>1.11744</v>
      </c>
      <c r="H207" s="553"/>
      <c r="I207" s="140">
        <f t="shared" si="4"/>
        <v>0</v>
      </c>
      <c r="J207"/>
      <c r="K207"/>
      <c r="L207"/>
      <c r="M207"/>
    </row>
    <row r="208" spans="1:13" ht="22.5" x14ac:dyDescent="0.2">
      <c r="A208" s="134" t="s">
        <v>526</v>
      </c>
      <c r="B208" s="135" t="s">
        <v>306</v>
      </c>
      <c r="C208" s="141">
        <v>1576</v>
      </c>
      <c r="D208" s="137" t="s">
        <v>792</v>
      </c>
      <c r="E208" s="138" t="s">
        <v>589</v>
      </c>
      <c r="F208" s="117">
        <v>3</v>
      </c>
      <c r="G208" s="139">
        <v>3.3523199999999997</v>
      </c>
      <c r="H208" s="553"/>
      <c r="I208" s="140">
        <f t="shared" si="4"/>
        <v>0</v>
      </c>
      <c r="J208"/>
      <c r="K208"/>
      <c r="L208"/>
      <c r="M208"/>
    </row>
    <row r="209" spans="1:13" ht="22.5" x14ac:dyDescent="0.2">
      <c r="A209" s="134" t="s">
        <v>527</v>
      </c>
      <c r="B209" s="135" t="s">
        <v>306</v>
      </c>
      <c r="C209" s="141">
        <v>2377</v>
      </c>
      <c r="D209" s="137" t="s">
        <v>700</v>
      </c>
      <c r="E209" s="138" t="s">
        <v>589</v>
      </c>
      <c r="F209" s="117">
        <v>1</v>
      </c>
      <c r="G209" s="139">
        <v>0.27936</v>
      </c>
      <c r="H209" s="553"/>
      <c r="I209" s="140">
        <f t="shared" si="4"/>
        <v>0</v>
      </c>
      <c r="J209"/>
      <c r="K209"/>
      <c r="L209"/>
      <c r="M209"/>
    </row>
    <row r="210" spans="1:13" ht="22.5" x14ac:dyDescent="0.2">
      <c r="A210" s="134" t="s">
        <v>527</v>
      </c>
      <c r="B210" s="135" t="s">
        <v>306</v>
      </c>
      <c r="C210" s="141">
        <v>1580</v>
      </c>
      <c r="D210" s="137" t="s">
        <v>795</v>
      </c>
      <c r="E210" s="138" t="s">
        <v>589</v>
      </c>
      <c r="F210" s="117">
        <v>3</v>
      </c>
      <c r="G210" s="139">
        <v>0.83807999999999994</v>
      </c>
      <c r="H210" s="553"/>
      <c r="I210" s="140">
        <f t="shared" si="4"/>
        <v>0</v>
      </c>
      <c r="J210"/>
      <c r="K210"/>
      <c r="L210"/>
      <c r="M210"/>
    </row>
    <row r="211" spans="1:13" ht="22.5" x14ac:dyDescent="0.2">
      <c r="A211" s="134" t="s">
        <v>528</v>
      </c>
      <c r="B211" s="135" t="s">
        <v>306</v>
      </c>
      <c r="C211" s="141">
        <v>38780</v>
      </c>
      <c r="D211" s="137" t="s">
        <v>739</v>
      </c>
      <c r="E211" s="138" t="s">
        <v>589</v>
      </c>
      <c r="F211" s="117">
        <v>1</v>
      </c>
      <c r="G211" s="139">
        <v>0</v>
      </c>
      <c r="H211" s="553"/>
      <c r="I211" s="140">
        <f t="shared" si="4"/>
        <v>0</v>
      </c>
      <c r="J211" s="25" t="s">
        <v>529</v>
      </c>
      <c r="K211" s="25" t="s">
        <v>530</v>
      </c>
      <c r="L211"/>
      <c r="M211"/>
    </row>
    <row r="212" spans="1:13" x14ac:dyDescent="0.2">
      <c r="A212" s="134" t="s">
        <v>528</v>
      </c>
      <c r="B212" s="135" t="s">
        <v>306</v>
      </c>
      <c r="C212" s="141">
        <v>12295</v>
      </c>
      <c r="D212" s="137" t="s">
        <v>774</v>
      </c>
      <c r="E212" s="138" t="s">
        <v>589</v>
      </c>
      <c r="F212" s="117">
        <v>0.1</v>
      </c>
      <c r="G212" s="139">
        <v>0</v>
      </c>
      <c r="H212" s="553"/>
      <c r="I212" s="140">
        <f t="shared" si="4"/>
        <v>0</v>
      </c>
      <c r="J212" s="25">
        <v>1</v>
      </c>
      <c r="K212" s="25">
        <v>0.1</v>
      </c>
      <c r="L212"/>
      <c r="M212"/>
    </row>
    <row r="213" spans="1:13" x14ac:dyDescent="0.2">
      <c r="A213" s="134" t="s">
        <v>531</v>
      </c>
      <c r="B213" s="135" t="s">
        <v>306</v>
      </c>
      <c r="C213" s="141">
        <v>3753</v>
      </c>
      <c r="D213" s="137" t="s">
        <v>740</v>
      </c>
      <c r="E213" s="138" t="s">
        <v>589</v>
      </c>
      <c r="F213" s="117">
        <v>1</v>
      </c>
      <c r="G213" s="139">
        <v>0</v>
      </c>
      <c r="H213" s="553"/>
      <c r="I213" s="140">
        <f t="shared" si="4"/>
        <v>0</v>
      </c>
      <c r="J213" s="143">
        <v>1</v>
      </c>
      <c r="K213"/>
      <c r="L213"/>
      <c r="M213"/>
    </row>
    <row r="214" spans="1:13" s="121" customFormat="1" ht="12.75" x14ac:dyDescent="0.2">
      <c r="A214" s="134" t="s">
        <v>531</v>
      </c>
      <c r="B214" s="135" t="s">
        <v>306</v>
      </c>
      <c r="C214" s="141">
        <v>1087</v>
      </c>
      <c r="D214" s="137" t="s">
        <v>767</v>
      </c>
      <c r="E214" s="138" t="s">
        <v>589</v>
      </c>
      <c r="F214" s="117">
        <v>0.2</v>
      </c>
      <c r="G214" s="139">
        <v>0</v>
      </c>
      <c r="H214" s="553"/>
      <c r="I214" s="140">
        <f t="shared" si="4"/>
        <v>0</v>
      </c>
      <c r="J214" s="117">
        <v>1</v>
      </c>
      <c r="K214" s="121">
        <v>0.2</v>
      </c>
    </row>
    <row r="215" spans="1:13" s="121" customFormat="1" ht="12.75" x14ac:dyDescent="0.2">
      <c r="A215" s="134" t="s">
        <v>531</v>
      </c>
      <c r="B215" s="135" t="s">
        <v>306</v>
      </c>
      <c r="C215" s="141">
        <v>12295</v>
      </c>
      <c r="D215" s="137" t="s">
        <v>774</v>
      </c>
      <c r="E215" s="138" t="s">
        <v>589</v>
      </c>
      <c r="F215" s="117">
        <v>0.2</v>
      </c>
      <c r="G215" s="139">
        <v>0</v>
      </c>
      <c r="H215" s="553"/>
      <c r="I215" s="140">
        <f t="shared" si="4"/>
        <v>0</v>
      </c>
      <c r="J215" s="117">
        <v>2</v>
      </c>
      <c r="K215" s="121">
        <v>0.1</v>
      </c>
    </row>
    <row r="216" spans="1:13" s="121" customFormat="1" ht="12.75" x14ac:dyDescent="0.2">
      <c r="A216" s="134" t="s">
        <v>532</v>
      </c>
      <c r="B216" s="135" t="s">
        <v>306</v>
      </c>
      <c r="C216" s="141">
        <v>38779</v>
      </c>
      <c r="D216" s="137" t="s">
        <v>742</v>
      </c>
      <c r="E216" s="138" t="s">
        <v>589</v>
      </c>
      <c r="F216" s="117">
        <v>1</v>
      </c>
      <c r="G216" s="139">
        <v>0</v>
      </c>
      <c r="H216" s="553"/>
      <c r="I216" s="140">
        <f t="shared" si="4"/>
        <v>0</v>
      </c>
      <c r="J216" s="117">
        <v>1</v>
      </c>
    </row>
    <row r="217" spans="1:13" s="121" customFormat="1" ht="12.75" x14ac:dyDescent="0.2">
      <c r="A217" s="134" t="s">
        <v>532</v>
      </c>
      <c r="B217" s="135" t="s">
        <v>306</v>
      </c>
      <c r="C217" s="141">
        <v>1087</v>
      </c>
      <c r="D217" s="137" t="s">
        <v>767</v>
      </c>
      <c r="E217" s="138" t="s">
        <v>589</v>
      </c>
      <c r="F217" s="117">
        <v>0.2</v>
      </c>
      <c r="G217" s="139">
        <v>0</v>
      </c>
      <c r="H217" s="553"/>
      <c r="I217" s="140">
        <f t="shared" si="4"/>
        <v>0</v>
      </c>
      <c r="J217" s="144">
        <v>1</v>
      </c>
      <c r="K217" s="121">
        <v>0.2</v>
      </c>
      <c r="L217" s="121">
        <v>1088</v>
      </c>
      <c r="M217" s="121" t="s">
        <v>533</v>
      </c>
    </row>
    <row r="218" spans="1:13" s="121" customFormat="1" ht="12.75" x14ac:dyDescent="0.2">
      <c r="A218" s="134" t="s">
        <v>532</v>
      </c>
      <c r="B218" s="135" t="s">
        <v>306</v>
      </c>
      <c r="C218" s="141">
        <v>12295</v>
      </c>
      <c r="D218" s="137" t="s">
        <v>774</v>
      </c>
      <c r="E218" s="138" t="s">
        <v>589</v>
      </c>
      <c r="F218" s="117">
        <v>0.2</v>
      </c>
      <c r="G218" s="139">
        <v>0</v>
      </c>
      <c r="H218" s="553"/>
      <c r="I218" s="140">
        <f t="shared" si="4"/>
        <v>0</v>
      </c>
      <c r="J218" s="144">
        <v>2</v>
      </c>
      <c r="K218" s="121">
        <v>0.1</v>
      </c>
      <c r="L218" s="121">
        <v>1079</v>
      </c>
      <c r="M218" s="121" t="s">
        <v>534</v>
      </c>
    </row>
    <row r="219" spans="1:13" s="121" customFormat="1" ht="12.75" x14ac:dyDescent="0.2">
      <c r="A219" s="134" t="s">
        <v>535</v>
      </c>
      <c r="B219" s="135" t="s">
        <v>306</v>
      </c>
      <c r="C219" s="141">
        <v>38778</v>
      </c>
      <c r="D219" s="137" t="s">
        <v>741</v>
      </c>
      <c r="E219" s="138" t="s">
        <v>589</v>
      </c>
      <c r="F219" s="117">
        <v>1</v>
      </c>
      <c r="G219" s="139">
        <v>0</v>
      </c>
      <c r="H219" s="553"/>
      <c r="I219" s="140">
        <f t="shared" si="4"/>
        <v>0</v>
      </c>
      <c r="J219" s="117">
        <v>1</v>
      </c>
      <c r="L219" s="121">
        <v>1086</v>
      </c>
      <c r="M219" s="121" t="s">
        <v>536</v>
      </c>
    </row>
    <row r="220" spans="1:13" s="121" customFormat="1" ht="12.75" x14ac:dyDescent="0.2">
      <c r="A220" s="134" t="s">
        <v>535</v>
      </c>
      <c r="B220" s="135" t="s">
        <v>306</v>
      </c>
      <c r="C220" s="141">
        <v>1088</v>
      </c>
      <c r="D220" s="137" t="s">
        <v>533</v>
      </c>
      <c r="E220" s="138" t="s">
        <v>589</v>
      </c>
      <c r="F220" s="117">
        <v>0.2</v>
      </c>
      <c r="G220" s="139">
        <v>0</v>
      </c>
      <c r="H220" s="553"/>
      <c r="I220" s="140">
        <f t="shared" si="4"/>
        <v>0</v>
      </c>
      <c r="J220" s="117">
        <v>1</v>
      </c>
      <c r="K220" s="121">
        <v>0.2</v>
      </c>
    </row>
    <row r="221" spans="1:13" s="121" customFormat="1" ht="12.75" x14ac:dyDescent="0.2">
      <c r="A221" s="134" t="s">
        <v>535</v>
      </c>
      <c r="B221" s="135" t="s">
        <v>306</v>
      </c>
      <c r="C221" s="141">
        <v>12295</v>
      </c>
      <c r="D221" s="137" t="s">
        <v>774</v>
      </c>
      <c r="E221" s="138" t="s">
        <v>589</v>
      </c>
      <c r="F221" s="117">
        <v>0.2</v>
      </c>
      <c r="G221" s="139">
        <v>0</v>
      </c>
      <c r="H221" s="553"/>
      <c r="I221" s="140">
        <f t="shared" si="4"/>
        <v>0</v>
      </c>
      <c r="J221" s="117">
        <v>2</v>
      </c>
      <c r="K221" s="121">
        <v>0.1</v>
      </c>
    </row>
    <row r="222" spans="1:13" s="121" customFormat="1" ht="12.75" x14ac:dyDescent="0.2">
      <c r="A222" s="134" t="s">
        <v>537</v>
      </c>
      <c r="B222" s="135" t="s">
        <v>306</v>
      </c>
      <c r="C222" s="141">
        <v>39386</v>
      </c>
      <c r="D222" s="137" t="s">
        <v>744</v>
      </c>
      <c r="E222" s="138" t="s">
        <v>589</v>
      </c>
      <c r="F222" s="117">
        <v>1</v>
      </c>
      <c r="G222" s="139">
        <v>96.720000000000013</v>
      </c>
      <c r="H222" s="553"/>
      <c r="I222" s="140">
        <f t="shared" si="4"/>
        <v>0</v>
      </c>
      <c r="J222" s="117">
        <v>1</v>
      </c>
    </row>
    <row r="223" spans="1:13" s="121" customFormat="1" ht="12.75" x14ac:dyDescent="0.2">
      <c r="A223" s="134" t="s">
        <v>537</v>
      </c>
      <c r="B223" s="135" t="s">
        <v>306</v>
      </c>
      <c r="C223" s="141">
        <v>12295</v>
      </c>
      <c r="D223" s="137" t="s">
        <v>774</v>
      </c>
      <c r="E223" s="138" t="s">
        <v>589</v>
      </c>
      <c r="F223" s="117">
        <v>0.2</v>
      </c>
      <c r="G223" s="139">
        <v>19.344000000000005</v>
      </c>
      <c r="H223" s="553"/>
      <c r="I223" s="140">
        <f t="shared" si="4"/>
        <v>0</v>
      </c>
      <c r="J223" s="117">
        <v>2</v>
      </c>
      <c r="K223" s="121">
        <v>0.1</v>
      </c>
    </row>
    <row r="224" spans="1:13" s="121" customFormat="1" ht="12.75" x14ac:dyDescent="0.2">
      <c r="A224" s="134" t="s">
        <v>538</v>
      </c>
      <c r="B224" s="135" t="s">
        <v>306</v>
      </c>
      <c r="C224" s="141">
        <v>39387</v>
      </c>
      <c r="D224" s="137" t="s">
        <v>743</v>
      </c>
      <c r="E224" s="138" t="s">
        <v>589</v>
      </c>
      <c r="F224" s="117">
        <v>1</v>
      </c>
      <c r="G224" s="139">
        <v>96.720000000000013</v>
      </c>
      <c r="H224" s="553"/>
      <c r="I224" s="140">
        <f t="shared" si="4"/>
        <v>0</v>
      </c>
      <c r="J224" s="117">
        <v>1</v>
      </c>
    </row>
    <row r="225" spans="1:13" s="121" customFormat="1" ht="12.75" x14ac:dyDescent="0.2">
      <c r="A225" s="134" t="s">
        <v>538</v>
      </c>
      <c r="B225" s="135" t="s">
        <v>306</v>
      </c>
      <c r="C225" s="141">
        <v>12295</v>
      </c>
      <c r="D225" s="137" t="s">
        <v>774</v>
      </c>
      <c r="E225" s="138" t="s">
        <v>589</v>
      </c>
      <c r="F225" s="117">
        <v>0.2</v>
      </c>
      <c r="G225" s="139">
        <v>19.344000000000005</v>
      </c>
      <c r="H225" s="553"/>
      <c r="I225" s="140">
        <f t="shared" si="4"/>
        <v>0</v>
      </c>
      <c r="J225" s="117">
        <v>2</v>
      </c>
      <c r="K225" s="121">
        <v>0.1</v>
      </c>
    </row>
    <row r="226" spans="1:13" s="121" customFormat="1" ht="23.25" customHeight="1" x14ac:dyDescent="0.2">
      <c r="A226" s="134" t="s">
        <v>539</v>
      </c>
      <c r="B226" s="135" t="s">
        <v>306</v>
      </c>
      <c r="C226" s="141">
        <v>38193</v>
      </c>
      <c r="D226" s="137" t="s">
        <v>746</v>
      </c>
      <c r="E226" s="138" t="s">
        <v>589</v>
      </c>
      <c r="F226" s="117">
        <v>1</v>
      </c>
      <c r="G226" s="139">
        <v>24.180000000000003</v>
      </c>
      <c r="H226" s="553"/>
      <c r="I226" s="140">
        <f t="shared" si="4"/>
        <v>0</v>
      </c>
      <c r="J226" s="117">
        <v>1</v>
      </c>
    </row>
    <row r="227" spans="1:13" s="121" customFormat="1" ht="12.75" x14ac:dyDescent="0.2">
      <c r="A227" s="134" t="s">
        <v>539</v>
      </c>
      <c r="B227" s="135" t="s">
        <v>306</v>
      </c>
      <c r="C227" s="141">
        <v>12295</v>
      </c>
      <c r="D227" s="137" t="s">
        <v>774</v>
      </c>
      <c r="E227" s="138" t="s">
        <v>589</v>
      </c>
      <c r="F227" s="117">
        <v>0.1</v>
      </c>
      <c r="G227" s="139">
        <v>2.4180000000000006</v>
      </c>
      <c r="H227" s="553"/>
      <c r="I227" s="140">
        <f t="shared" si="4"/>
        <v>0</v>
      </c>
      <c r="J227" s="144">
        <v>1</v>
      </c>
      <c r="K227" s="121">
        <v>0.1</v>
      </c>
    </row>
    <row r="228" spans="1:13" s="121" customFormat="1" ht="29.25" customHeight="1" x14ac:dyDescent="0.2">
      <c r="A228" s="134" t="s">
        <v>540</v>
      </c>
      <c r="B228" s="135" t="s">
        <v>306</v>
      </c>
      <c r="C228" s="141">
        <v>38194</v>
      </c>
      <c r="D228" s="137" t="s">
        <v>745</v>
      </c>
      <c r="E228" s="138" t="s">
        <v>589</v>
      </c>
      <c r="F228" s="117">
        <v>1</v>
      </c>
      <c r="G228" s="139">
        <v>24.180000000000003</v>
      </c>
      <c r="H228" s="553"/>
      <c r="I228" s="140">
        <f t="shared" si="4"/>
        <v>0</v>
      </c>
      <c r="J228" s="117">
        <v>1</v>
      </c>
    </row>
    <row r="229" spans="1:13" s="121" customFormat="1" ht="12.75" x14ac:dyDescent="0.2">
      <c r="A229" s="134" t="s">
        <v>540</v>
      </c>
      <c r="B229" s="135" t="s">
        <v>306</v>
      </c>
      <c r="C229" s="141">
        <v>12295</v>
      </c>
      <c r="D229" s="137" t="s">
        <v>774</v>
      </c>
      <c r="E229" s="138" t="s">
        <v>589</v>
      </c>
      <c r="F229" s="117">
        <v>0.1</v>
      </c>
      <c r="G229" s="139">
        <v>2.4180000000000006</v>
      </c>
      <c r="H229" s="553"/>
      <c r="I229" s="140">
        <f t="shared" si="4"/>
        <v>0</v>
      </c>
      <c r="J229" s="144">
        <v>1</v>
      </c>
      <c r="K229" s="121">
        <v>0.1</v>
      </c>
    </row>
    <row r="230" spans="1:13" s="121" customFormat="1" ht="21" customHeight="1" x14ac:dyDescent="0.2">
      <c r="A230" s="134" t="s">
        <v>541</v>
      </c>
      <c r="B230" s="135" t="s">
        <v>306</v>
      </c>
      <c r="C230" s="141">
        <v>3749</v>
      </c>
      <c r="D230" s="137" t="s">
        <v>747</v>
      </c>
      <c r="E230" s="138" t="s">
        <v>589</v>
      </c>
      <c r="F230" s="117">
        <v>1</v>
      </c>
      <c r="G230" s="139">
        <v>1</v>
      </c>
      <c r="H230" s="553"/>
      <c r="I230" s="140">
        <f t="shared" si="4"/>
        <v>0</v>
      </c>
      <c r="J230" s="117">
        <v>1</v>
      </c>
    </row>
    <row r="231" spans="1:13" ht="45" x14ac:dyDescent="0.2">
      <c r="A231" s="134" t="s">
        <v>541</v>
      </c>
      <c r="B231" s="135" t="s">
        <v>306</v>
      </c>
      <c r="C231" s="141">
        <v>13390</v>
      </c>
      <c r="D231" s="137" t="s">
        <v>771</v>
      </c>
      <c r="E231" s="138" t="s">
        <v>589</v>
      </c>
      <c r="F231" s="117">
        <v>1</v>
      </c>
      <c r="G231" s="139">
        <v>1</v>
      </c>
      <c r="H231" s="553"/>
      <c r="I231" s="140">
        <f t="shared" si="4"/>
        <v>0</v>
      </c>
      <c r="J231"/>
      <c r="K231"/>
      <c r="L231"/>
      <c r="M231"/>
    </row>
    <row r="232" spans="1:13" ht="22.5" x14ac:dyDescent="0.2">
      <c r="A232" s="134" t="s">
        <v>541</v>
      </c>
      <c r="B232" s="135" t="s">
        <v>306</v>
      </c>
      <c r="C232" s="141">
        <v>39374</v>
      </c>
      <c r="D232" s="137" t="s">
        <v>768</v>
      </c>
      <c r="E232" s="138" t="s">
        <v>589</v>
      </c>
      <c r="F232" s="117">
        <v>1</v>
      </c>
      <c r="G232" s="139">
        <v>1</v>
      </c>
      <c r="H232" s="553"/>
      <c r="I232" s="140">
        <f t="shared" si="4"/>
        <v>0</v>
      </c>
      <c r="J232"/>
      <c r="K232"/>
      <c r="L232"/>
      <c r="M232"/>
    </row>
    <row r="233" spans="1:13" ht="33.75" x14ac:dyDescent="0.2">
      <c r="A233" s="134" t="s">
        <v>542</v>
      </c>
      <c r="B233" s="135" t="s">
        <v>306</v>
      </c>
      <c r="C233" s="141">
        <v>38775</v>
      </c>
      <c r="D233" s="137" t="s">
        <v>757</v>
      </c>
      <c r="E233" s="138" t="s">
        <v>589</v>
      </c>
      <c r="F233" s="117">
        <v>1</v>
      </c>
      <c r="G233" s="139">
        <v>1.6100000000000003</v>
      </c>
      <c r="H233" s="553"/>
      <c r="I233" s="140">
        <f t="shared" si="4"/>
        <v>0</v>
      </c>
      <c r="J233"/>
      <c r="K233"/>
      <c r="L233"/>
      <c r="M233"/>
    </row>
    <row r="234" spans="1:13" ht="24" customHeight="1" x14ac:dyDescent="0.2">
      <c r="A234" s="134" t="s">
        <v>542</v>
      </c>
      <c r="B234" s="135" t="s">
        <v>306</v>
      </c>
      <c r="C234" s="141">
        <v>38193</v>
      </c>
      <c r="D234" s="137" t="s">
        <v>746</v>
      </c>
      <c r="E234" s="138" t="s">
        <v>589</v>
      </c>
      <c r="F234" s="117">
        <v>1</v>
      </c>
      <c r="G234" s="139">
        <v>1.6100000000000003</v>
      </c>
      <c r="H234" s="553"/>
      <c r="I234" s="140">
        <f t="shared" si="4"/>
        <v>0</v>
      </c>
      <c r="J234"/>
      <c r="K234"/>
      <c r="L234"/>
      <c r="M234"/>
    </row>
    <row r="235" spans="1:13" ht="22.5" x14ac:dyDescent="0.2">
      <c r="A235" s="134" t="s">
        <v>543</v>
      </c>
      <c r="B235" s="135" t="s">
        <v>306</v>
      </c>
      <c r="C235" s="141">
        <v>21127</v>
      </c>
      <c r="D235" s="137" t="s">
        <v>713</v>
      </c>
      <c r="E235" s="138" t="s">
        <v>589</v>
      </c>
      <c r="F235" s="117">
        <v>2.8000000000000001E-2</v>
      </c>
      <c r="G235" s="139">
        <v>2.8000000000000001E-2</v>
      </c>
      <c r="H235" s="553"/>
      <c r="I235" s="140">
        <f t="shared" si="4"/>
        <v>0</v>
      </c>
      <c r="J235"/>
      <c r="K235"/>
      <c r="L235"/>
      <c r="M235"/>
    </row>
    <row r="236" spans="1:13" x14ac:dyDescent="0.2">
      <c r="A236" s="134" t="s">
        <v>543</v>
      </c>
      <c r="B236" s="135" t="s">
        <v>306</v>
      </c>
      <c r="C236" s="141">
        <v>12317</v>
      </c>
      <c r="D236" s="137" t="s">
        <v>769</v>
      </c>
      <c r="E236" s="138" t="s">
        <v>589</v>
      </c>
      <c r="F236" s="117">
        <v>1</v>
      </c>
      <c r="G236" s="139">
        <v>1</v>
      </c>
      <c r="H236" s="553"/>
      <c r="I236" s="140">
        <f t="shared" si="4"/>
        <v>0</v>
      </c>
      <c r="J236"/>
      <c r="K236"/>
      <c r="L236"/>
      <c r="M236"/>
    </row>
    <row r="237" spans="1:13" ht="22.5" x14ac:dyDescent="0.2">
      <c r="A237" s="134" t="s">
        <v>544</v>
      </c>
      <c r="B237" s="135" t="s">
        <v>306</v>
      </c>
      <c r="C237" s="141">
        <v>38094</v>
      </c>
      <c r="D237" s="137" t="s">
        <v>711</v>
      </c>
      <c r="E237" s="138" t="s">
        <v>589</v>
      </c>
      <c r="F237" s="117">
        <v>1</v>
      </c>
      <c r="G237" s="139">
        <v>1.5064799999999998</v>
      </c>
      <c r="H237" s="553"/>
      <c r="I237" s="140">
        <f t="shared" si="4"/>
        <v>0</v>
      </c>
      <c r="J237"/>
      <c r="K237"/>
      <c r="L237"/>
      <c r="M237"/>
    </row>
    <row r="238" spans="1:13" ht="22.5" x14ac:dyDescent="0.2">
      <c r="A238" s="134" t="s">
        <v>544</v>
      </c>
      <c r="B238" s="135" t="s">
        <v>306</v>
      </c>
      <c r="C238" s="141">
        <v>38099</v>
      </c>
      <c r="D238" s="137" t="s">
        <v>775</v>
      </c>
      <c r="E238" s="138" t="s">
        <v>589</v>
      </c>
      <c r="F238" s="117">
        <v>1</v>
      </c>
      <c r="G238" s="139">
        <v>1.5064799999999998</v>
      </c>
      <c r="H238" s="553"/>
      <c r="I238" s="140">
        <f t="shared" si="4"/>
        <v>0</v>
      </c>
      <c r="J238"/>
      <c r="K238"/>
      <c r="L238"/>
      <c r="M238"/>
    </row>
    <row r="239" spans="1:13" x14ac:dyDescent="0.2">
      <c r="A239" s="134" t="s">
        <v>544</v>
      </c>
      <c r="B239" s="135" t="s">
        <v>306</v>
      </c>
      <c r="C239" s="141">
        <v>38112</v>
      </c>
      <c r="D239" s="137" t="s">
        <v>717</v>
      </c>
      <c r="E239" s="138" t="s">
        <v>589</v>
      </c>
      <c r="F239" s="117">
        <v>1</v>
      </c>
      <c r="G239" s="139">
        <v>1.5064799999999998</v>
      </c>
      <c r="H239" s="553"/>
      <c r="I239" s="140">
        <f t="shared" si="4"/>
        <v>0</v>
      </c>
      <c r="J239"/>
      <c r="K239"/>
      <c r="L239"/>
      <c r="M239"/>
    </row>
    <row r="240" spans="1:13" ht="22.5" x14ac:dyDescent="0.2">
      <c r="A240" s="134" t="s">
        <v>545</v>
      </c>
      <c r="B240" s="135" t="s">
        <v>306</v>
      </c>
      <c r="C240" s="141">
        <v>38094</v>
      </c>
      <c r="D240" s="137" t="s">
        <v>711</v>
      </c>
      <c r="E240" s="138" t="s">
        <v>589</v>
      </c>
      <c r="F240" s="117">
        <v>1</v>
      </c>
      <c r="G240" s="139">
        <v>1.0043199999999999</v>
      </c>
      <c r="H240" s="553"/>
      <c r="I240" s="140">
        <f t="shared" si="4"/>
        <v>0</v>
      </c>
      <c r="J240"/>
      <c r="K240"/>
      <c r="L240"/>
      <c r="M240"/>
    </row>
    <row r="241" spans="1:13" ht="22.5" x14ac:dyDescent="0.2">
      <c r="A241" s="134" t="s">
        <v>545</v>
      </c>
      <c r="B241" s="135" t="s">
        <v>306</v>
      </c>
      <c r="C241" s="141">
        <v>38099</v>
      </c>
      <c r="D241" s="137" t="s">
        <v>775</v>
      </c>
      <c r="E241" s="138" t="s">
        <v>589</v>
      </c>
      <c r="F241" s="117">
        <v>1</v>
      </c>
      <c r="G241" s="139">
        <v>1.0043199999999999</v>
      </c>
      <c r="H241" s="553"/>
      <c r="I241" s="140">
        <f t="shared" si="4"/>
        <v>0</v>
      </c>
      <c r="J241"/>
      <c r="K241"/>
      <c r="L241"/>
      <c r="M241"/>
    </row>
    <row r="242" spans="1:13" x14ac:dyDescent="0.2">
      <c r="A242" s="134" t="s">
        <v>545</v>
      </c>
      <c r="B242" s="135" t="s">
        <v>306</v>
      </c>
      <c r="C242" s="141">
        <v>38112</v>
      </c>
      <c r="D242" s="137" t="s">
        <v>717</v>
      </c>
      <c r="E242" s="138" t="s">
        <v>589</v>
      </c>
      <c r="F242" s="117">
        <v>1</v>
      </c>
      <c r="G242" s="139">
        <v>1.0043199999999999</v>
      </c>
      <c r="H242" s="553"/>
      <c r="I242" s="140">
        <f t="shared" si="4"/>
        <v>0</v>
      </c>
      <c r="J242"/>
      <c r="K242"/>
      <c r="L242"/>
      <c r="M242"/>
    </row>
    <row r="243" spans="1:13" x14ac:dyDescent="0.2">
      <c r="A243" s="134" t="s">
        <v>545</v>
      </c>
      <c r="B243" s="135" t="s">
        <v>306</v>
      </c>
      <c r="C243" s="141">
        <v>38101</v>
      </c>
      <c r="D243" s="137" t="s">
        <v>799</v>
      </c>
      <c r="E243" s="138" t="s">
        <v>589</v>
      </c>
      <c r="F243" s="117">
        <v>1</v>
      </c>
      <c r="G243" s="139">
        <v>1.0043199999999999</v>
      </c>
      <c r="H243" s="553"/>
      <c r="I243" s="140">
        <f t="shared" si="4"/>
        <v>0</v>
      </c>
      <c r="J243"/>
      <c r="K243"/>
      <c r="L243"/>
      <c r="M243"/>
    </row>
    <row r="244" spans="1:13" ht="22.5" x14ac:dyDescent="0.2">
      <c r="A244" s="134" t="s">
        <v>546</v>
      </c>
      <c r="B244" s="135" t="s">
        <v>306</v>
      </c>
      <c r="C244" s="141">
        <v>38094</v>
      </c>
      <c r="D244" s="137" t="s">
        <v>711</v>
      </c>
      <c r="E244" s="138" t="s">
        <v>589</v>
      </c>
      <c r="F244" s="117">
        <v>1</v>
      </c>
      <c r="G244" s="139">
        <v>5.4289600000000009</v>
      </c>
      <c r="H244" s="553"/>
      <c r="I244" s="140">
        <f t="shared" si="4"/>
        <v>0</v>
      </c>
      <c r="J244"/>
      <c r="K244"/>
      <c r="L244"/>
      <c r="M244"/>
    </row>
    <row r="245" spans="1:13" ht="22.5" x14ac:dyDescent="0.2">
      <c r="A245" s="134" t="s">
        <v>546</v>
      </c>
      <c r="B245" s="135" t="s">
        <v>306</v>
      </c>
      <c r="C245" s="141">
        <v>38099</v>
      </c>
      <c r="D245" s="137" t="s">
        <v>775</v>
      </c>
      <c r="E245" s="138" t="s">
        <v>589</v>
      </c>
      <c r="F245" s="117">
        <v>1</v>
      </c>
      <c r="G245" s="139">
        <v>5.4289600000000009</v>
      </c>
      <c r="H245" s="553"/>
      <c r="I245" s="140">
        <f t="shared" si="4"/>
        <v>0</v>
      </c>
      <c r="J245"/>
      <c r="K245"/>
      <c r="L245"/>
      <c r="M245"/>
    </row>
    <row r="246" spans="1:13" x14ac:dyDescent="0.2">
      <c r="A246" s="134" t="s">
        <v>546</v>
      </c>
      <c r="B246" s="135" t="s">
        <v>306</v>
      </c>
      <c r="C246" s="141">
        <v>38101</v>
      </c>
      <c r="D246" s="137" t="s">
        <v>799</v>
      </c>
      <c r="E246" s="138" t="s">
        <v>589</v>
      </c>
      <c r="F246" s="117">
        <v>1</v>
      </c>
      <c r="G246" s="139">
        <v>5.4289600000000009</v>
      </c>
      <c r="H246" s="553"/>
      <c r="I246" s="140">
        <f t="shared" si="4"/>
        <v>0</v>
      </c>
      <c r="J246"/>
      <c r="K246"/>
      <c r="L246"/>
      <c r="M246"/>
    </row>
    <row r="247" spans="1:13" ht="22.5" x14ac:dyDescent="0.2">
      <c r="A247" s="134" t="s">
        <v>547</v>
      </c>
      <c r="B247" s="135" t="s">
        <v>306</v>
      </c>
      <c r="C247" s="141">
        <v>38094</v>
      </c>
      <c r="D247" s="137" t="s">
        <v>711</v>
      </c>
      <c r="E247" s="138" t="s">
        <v>589</v>
      </c>
      <c r="F247" s="117">
        <v>1</v>
      </c>
      <c r="G247" s="139">
        <v>0.67862000000000011</v>
      </c>
      <c r="H247" s="553"/>
      <c r="I247" s="140">
        <f t="shared" si="4"/>
        <v>0</v>
      </c>
      <c r="J247"/>
      <c r="K247"/>
      <c r="L247"/>
      <c r="M247"/>
    </row>
    <row r="248" spans="1:13" ht="22.5" x14ac:dyDescent="0.2">
      <c r="A248" s="134" t="s">
        <v>547</v>
      </c>
      <c r="B248" s="135" t="s">
        <v>306</v>
      </c>
      <c r="C248" s="141">
        <v>38099</v>
      </c>
      <c r="D248" s="137" t="s">
        <v>775</v>
      </c>
      <c r="E248" s="138" t="s">
        <v>589</v>
      </c>
      <c r="F248" s="117">
        <v>1</v>
      </c>
      <c r="G248" s="139">
        <v>0.67862000000000011</v>
      </c>
      <c r="H248" s="553"/>
      <c r="I248" s="140">
        <f t="shared" si="4"/>
        <v>0</v>
      </c>
      <c r="J248"/>
      <c r="K248"/>
      <c r="L248"/>
      <c r="M248"/>
    </row>
    <row r="249" spans="1:13" x14ac:dyDescent="0.2">
      <c r="A249" s="134" t="s">
        <v>547</v>
      </c>
      <c r="B249" s="135" t="s">
        <v>306</v>
      </c>
      <c r="C249" s="141">
        <v>38102</v>
      </c>
      <c r="D249" s="137" t="s">
        <v>802</v>
      </c>
      <c r="E249" s="138" t="s">
        <v>589</v>
      </c>
      <c r="F249" s="117">
        <v>1</v>
      </c>
      <c r="G249" s="139">
        <v>0.67862000000000011</v>
      </c>
      <c r="H249" s="553"/>
      <c r="I249" s="140">
        <f t="shared" si="4"/>
        <v>0</v>
      </c>
      <c r="J249"/>
      <c r="K249"/>
      <c r="L249"/>
      <c r="M249"/>
    </row>
    <row r="250" spans="1:13" ht="22.5" x14ac:dyDescent="0.2">
      <c r="A250" s="134" t="s">
        <v>548</v>
      </c>
      <c r="B250" s="135" t="s">
        <v>306</v>
      </c>
      <c r="C250" s="141">
        <v>38062</v>
      </c>
      <c r="D250" s="137" t="s">
        <v>718</v>
      </c>
      <c r="E250" s="138" t="s">
        <v>589</v>
      </c>
      <c r="F250" s="117">
        <v>1</v>
      </c>
      <c r="G250" s="139">
        <v>1.0043199999999999</v>
      </c>
      <c r="H250" s="553"/>
      <c r="I250" s="140">
        <f t="shared" si="4"/>
        <v>0</v>
      </c>
      <c r="J250"/>
      <c r="K250"/>
      <c r="L250"/>
      <c r="M250"/>
    </row>
    <row r="251" spans="1:13" ht="22.5" x14ac:dyDescent="0.2">
      <c r="A251" s="134" t="s">
        <v>549</v>
      </c>
      <c r="B251" s="135" t="s">
        <v>306</v>
      </c>
      <c r="C251" s="141">
        <v>38077</v>
      </c>
      <c r="D251" s="137" t="s">
        <v>716</v>
      </c>
      <c r="E251" s="138" t="s">
        <v>589</v>
      </c>
      <c r="F251" s="117">
        <v>1</v>
      </c>
      <c r="G251" s="139">
        <v>1.0043199999999999</v>
      </c>
      <c r="H251" s="553"/>
      <c r="I251" s="140">
        <f t="shared" si="4"/>
        <v>0</v>
      </c>
      <c r="J251"/>
      <c r="K251"/>
      <c r="L251"/>
      <c r="M251"/>
    </row>
    <row r="252" spans="1:13" ht="22.5" x14ac:dyDescent="0.2">
      <c r="A252" s="134" t="s">
        <v>550</v>
      </c>
      <c r="B252" s="135" t="s">
        <v>306</v>
      </c>
      <c r="C252" s="141">
        <v>12128</v>
      </c>
      <c r="D252" s="137" t="s">
        <v>719</v>
      </c>
      <c r="E252" s="138" t="s">
        <v>589</v>
      </c>
      <c r="F252" s="117">
        <v>1</v>
      </c>
      <c r="G252" s="139">
        <v>0.50215999999999994</v>
      </c>
      <c r="H252" s="553"/>
      <c r="I252" s="140">
        <f t="shared" si="4"/>
        <v>0</v>
      </c>
      <c r="J252"/>
      <c r="K252"/>
      <c r="L252"/>
      <c r="M252"/>
    </row>
    <row r="253" spans="1:13" ht="22.5" x14ac:dyDescent="0.2">
      <c r="A253" s="134" t="s">
        <v>551</v>
      </c>
      <c r="B253" s="135" t="s">
        <v>306</v>
      </c>
      <c r="C253" s="141">
        <v>38095</v>
      </c>
      <c r="D253" s="137" t="s">
        <v>710</v>
      </c>
      <c r="E253" s="138" t="s">
        <v>589</v>
      </c>
      <c r="F253" s="117">
        <v>1</v>
      </c>
      <c r="G253" s="139">
        <v>5.9311200000000008</v>
      </c>
      <c r="H253" s="553"/>
      <c r="I253" s="140">
        <f t="shared" si="4"/>
        <v>0</v>
      </c>
      <c r="J253"/>
      <c r="K253"/>
      <c r="L253"/>
      <c r="M253"/>
    </row>
    <row r="254" spans="1:13" ht="22.5" x14ac:dyDescent="0.2">
      <c r="A254" s="134" t="s">
        <v>552</v>
      </c>
      <c r="B254" s="135" t="s">
        <v>306</v>
      </c>
      <c r="C254" s="141">
        <v>38091</v>
      </c>
      <c r="D254" s="137" t="s">
        <v>709</v>
      </c>
      <c r="E254" s="138" t="s">
        <v>589</v>
      </c>
      <c r="F254" s="117">
        <v>1</v>
      </c>
      <c r="G254" s="139">
        <v>5.9311200000000008</v>
      </c>
      <c r="H254" s="553"/>
      <c r="I254" s="140">
        <f t="shared" si="4"/>
        <v>0</v>
      </c>
      <c r="J254"/>
      <c r="K254"/>
      <c r="L254"/>
      <c r="M254"/>
    </row>
    <row r="255" spans="1:13" ht="22.5" x14ac:dyDescent="0.2">
      <c r="A255" s="134" t="s">
        <v>553</v>
      </c>
      <c r="B255" s="135" t="s">
        <v>306</v>
      </c>
      <c r="C255" s="141">
        <v>12147</v>
      </c>
      <c r="D255" s="137" t="s">
        <v>801</v>
      </c>
      <c r="E255" s="138" t="s">
        <v>589</v>
      </c>
      <c r="F255" s="117">
        <v>1</v>
      </c>
      <c r="G255" s="139">
        <v>2.03586</v>
      </c>
      <c r="H255" s="553"/>
      <c r="I255" s="140">
        <f t="shared" si="4"/>
        <v>0</v>
      </c>
      <c r="J255"/>
      <c r="K255"/>
      <c r="L255"/>
      <c r="M255"/>
    </row>
    <row r="256" spans="1:13" ht="22.5" x14ac:dyDescent="0.2">
      <c r="A256" s="134" t="s">
        <v>554</v>
      </c>
      <c r="B256" s="135" t="s">
        <v>306</v>
      </c>
      <c r="C256" s="141">
        <v>7528</v>
      </c>
      <c r="D256" s="137" t="s">
        <v>800</v>
      </c>
      <c r="E256" s="138" t="s">
        <v>589</v>
      </c>
      <c r="F256" s="117">
        <v>1</v>
      </c>
      <c r="G256" s="139">
        <v>5.4289600000000009</v>
      </c>
      <c r="H256" s="553"/>
      <c r="I256" s="140">
        <f t="shared" si="4"/>
        <v>0</v>
      </c>
      <c r="J256"/>
      <c r="K256"/>
      <c r="L256"/>
      <c r="M256"/>
    </row>
    <row r="257" spans="1:13" ht="22.5" x14ac:dyDescent="0.2">
      <c r="A257" s="134" t="s">
        <v>555</v>
      </c>
      <c r="B257" s="135" t="s">
        <v>306</v>
      </c>
      <c r="C257" s="141">
        <v>38774</v>
      </c>
      <c r="D257" s="137" t="s">
        <v>749</v>
      </c>
      <c r="E257" s="138" t="s">
        <v>589</v>
      </c>
      <c r="F257" s="117">
        <v>1</v>
      </c>
      <c r="G257" s="139">
        <v>12.8</v>
      </c>
      <c r="H257" s="553"/>
      <c r="I257" s="140">
        <f t="shared" si="4"/>
        <v>0</v>
      </c>
      <c r="J257"/>
      <c r="K257"/>
      <c r="L257"/>
      <c r="M257"/>
    </row>
    <row r="258" spans="1:13" ht="33.75" x14ac:dyDescent="0.2">
      <c r="A258" s="134" t="s">
        <v>556</v>
      </c>
      <c r="B258" s="135" t="s">
        <v>306</v>
      </c>
      <c r="C258" s="141">
        <v>3788</v>
      </c>
      <c r="D258" s="137" t="s">
        <v>750</v>
      </c>
      <c r="E258" s="138" t="s">
        <v>589</v>
      </c>
      <c r="F258" s="117">
        <v>1</v>
      </c>
      <c r="G258" s="139">
        <v>3.2200000000000006</v>
      </c>
      <c r="H258" s="553"/>
      <c r="I258" s="140">
        <f t="shared" si="4"/>
        <v>0</v>
      </c>
      <c r="J258"/>
      <c r="K258"/>
      <c r="L258"/>
      <c r="M258"/>
    </row>
    <row r="259" spans="1:13" ht="33.75" x14ac:dyDescent="0.2">
      <c r="A259" s="134" t="s">
        <v>557</v>
      </c>
      <c r="B259" s="135" t="s">
        <v>306</v>
      </c>
      <c r="C259" s="141">
        <v>3780</v>
      </c>
      <c r="D259" s="137" t="s">
        <v>751</v>
      </c>
      <c r="E259" s="138" t="s">
        <v>589</v>
      </c>
      <c r="F259" s="117">
        <v>1</v>
      </c>
      <c r="G259" s="139">
        <v>3.2200000000000006</v>
      </c>
      <c r="H259" s="553"/>
      <c r="I259" s="140">
        <f t="shared" ref="I259:I320" si="5">IFERROR(H259*G259,"")</f>
        <v>0</v>
      </c>
      <c r="J259"/>
      <c r="K259"/>
      <c r="L259"/>
      <c r="M259"/>
    </row>
    <row r="260" spans="1:13" ht="33.75" x14ac:dyDescent="0.2">
      <c r="A260" s="134" t="s">
        <v>558</v>
      </c>
      <c r="B260" s="135" t="s">
        <v>306</v>
      </c>
      <c r="C260" s="141">
        <v>3811</v>
      </c>
      <c r="D260" s="137" t="s">
        <v>752</v>
      </c>
      <c r="E260" s="138" t="s">
        <v>589</v>
      </c>
      <c r="F260" s="117">
        <v>1</v>
      </c>
      <c r="G260" s="139">
        <v>4.83</v>
      </c>
      <c r="H260" s="553"/>
      <c r="I260" s="140">
        <f t="shared" si="5"/>
        <v>0</v>
      </c>
      <c r="J260"/>
      <c r="K260"/>
      <c r="L260"/>
      <c r="M260"/>
    </row>
    <row r="261" spans="1:13" ht="33.75" x14ac:dyDescent="0.2">
      <c r="A261" s="134" t="s">
        <v>559</v>
      </c>
      <c r="B261" s="135" t="s">
        <v>306</v>
      </c>
      <c r="C261" s="141">
        <v>3799</v>
      </c>
      <c r="D261" s="137" t="s">
        <v>753</v>
      </c>
      <c r="E261" s="138" t="s">
        <v>589</v>
      </c>
      <c r="F261" s="117">
        <v>1</v>
      </c>
      <c r="G261" s="139">
        <v>4.83</v>
      </c>
      <c r="H261" s="553"/>
      <c r="I261" s="140">
        <f t="shared" si="5"/>
        <v>0</v>
      </c>
      <c r="J261"/>
      <c r="K261"/>
      <c r="L261"/>
      <c r="M261"/>
    </row>
    <row r="262" spans="1:13" ht="22.5" x14ac:dyDescent="0.2">
      <c r="A262" s="134" t="s">
        <v>560</v>
      </c>
      <c r="B262" s="135" t="s">
        <v>306</v>
      </c>
      <c r="C262" s="141">
        <v>39385</v>
      </c>
      <c r="D262" s="137" t="s">
        <v>754</v>
      </c>
      <c r="E262" s="138" t="s">
        <v>589</v>
      </c>
      <c r="F262" s="117">
        <v>1</v>
      </c>
      <c r="G262" s="139">
        <v>4.83</v>
      </c>
      <c r="H262" s="553"/>
      <c r="I262" s="140">
        <f t="shared" si="5"/>
        <v>0</v>
      </c>
      <c r="J262"/>
      <c r="K262"/>
      <c r="L262"/>
      <c r="M262"/>
    </row>
    <row r="263" spans="1:13" x14ac:dyDescent="0.2">
      <c r="A263" s="134" t="s">
        <v>561</v>
      </c>
      <c r="B263" s="135" t="s">
        <v>306</v>
      </c>
      <c r="C263" s="141">
        <v>39390</v>
      </c>
      <c r="D263" s="137" t="s">
        <v>755</v>
      </c>
      <c r="E263" s="138" t="s">
        <v>589</v>
      </c>
      <c r="F263" s="117">
        <v>1</v>
      </c>
      <c r="G263" s="139">
        <v>4.83</v>
      </c>
      <c r="H263" s="553"/>
      <c r="I263" s="140">
        <f t="shared" si="5"/>
        <v>0</v>
      </c>
      <c r="J263"/>
      <c r="K263"/>
      <c r="L263"/>
      <c r="M263"/>
    </row>
    <row r="264" spans="1:13" x14ac:dyDescent="0.2">
      <c r="A264" s="134" t="s">
        <v>562</v>
      </c>
      <c r="B264" s="135" t="s">
        <v>306</v>
      </c>
      <c r="C264" s="141">
        <v>39391</v>
      </c>
      <c r="D264" s="137" t="s">
        <v>756</v>
      </c>
      <c r="E264" s="138" t="s">
        <v>589</v>
      </c>
      <c r="F264" s="117">
        <v>1</v>
      </c>
      <c r="G264" s="139">
        <v>4.83</v>
      </c>
      <c r="H264" s="553"/>
      <c r="I264" s="140">
        <f t="shared" si="5"/>
        <v>0</v>
      </c>
      <c r="J264"/>
      <c r="K264"/>
      <c r="L264"/>
      <c r="M264"/>
    </row>
    <row r="265" spans="1:13" x14ac:dyDescent="0.2">
      <c r="A265" s="134" t="s">
        <v>563</v>
      </c>
      <c r="B265" s="135" t="s">
        <v>306</v>
      </c>
      <c r="C265" s="141">
        <v>1088</v>
      </c>
      <c r="D265" s="137" t="s">
        <v>533</v>
      </c>
      <c r="E265" s="138" t="s">
        <v>589</v>
      </c>
      <c r="F265" s="117">
        <v>0.15</v>
      </c>
      <c r="G265" s="139">
        <v>0</v>
      </c>
      <c r="H265" s="553"/>
      <c r="I265" s="140">
        <f t="shared" si="5"/>
        <v>0</v>
      </c>
      <c r="J265" s="144">
        <v>1</v>
      </c>
      <c r="K265" s="144">
        <v>0.15</v>
      </c>
      <c r="L265"/>
      <c r="M265"/>
    </row>
    <row r="266" spans="1:13" ht="22.5" x14ac:dyDescent="0.2">
      <c r="A266" s="134" t="s">
        <v>564</v>
      </c>
      <c r="B266" s="135" t="s">
        <v>306</v>
      </c>
      <c r="C266" s="141">
        <v>1079</v>
      </c>
      <c r="D266" s="137" t="s">
        <v>534</v>
      </c>
      <c r="E266" s="138" t="s">
        <v>589</v>
      </c>
      <c r="F266" s="117">
        <v>0.15</v>
      </c>
      <c r="G266" s="139">
        <v>0</v>
      </c>
      <c r="H266" s="553"/>
      <c r="I266" s="140">
        <f t="shared" si="5"/>
        <v>0</v>
      </c>
      <c r="J266" s="144">
        <v>1</v>
      </c>
      <c r="K266" s="144">
        <v>0.15</v>
      </c>
      <c r="L266"/>
      <c r="M266"/>
    </row>
    <row r="267" spans="1:13" ht="22.5" x14ac:dyDescent="0.2">
      <c r="A267" s="134" t="s">
        <v>565</v>
      </c>
      <c r="B267" s="135" t="s">
        <v>306</v>
      </c>
      <c r="C267" s="141">
        <v>1086</v>
      </c>
      <c r="D267" s="137" t="s">
        <v>536</v>
      </c>
      <c r="E267" s="138" t="s">
        <v>589</v>
      </c>
      <c r="F267" s="117">
        <v>0.15</v>
      </c>
      <c r="G267" s="139">
        <v>0</v>
      </c>
      <c r="H267" s="553"/>
      <c r="I267" s="140">
        <f t="shared" si="5"/>
        <v>0</v>
      </c>
      <c r="J267" s="144">
        <v>1</v>
      </c>
      <c r="K267" s="144">
        <v>0.15</v>
      </c>
      <c r="L267"/>
      <c r="M267"/>
    </row>
    <row r="268" spans="1:13" ht="22.5" x14ac:dyDescent="0.2">
      <c r="A268" s="134" t="s">
        <v>566</v>
      </c>
      <c r="B268" s="135" t="s">
        <v>306</v>
      </c>
      <c r="C268" s="141">
        <v>392</v>
      </c>
      <c r="D268" s="137" t="s">
        <v>663</v>
      </c>
      <c r="E268" s="138" t="s">
        <v>589</v>
      </c>
      <c r="F268" s="117">
        <v>0.65</v>
      </c>
      <c r="G268" s="139">
        <v>1.3</v>
      </c>
      <c r="H268" s="553"/>
      <c r="I268" s="140">
        <f t="shared" si="5"/>
        <v>0</v>
      </c>
      <c r="J268"/>
      <c r="K268"/>
      <c r="L268"/>
      <c r="M268"/>
    </row>
    <row r="269" spans="1:13" x14ac:dyDescent="0.2">
      <c r="A269" s="134"/>
      <c r="B269" s="135" t="s">
        <v>306</v>
      </c>
      <c r="C269" s="141">
        <v>2684</v>
      </c>
      <c r="D269" s="137" t="s">
        <v>705</v>
      </c>
      <c r="E269" s="138" t="s">
        <v>664</v>
      </c>
      <c r="F269" s="117">
        <v>1.0169999999999999</v>
      </c>
      <c r="G269" s="139" t="s">
        <v>814</v>
      </c>
      <c r="H269" s="553"/>
      <c r="I269" s="140" t="str">
        <f t="shared" si="5"/>
        <v/>
      </c>
      <c r="J269"/>
      <c r="K269"/>
      <c r="L269"/>
      <c r="M269"/>
    </row>
    <row r="270" spans="1:13" x14ac:dyDescent="0.2">
      <c r="A270" s="134" t="s">
        <v>567</v>
      </c>
      <c r="B270" s="135" t="s">
        <v>306</v>
      </c>
      <c r="C270" s="141">
        <v>2682</v>
      </c>
      <c r="D270" s="137" t="s">
        <v>706</v>
      </c>
      <c r="E270" s="138" t="s">
        <v>664</v>
      </c>
      <c r="F270" s="117">
        <v>1.1000000000000001</v>
      </c>
      <c r="G270" s="139">
        <v>3.3000000000000003</v>
      </c>
      <c r="H270" s="553"/>
      <c r="I270" s="140">
        <f t="shared" si="5"/>
        <v>0</v>
      </c>
      <c r="J270"/>
      <c r="K270"/>
      <c r="L270"/>
      <c r="M270"/>
    </row>
    <row r="271" spans="1:13" ht="22.5" x14ac:dyDescent="0.2">
      <c r="A271" s="134" t="s">
        <v>568</v>
      </c>
      <c r="B271" s="135" t="s">
        <v>306</v>
      </c>
      <c r="C271" s="141">
        <v>2637</v>
      </c>
      <c r="D271" s="137" t="s">
        <v>762</v>
      </c>
      <c r="E271" s="138" t="s">
        <v>589</v>
      </c>
      <c r="F271" s="117">
        <v>1</v>
      </c>
      <c r="G271" s="139">
        <v>7</v>
      </c>
      <c r="H271" s="553"/>
      <c r="I271" s="140">
        <f t="shared" si="5"/>
        <v>0</v>
      </c>
      <c r="J271"/>
      <c r="K271"/>
      <c r="L271"/>
      <c r="M271"/>
    </row>
    <row r="272" spans="1:13" ht="22.5" x14ac:dyDescent="0.2">
      <c r="A272" s="134" t="s">
        <v>568</v>
      </c>
      <c r="B272" s="135" t="s">
        <v>306</v>
      </c>
      <c r="C272" s="141">
        <v>392</v>
      </c>
      <c r="D272" s="137" t="s">
        <v>663</v>
      </c>
      <c r="E272" s="138" t="s">
        <v>589</v>
      </c>
      <c r="F272" s="117">
        <v>0.33300000000000002</v>
      </c>
      <c r="G272" s="139">
        <v>2.331</v>
      </c>
      <c r="H272" s="553"/>
      <c r="I272" s="140">
        <f t="shared" si="5"/>
        <v>0</v>
      </c>
      <c r="J272"/>
      <c r="K272"/>
      <c r="L272"/>
      <c r="M272"/>
    </row>
    <row r="273" spans="1:13" ht="22.5" x14ac:dyDescent="0.2">
      <c r="A273" s="134" t="s">
        <v>568</v>
      </c>
      <c r="B273" s="135" t="s">
        <v>306</v>
      </c>
      <c r="C273" s="141">
        <v>21128</v>
      </c>
      <c r="D273" s="137" t="s">
        <v>708</v>
      </c>
      <c r="E273" s="138" t="s">
        <v>664</v>
      </c>
      <c r="F273" s="117">
        <v>1</v>
      </c>
      <c r="G273" s="139">
        <v>7</v>
      </c>
      <c r="H273" s="553"/>
      <c r="I273" s="140">
        <f t="shared" si="5"/>
        <v>0</v>
      </c>
      <c r="J273"/>
      <c r="K273"/>
      <c r="L273"/>
      <c r="M273"/>
    </row>
    <row r="274" spans="1:13" ht="22.5" x14ac:dyDescent="0.2">
      <c r="A274" s="134" t="s">
        <v>569</v>
      </c>
      <c r="B274" s="135" t="s">
        <v>306</v>
      </c>
      <c r="C274" s="141">
        <v>392</v>
      </c>
      <c r="D274" s="137" t="s">
        <v>663</v>
      </c>
      <c r="E274" s="138" t="s">
        <v>589</v>
      </c>
      <c r="F274" s="117">
        <v>0.33300000000000002</v>
      </c>
      <c r="G274" s="139">
        <v>14.319000000000001</v>
      </c>
      <c r="H274" s="553"/>
      <c r="I274" s="140">
        <f t="shared" si="5"/>
        <v>0</v>
      </c>
      <c r="J274"/>
      <c r="K274"/>
      <c r="L274"/>
      <c r="M274"/>
    </row>
    <row r="275" spans="1:13" x14ac:dyDescent="0.2">
      <c r="A275" s="134" t="s">
        <v>569</v>
      </c>
      <c r="B275" s="135" t="s">
        <v>306</v>
      </c>
      <c r="C275" s="141">
        <v>2678</v>
      </c>
      <c r="D275" s="137" t="s">
        <v>707</v>
      </c>
      <c r="E275" s="138" t="s">
        <v>664</v>
      </c>
      <c r="F275" s="117">
        <v>1.048</v>
      </c>
      <c r="G275" s="139">
        <v>45.064</v>
      </c>
      <c r="H275" s="553"/>
      <c r="I275" s="140">
        <f t="shared" si="5"/>
        <v>0</v>
      </c>
      <c r="J275"/>
      <c r="K275"/>
      <c r="L275"/>
      <c r="M275"/>
    </row>
    <row r="276" spans="1:13" ht="22.5" x14ac:dyDescent="0.2">
      <c r="A276" s="134" t="s">
        <v>570</v>
      </c>
      <c r="B276" s="135" t="s">
        <v>306</v>
      </c>
      <c r="C276" s="141">
        <v>11950</v>
      </c>
      <c r="D276" s="137" t="s">
        <v>675</v>
      </c>
      <c r="E276" s="138" t="s">
        <v>589</v>
      </c>
      <c r="F276" s="117">
        <v>2</v>
      </c>
      <c r="G276" s="139">
        <v>6</v>
      </c>
      <c r="H276" s="553"/>
      <c r="I276" s="140">
        <f t="shared" si="5"/>
        <v>0</v>
      </c>
      <c r="J276"/>
      <c r="K276"/>
      <c r="L276"/>
      <c r="M276"/>
    </row>
    <row r="277" spans="1:13" x14ac:dyDescent="0.2">
      <c r="A277" s="134" t="s">
        <v>570</v>
      </c>
      <c r="B277" s="135" t="s">
        <v>306</v>
      </c>
      <c r="C277" s="141">
        <v>12020</v>
      </c>
      <c r="D277" s="137" t="s">
        <v>697</v>
      </c>
      <c r="E277" s="138" t="s">
        <v>589</v>
      </c>
      <c r="F277" s="117">
        <v>1</v>
      </c>
      <c r="G277" s="139">
        <v>3</v>
      </c>
      <c r="H277" s="553"/>
      <c r="I277" s="140">
        <f t="shared" si="5"/>
        <v>0</v>
      </c>
      <c r="J277"/>
      <c r="K277"/>
      <c r="L277"/>
      <c r="M277"/>
    </row>
    <row r="278" spans="1:13" ht="22.5" x14ac:dyDescent="0.2">
      <c r="A278" s="134" t="s">
        <v>571</v>
      </c>
      <c r="B278" s="135" t="s">
        <v>306</v>
      </c>
      <c r="C278" s="141">
        <v>11950</v>
      </c>
      <c r="D278" s="137" t="s">
        <v>675</v>
      </c>
      <c r="E278" s="138" t="s">
        <v>589</v>
      </c>
      <c r="F278" s="117">
        <v>2</v>
      </c>
      <c r="G278" s="139">
        <v>12</v>
      </c>
      <c r="H278" s="553"/>
      <c r="I278" s="140">
        <f t="shared" si="5"/>
        <v>0</v>
      </c>
      <c r="J278"/>
      <c r="K278"/>
      <c r="L278"/>
      <c r="M278"/>
    </row>
    <row r="279" spans="1:13" ht="22.5" x14ac:dyDescent="0.2">
      <c r="A279" s="134" t="s">
        <v>571</v>
      </c>
      <c r="B279" s="135" t="s">
        <v>306</v>
      </c>
      <c r="C279" s="141">
        <v>2586</v>
      </c>
      <c r="D279" s="137" t="s">
        <v>695</v>
      </c>
      <c r="E279" s="138" t="s">
        <v>589</v>
      </c>
      <c r="F279" s="117">
        <v>1</v>
      </c>
      <c r="G279" s="139">
        <v>6</v>
      </c>
      <c r="H279" s="553"/>
      <c r="I279" s="140">
        <f t="shared" si="5"/>
        <v>0</v>
      </c>
      <c r="J279"/>
      <c r="K279"/>
      <c r="L279"/>
      <c r="M279"/>
    </row>
    <row r="280" spans="1:13" x14ac:dyDescent="0.2">
      <c r="A280" s="134" t="s">
        <v>572</v>
      </c>
      <c r="B280" s="135" t="s">
        <v>306</v>
      </c>
      <c r="C280" s="141">
        <v>12016</v>
      </c>
      <c r="D280" s="137" t="s">
        <v>696</v>
      </c>
      <c r="E280" s="138" t="s">
        <v>589</v>
      </c>
      <c r="F280" s="117">
        <v>1</v>
      </c>
      <c r="G280" s="139">
        <v>1</v>
      </c>
      <c r="H280" s="553"/>
      <c r="I280" s="140">
        <f t="shared" si="5"/>
        <v>0</v>
      </c>
      <c r="J280"/>
      <c r="K280"/>
      <c r="L280"/>
      <c r="M280"/>
    </row>
    <row r="281" spans="1:13" ht="22.5" x14ac:dyDescent="0.2">
      <c r="A281" s="134" t="s">
        <v>573</v>
      </c>
      <c r="B281" s="135" t="s">
        <v>306</v>
      </c>
      <c r="C281" s="141">
        <v>11950</v>
      </c>
      <c r="D281" s="137" t="s">
        <v>675</v>
      </c>
      <c r="E281" s="138" t="s">
        <v>589</v>
      </c>
      <c r="F281" s="117">
        <v>2</v>
      </c>
      <c r="G281" s="139">
        <v>16</v>
      </c>
      <c r="H281" s="553"/>
      <c r="I281" s="140">
        <f t="shared" si="5"/>
        <v>0</v>
      </c>
      <c r="J281"/>
      <c r="K281"/>
      <c r="L281"/>
      <c r="M281"/>
    </row>
    <row r="282" spans="1:13" ht="22.5" x14ac:dyDescent="0.2">
      <c r="A282" s="134" t="s">
        <v>573</v>
      </c>
      <c r="B282" s="135" t="s">
        <v>306</v>
      </c>
      <c r="C282" s="141">
        <v>2559</v>
      </c>
      <c r="D282" s="137" t="s">
        <v>694</v>
      </c>
      <c r="E282" s="138" t="s">
        <v>589</v>
      </c>
      <c r="F282" s="117">
        <v>1</v>
      </c>
      <c r="G282" s="139">
        <v>8</v>
      </c>
      <c r="H282" s="553"/>
      <c r="I282" s="140">
        <f t="shared" si="5"/>
        <v>0</v>
      </c>
      <c r="J282"/>
      <c r="K282"/>
      <c r="L282"/>
      <c r="M282"/>
    </row>
    <row r="283" spans="1:13" ht="34.5" customHeight="1" x14ac:dyDescent="0.2">
      <c r="A283" s="134" t="s">
        <v>574</v>
      </c>
      <c r="B283" s="135" t="s">
        <v>306</v>
      </c>
      <c r="C283" s="141">
        <v>1014</v>
      </c>
      <c r="D283" s="137" t="s">
        <v>681</v>
      </c>
      <c r="E283" s="138" t="s">
        <v>664</v>
      </c>
      <c r="F283" s="117">
        <v>1.19</v>
      </c>
      <c r="G283" s="139">
        <v>409.35999999999996</v>
      </c>
      <c r="H283" s="553"/>
      <c r="I283" s="140">
        <f t="shared" si="5"/>
        <v>0</v>
      </c>
      <c r="J283"/>
      <c r="K283"/>
      <c r="L283"/>
      <c r="M283"/>
    </row>
    <row r="284" spans="1:13" ht="22.5" x14ac:dyDescent="0.2">
      <c r="A284" s="134" t="s">
        <v>574</v>
      </c>
      <c r="B284" s="135" t="s">
        <v>306</v>
      </c>
      <c r="C284" s="141">
        <v>21127</v>
      </c>
      <c r="D284" s="137" t="s">
        <v>713</v>
      </c>
      <c r="E284" s="138" t="s">
        <v>589</v>
      </c>
      <c r="F284" s="117">
        <v>8.9999999999999993E-3</v>
      </c>
      <c r="G284" s="139">
        <v>3.0959999999999996</v>
      </c>
      <c r="H284" s="553"/>
      <c r="I284" s="140">
        <f t="shared" si="5"/>
        <v>0</v>
      </c>
      <c r="J284"/>
      <c r="K284"/>
      <c r="L284"/>
      <c r="M284"/>
    </row>
    <row r="285" spans="1:13" ht="22.5" x14ac:dyDescent="0.2">
      <c r="A285" s="134" t="s">
        <v>575</v>
      </c>
      <c r="B285" s="135" t="s">
        <v>306</v>
      </c>
      <c r="C285" s="141">
        <v>981</v>
      </c>
      <c r="D285" s="137" t="s">
        <v>683</v>
      </c>
      <c r="E285" s="138" t="s">
        <v>664</v>
      </c>
      <c r="F285" s="117">
        <v>1.19</v>
      </c>
      <c r="G285" s="139">
        <v>30.939999999999998</v>
      </c>
      <c r="H285" s="553"/>
      <c r="I285" s="140">
        <f t="shared" si="5"/>
        <v>0</v>
      </c>
      <c r="J285"/>
      <c r="K285"/>
      <c r="L285"/>
      <c r="M285"/>
    </row>
    <row r="286" spans="1:13" ht="22.5" x14ac:dyDescent="0.2">
      <c r="A286" s="134" t="s">
        <v>575</v>
      </c>
      <c r="B286" s="135" t="s">
        <v>306</v>
      </c>
      <c r="C286" s="141">
        <v>21127</v>
      </c>
      <c r="D286" s="137" t="s">
        <v>713</v>
      </c>
      <c r="E286" s="138" t="s">
        <v>589</v>
      </c>
      <c r="F286" s="117">
        <v>8.9999999999999993E-3</v>
      </c>
      <c r="G286" s="139">
        <v>0.23399999999999999</v>
      </c>
      <c r="H286" s="553"/>
      <c r="I286" s="140">
        <f t="shared" si="5"/>
        <v>0</v>
      </c>
      <c r="J286"/>
      <c r="K286"/>
      <c r="L286"/>
      <c r="M286"/>
    </row>
    <row r="287" spans="1:13" ht="22.5" x14ac:dyDescent="0.2">
      <c r="A287" s="134" t="s">
        <v>576</v>
      </c>
      <c r="B287" s="135" t="s">
        <v>306</v>
      </c>
      <c r="C287" s="141">
        <v>982</v>
      </c>
      <c r="D287" s="137" t="s">
        <v>685</v>
      </c>
      <c r="E287" s="138" t="s">
        <v>664</v>
      </c>
      <c r="F287" s="117">
        <v>1.19</v>
      </c>
      <c r="G287" s="139">
        <v>10.709999999999999</v>
      </c>
      <c r="H287" s="553"/>
      <c r="I287" s="140">
        <f t="shared" si="5"/>
        <v>0</v>
      </c>
      <c r="J287"/>
      <c r="K287"/>
      <c r="L287"/>
      <c r="M287"/>
    </row>
    <row r="288" spans="1:13" ht="22.5" x14ac:dyDescent="0.2">
      <c r="A288" s="134" t="s">
        <v>576</v>
      </c>
      <c r="B288" s="135" t="s">
        <v>306</v>
      </c>
      <c r="C288" s="141">
        <v>21127</v>
      </c>
      <c r="D288" s="137" t="s">
        <v>713</v>
      </c>
      <c r="E288" s="138" t="s">
        <v>589</v>
      </c>
      <c r="F288" s="117">
        <v>8.9999999999999993E-3</v>
      </c>
      <c r="G288" s="139">
        <v>8.0999999999999989E-2</v>
      </c>
      <c r="H288" s="553"/>
      <c r="I288" s="140">
        <f t="shared" si="5"/>
        <v>0</v>
      </c>
      <c r="J288"/>
      <c r="K288"/>
      <c r="L288"/>
      <c r="M288"/>
    </row>
    <row r="289" spans="1:13" ht="33.75" x14ac:dyDescent="0.2">
      <c r="A289" s="134" t="s">
        <v>577</v>
      </c>
      <c r="B289" s="135" t="s">
        <v>306</v>
      </c>
      <c r="C289" s="141">
        <v>1020</v>
      </c>
      <c r="D289" s="137" t="s">
        <v>677</v>
      </c>
      <c r="E289" s="138" t="s">
        <v>664</v>
      </c>
      <c r="F289" s="117">
        <v>1.19</v>
      </c>
      <c r="G289" s="139">
        <v>1.19</v>
      </c>
      <c r="H289" s="553"/>
      <c r="I289" s="140">
        <f t="shared" si="5"/>
        <v>0</v>
      </c>
      <c r="J289"/>
      <c r="K289"/>
      <c r="L289"/>
      <c r="M289"/>
    </row>
    <row r="290" spans="1:13" ht="22.5" x14ac:dyDescent="0.2">
      <c r="A290" s="134" t="s">
        <v>577</v>
      </c>
      <c r="B290" s="135" t="s">
        <v>306</v>
      </c>
      <c r="C290" s="141">
        <v>21127</v>
      </c>
      <c r="D290" s="137" t="s">
        <v>713</v>
      </c>
      <c r="E290" s="138" t="s">
        <v>589</v>
      </c>
      <c r="F290" s="117">
        <v>8.9999999999999993E-3</v>
      </c>
      <c r="G290" s="139">
        <v>8.9999999999999993E-3</v>
      </c>
      <c r="H290" s="553"/>
      <c r="I290" s="140">
        <f t="shared" si="5"/>
        <v>0</v>
      </c>
      <c r="J290"/>
      <c r="K290"/>
      <c r="L290"/>
      <c r="M290"/>
    </row>
    <row r="291" spans="1:13" ht="33.75" x14ac:dyDescent="0.2">
      <c r="A291" s="134" t="s">
        <v>578</v>
      </c>
      <c r="B291" s="135" t="s">
        <v>306</v>
      </c>
      <c r="C291" s="141">
        <v>995</v>
      </c>
      <c r="D291" s="137" t="s">
        <v>678</v>
      </c>
      <c r="E291" s="138" t="s">
        <v>664</v>
      </c>
      <c r="F291" s="117">
        <v>1.19</v>
      </c>
      <c r="G291" s="139">
        <v>2.38</v>
      </c>
      <c r="H291" s="553"/>
      <c r="I291" s="140">
        <f t="shared" si="5"/>
        <v>0</v>
      </c>
      <c r="J291"/>
      <c r="K291"/>
      <c r="L291"/>
      <c r="M291"/>
    </row>
    <row r="292" spans="1:13" ht="22.5" x14ac:dyDescent="0.2">
      <c r="A292" s="134" t="s">
        <v>578</v>
      </c>
      <c r="B292" s="135" t="s">
        <v>306</v>
      </c>
      <c r="C292" s="141">
        <v>21127</v>
      </c>
      <c r="D292" s="137" t="s">
        <v>713</v>
      </c>
      <c r="E292" s="138" t="s">
        <v>589</v>
      </c>
      <c r="F292" s="117">
        <v>8.9999999999999993E-3</v>
      </c>
      <c r="G292" s="139">
        <v>1.7999999999999999E-2</v>
      </c>
      <c r="H292" s="553"/>
      <c r="I292" s="140">
        <f t="shared" si="5"/>
        <v>0</v>
      </c>
      <c r="J292"/>
      <c r="K292"/>
      <c r="L292"/>
      <c r="M292"/>
    </row>
    <row r="293" spans="1:13" ht="22.5" x14ac:dyDescent="0.2">
      <c r="A293" s="134" t="s">
        <v>579</v>
      </c>
      <c r="B293" s="135" t="s">
        <v>306</v>
      </c>
      <c r="C293" s="141">
        <v>39232</v>
      </c>
      <c r="D293" s="137" t="s">
        <v>682</v>
      </c>
      <c r="E293" s="138" t="s">
        <v>664</v>
      </c>
      <c r="F293" s="117">
        <v>1.0149999999999999</v>
      </c>
      <c r="G293" s="139">
        <v>5.0749999999999993</v>
      </c>
      <c r="H293" s="553"/>
      <c r="I293" s="140">
        <f t="shared" si="5"/>
        <v>0</v>
      </c>
      <c r="J293"/>
      <c r="K293"/>
      <c r="L293"/>
      <c r="M293"/>
    </row>
    <row r="294" spans="1:13" ht="22.5" x14ac:dyDescent="0.2">
      <c r="A294" s="134" t="s">
        <v>579</v>
      </c>
      <c r="B294" s="135" t="s">
        <v>306</v>
      </c>
      <c r="C294" s="141">
        <v>21127</v>
      </c>
      <c r="D294" s="137" t="s">
        <v>713</v>
      </c>
      <c r="E294" s="138" t="s">
        <v>589</v>
      </c>
      <c r="F294" s="117">
        <v>8.9999999999999993E-3</v>
      </c>
      <c r="G294" s="139">
        <v>4.4999999999999998E-2</v>
      </c>
      <c r="H294" s="553"/>
      <c r="I294" s="140">
        <f t="shared" si="5"/>
        <v>0</v>
      </c>
      <c r="J294"/>
      <c r="K294"/>
      <c r="L294"/>
      <c r="M294"/>
    </row>
    <row r="295" spans="1:13" ht="22.5" x14ac:dyDescent="0.2">
      <c r="A295" s="134" t="s">
        <v>580</v>
      </c>
      <c r="B295" s="135" t="s">
        <v>306</v>
      </c>
      <c r="C295" s="141">
        <v>39234</v>
      </c>
      <c r="D295" s="137" t="s">
        <v>684</v>
      </c>
      <c r="E295" s="138" t="s">
        <v>664</v>
      </c>
      <c r="F295" s="117">
        <v>1.0149999999999999</v>
      </c>
      <c r="G295" s="139">
        <v>3.0449999999999999</v>
      </c>
      <c r="H295" s="553"/>
      <c r="I295" s="140">
        <f t="shared" si="5"/>
        <v>0</v>
      </c>
      <c r="J295"/>
      <c r="K295"/>
      <c r="L295"/>
      <c r="M295"/>
    </row>
    <row r="296" spans="1:13" ht="22.5" x14ac:dyDescent="0.2">
      <c r="A296" s="134" t="s">
        <v>580</v>
      </c>
      <c r="B296" s="135" t="s">
        <v>306</v>
      </c>
      <c r="C296" s="141">
        <v>21127</v>
      </c>
      <c r="D296" s="137" t="s">
        <v>713</v>
      </c>
      <c r="E296" s="138" t="s">
        <v>589</v>
      </c>
      <c r="F296" s="117">
        <v>8.9999999999999993E-3</v>
      </c>
      <c r="G296" s="139">
        <v>2.6999999999999996E-2</v>
      </c>
      <c r="H296" s="553"/>
      <c r="I296" s="140">
        <f t="shared" si="5"/>
        <v>0</v>
      </c>
      <c r="J296"/>
      <c r="K296"/>
      <c r="L296"/>
      <c r="M296"/>
    </row>
    <row r="297" spans="1:13" ht="33.75" x14ac:dyDescent="0.2">
      <c r="A297" s="134" t="s">
        <v>581</v>
      </c>
      <c r="B297" s="135" t="s">
        <v>306</v>
      </c>
      <c r="C297" s="141">
        <v>1018</v>
      </c>
      <c r="D297" s="137" t="s">
        <v>679</v>
      </c>
      <c r="E297" s="138" t="s">
        <v>664</v>
      </c>
      <c r="F297" s="117">
        <v>1.0149999999999999</v>
      </c>
      <c r="G297" s="139">
        <v>3.0449999999999999</v>
      </c>
      <c r="H297" s="553"/>
      <c r="I297" s="140">
        <f t="shared" si="5"/>
        <v>0</v>
      </c>
      <c r="J297"/>
      <c r="K297"/>
      <c r="L297"/>
      <c r="M297"/>
    </row>
    <row r="298" spans="1:13" ht="22.5" x14ac:dyDescent="0.2">
      <c r="A298" s="134" t="s">
        <v>581</v>
      </c>
      <c r="B298" s="135" t="s">
        <v>306</v>
      </c>
      <c r="C298" s="141">
        <v>21127</v>
      </c>
      <c r="D298" s="137" t="s">
        <v>713</v>
      </c>
      <c r="E298" s="138" t="s">
        <v>589</v>
      </c>
      <c r="F298" s="117">
        <v>8.9999999999999993E-3</v>
      </c>
      <c r="G298" s="139">
        <v>2.6999999999999996E-2</v>
      </c>
      <c r="H298" s="553"/>
      <c r="I298" s="140">
        <f t="shared" si="5"/>
        <v>0</v>
      </c>
      <c r="J298"/>
      <c r="K298"/>
      <c r="L298"/>
      <c r="M298"/>
    </row>
    <row r="299" spans="1:13" ht="37.5" customHeight="1" x14ac:dyDescent="0.2">
      <c r="A299" s="134" t="s">
        <v>582</v>
      </c>
      <c r="B299" s="135" t="s">
        <v>306</v>
      </c>
      <c r="C299" s="141">
        <v>998</v>
      </c>
      <c r="D299" s="137" t="s">
        <v>680</v>
      </c>
      <c r="E299" s="138" t="s">
        <v>664</v>
      </c>
      <c r="F299" s="117">
        <v>1.0149999999999999</v>
      </c>
      <c r="G299" s="139">
        <v>13.194999999999999</v>
      </c>
      <c r="H299" s="553"/>
      <c r="I299" s="140">
        <f t="shared" si="5"/>
        <v>0</v>
      </c>
      <c r="J299" s="145"/>
      <c r="K299"/>
      <c r="L299"/>
      <c r="M299"/>
    </row>
    <row r="300" spans="1:13" ht="22.5" x14ac:dyDescent="0.2">
      <c r="A300" s="134" t="s">
        <v>582</v>
      </c>
      <c r="B300" s="135" t="s">
        <v>306</v>
      </c>
      <c r="C300" s="141">
        <v>21127</v>
      </c>
      <c r="D300" s="137" t="s">
        <v>713</v>
      </c>
      <c r="E300" s="138" t="s">
        <v>589</v>
      </c>
      <c r="F300" s="117">
        <v>8.9999999999999993E-3</v>
      </c>
      <c r="G300" s="139">
        <v>0.11699999999999999</v>
      </c>
      <c r="H300" s="553"/>
      <c r="I300" s="140">
        <f t="shared" si="5"/>
        <v>0</v>
      </c>
      <c r="J300"/>
      <c r="K300"/>
      <c r="L300"/>
      <c r="M300"/>
    </row>
    <row r="301" spans="1:13" ht="22.5" x14ac:dyDescent="0.2">
      <c r="A301" s="134" t="s">
        <v>583</v>
      </c>
      <c r="B301" s="135" t="s">
        <v>306</v>
      </c>
      <c r="C301" s="141">
        <v>4356</v>
      </c>
      <c r="D301" s="137" t="s">
        <v>764</v>
      </c>
      <c r="E301" s="138" t="s">
        <v>589</v>
      </c>
      <c r="F301" s="117">
        <v>1</v>
      </c>
      <c r="G301" s="139">
        <v>1</v>
      </c>
      <c r="H301" s="553"/>
      <c r="I301" s="140">
        <f t="shared" si="5"/>
        <v>0</v>
      </c>
      <c r="J301"/>
      <c r="K301"/>
      <c r="L301"/>
      <c r="M301"/>
    </row>
    <row r="302" spans="1:13" ht="22.5" x14ac:dyDescent="0.2">
      <c r="A302" s="134" t="s">
        <v>583</v>
      </c>
      <c r="B302" s="135" t="s">
        <v>306</v>
      </c>
      <c r="C302" s="141">
        <v>7572</v>
      </c>
      <c r="D302" s="137" t="s">
        <v>776</v>
      </c>
      <c r="E302" s="138" t="s">
        <v>589</v>
      </c>
      <c r="F302" s="117">
        <v>1</v>
      </c>
      <c r="G302" s="139">
        <v>1</v>
      </c>
      <c r="H302" s="553"/>
      <c r="I302" s="140">
        <f t="shared" si="5"/>
        <v>0</v>
      </c>
      <c r="J302"/>
      <c r="K302"/>
      <c r="L302"/>
      <c r="M302"/>
    </row>
    <row r="303" spans="1:13" x14ac:dyDescent="0.2">
      <c r="A303" s="134" t="s">
        <v>583</v>
      </c>
      <c r="B303" s="135" t="s">
        <v>306</v>
      </c>
      <c r="C303" s="141">
        <v>867</v>
      </c>
      <c r="D303" s="137" t="s">
        <v>676</v>
      </c>
      <c r="E303" s="138" t="s">
        <v>664</v>
      </c>
      <c r="F303" s="117">
        <v>1.05</v>
      </c>
      <c r="G303" s="139">
        <v>1.05</v>
      </c>
      <c r="H303" s="553"/>
      <c r="I303" s="140">
        <f t="shared" si="5"/>
        <v>0</v>
      </c>
      <c r="J303"/>
      <c r="K303"/>
      <c r="L303"/>
      <c r="M303"/>
    </row>
    <row r="304" spans="1:13" ht="22.5" x14ac:dyDescent="0.2">
      <c r="A304" s="134" t="s">
        <v>584</v>
      </c>
      <c r="B304" s="135" t="s">
        <v>306</v>
      </c>
      <c r="C304" s="141">
        <v>1586</v>
      </c>
      <c r="D304" s="137" t="s">
        <v>796</v>
      </c>
      <c r="E304" s="138" t="s">
        <v>589</v>
      </c>
      <c r="F304" s="117">
        <v>1</v>
      </c>
      <c r="G304" s="139">
        <v>1</v>
      </c>
      <c r="H304" s="553"/>
      <c r="I304" s="140">
        <f t="shared" si="5"/>
        <v>0</v>
      </c>
      <c r="J304"/>
      <c r="K304"/>
      <c r="L304"/>
      <c r="M304"/>
    </row>
    <row r="305" spans="1:17" x14ac:dyDescent="0.2">
      <c r="A305" s="134" t="s">
        <v>585</v>
      </c>
      <c r="B305" s="135" t="s">
        <v>306</v>
      </c>
      <c r="C305" s="141">
        <v>34686</v>
      </c>
      <c r="D305" s="137" t="s">
        <v>701</v>
      </c>
      <c r="E305" s="138" t="s">
        <v>589</v>
      </c>
      <c r="F305" s="117">
        <v>1</v>
      </c>
      <c r="G305" s="139">
        <v>0</v>
      </c>
      <c r="H305" s="553"/>
      <c r="I305" s="140">
        <f t="shared" si="5"/>
        <v>0</v>
      </c>
      <c r="J305"/>
      <c r="K305"/>
      <c r="L305"/>
      <c r="M305"/>
    </row>
    <row r="306" spans="1:17" ht="22.5" x14ac:dyDescent="0.2">
      <c r="A306" s="134" t="s">
        <v>585</v>
      </c>
      <c r="B306" s="135" t="s">
        <v>306</v>
      </c>
      <c r="C306" s="141">
        <v>1575</v>
      </c>
      <c r="D306" s="137" t="s">
        <v>790</v>
      </c>
      <c r="E306" s="138" t="s">
        <v>589</v>
      </c>
      <c r="F306" s="117">
        <v>1</v>
      </c>
      <c r="G306" s="139">
        <v>0</v>
      </c>
      <c r="H306" s="553"/>
      <c r="I306" s="140">
        <f t="shared" si="5"/>
        <v>0</v>
      </c>
      <c r="J306"/>
      <c r="K306"/>
      <c r="L306"/>
      <c r="M306"/>
    </row>
    <row r="307" spans="1:17" ht="22.5" x14ac:dyDescent="0.2">
      <c r="A307" s="134">
        <v>276</v>
      </c>
      <c r="B307" s="65" t="s">
        <v>353</v>
      </c>
      <c r="C307" s="65">
        <v>1</v>
      </c>
      <c r="D307" s="137" t="s">
        <v>815</v>
      </c>
      <c r="E307" s="117" t="s">
        <v>816</v>
      </c>
      <c r="F307" s="117">
        <v>1</v>
      </c>
      <c r="G307" s="139">
        <v>5</v>
      </c>
      <c r="H307" s="553"/>
      <c r="I307" s="140">
        <f t="shared" si="5"/>
        <v>0</v>
      </c>
      <c r="J307"/>
      <c r="K307"/>
      <c r="L307"/>
      <c r="M307"/>
    </row>
    <row r="308" spans="1:17" ht="22.5" x14ac:dyDescent="0.2">
      <c r="A308" s="134">
        <v>277</v>
      </c>
      <c r="B308" s="65" t="s">
        <v>353</v>
      </c>
      <c r="C308" s="65">
        <v>2</v>
      </c>
      <c r="D308" s="137" t="s">
        <v>817</v>
      </c>
      <c r="E308" s="117" t="s">
        <v>816</v>
      </c>
      <c r="F308" s="117">
        <v>1</v>
      </c>
      <c r="G308" s="139">
        <v>0</v>
      </c>
      <c r="H308" s="553"/>
      <c r="I308" s="140">
        <f t="shared" si="5"/>
        <v>0</v>
      </c>
      <c r="J308"/>
      <c r="K308"/>
      <c r="L308"/>
      <c r="M308"/>
    </row>
    <row r="309" spans="1:17" ht="30.75" customHeight="1" x14ac:dyDescent="0.2">
      <c r="A309" s="134">
        <v>278</v>
      </c>
      <c r="B309" s="65" t="s">
        <v>353</v>
      </c>
      <c r="C309" s="65">
        <v>3</v>
      </c>
      <c r="D309" s="137" t="s">
        <v>818</v>
      </c>
      <c r="E309" s="117" t="s">
        <v>816</v>
      </c>
      <c r="F309" s="117">
        <v>1</v>
      </c>
      <c r="G309" s="139">
        <v>0</v>
      </c>
      <c r="H309" s="553"/>
      <c r="I309" s="140">
        <f t="shared" si="5"/>
        <v>0</v>
      </c>
      <c r="J309"/>
      <c r="K309"/>
      <c r="L309"/>
      <c r="M309"/>
    </row>
    <row r="310" spans="1:17" ht="25.5" customHeight="1" x14ac:dyDescent="0.2">
      <c r="A310" s="134">
        <v>279</v>
      </c>
      <c r="B310" s="65" t="s">
        <v>353</v>
      </c>
      <c r="C310" s="65">
        <v>4</v>
      </c>
      <c r="D310" s="137" t="s">
        <v>819</v>
      </c>
      <c r="E310" s="117" t="s">
        <v>816</v>
      </c>
      <c r="F310" s="117">
        <v>1</v>
      </c>
      <c r="G310" s="139">
        <v>0</v>
      </c>
      <c r="H310" s="553"/>
      <c r="I310" s="140">
        <f t="shared" si="5"/>
        <v>0</v>
      </c>
      <c r="J310"/>
      <c r="K310"/>
      <c r="L310"/>
      <c r="M310"/>
    </row>
    <row r="311" spans="1:17" ht="24.75" customHeight="1" x14ac:dyDescent="0.2">
      <c r="A311" s="134">
        <v>280</v>
      </c>
      <c r="B311" s="65" t="s">
        <v>353</v>
      </c>
      <c r="C311" s="65">
        <v>5</v>
      </c>
      <c r="D311" s="137" t="s">
        <v>820</v>
      </c>
      <c r="E311" s="117" t="s">
        <v>816</v>
      </c>
      <c r="F311" s="117">
        <v>1</v>
      </c>
      <c r="G311" s="139">
        <v>0</v>
      </c>
      <c r="H311" s="553"/>
      <c r="I311" s="140">
        <f t="shared" si="5"/>
        <v>0</v>
      </c>
      <c r="J311"/>
      <c r="K311"/>
      <c r="L311"/>
      <c r="M311"/>
    </row>
    <row r="312" spans="1:17" ht="30" customHeight="1" x14ac:dyDescent="0.2">
      <c r="A312" s="134">
        <v>281</v>
      </c>
      <c r="B312" s="65" t="s">
        <v>353</v>
      </c>
      <c r="C312" s="65">
        <v>6</v>
      </c>
      <c r="D312" s="137" t="s">
        <v>821</v>
      </c>
      <c r="E312" s="117" t="s">
        <v>816</v>
      </c>
      <c r="F312" s="117">
        <v>1</v>
      </c>
      <c r="G312" s="139">
        <v>0</v>
      </c>
      <c r="H312" s="553"/>
      <c r="I312" s="140">
        <f t="shared" si="5"/>
        <v>0</v>
      </c>
      <c r="J312"/>
      <c r="K312"/>
      <c r="L312"/>
      <c r="M312"/>
    </row>
    <row r="313" spans="1:17" ht="30" customHeight="1" x14ac:dyDescent="0.2">
      <c r="A313" s="134">
        <v>282</v>
      </c>
      <c r="B313" s="65" t="s">
        <v>353</v>
      </c>
      <c r="C313" s="65">
        <v>7</v>
      </c>
      <c r="D313" s="137" t="s">
        <v>822</v>
      </c>
      <c r="E313" s="117" t="s">
        <v>816</v>
      </c>
      <c r="F313" s="117">
        <v>1</v>
      </c>
      <c r="G313" s="139">
        <v>0</v>
      </c>
      <c r="H313" s="553"/>
      <c r="I313" s="140">
        <f t="shared" si="5"/>
        <v>0</v>
      </c>
      <c r="J313"/>
      <c r="K313"/>
      <c r="L313"/>
      <c r="M313"/>
    </row>
    <row r="314" spans="1:17" ht="30" customHeight="1" x14ac:dyDescent="0.2">
      <c r="A314" s="134">
        <v>283</v>
      </c>
      <c r="B314" s="65" t="s">
        <v>353</v>
      </c>
      <c r="C314" s="65">
        <v>8</v>
      </c>
      <c r="D314" s="137" t="s">
        <v>823</v>
      </c>
      <c r="E314" s="117" t="s">
        <v>816</v>
      </c>
      <c r="F314" s="117">
        <v>1</v>
      </c>
      <c r="G314" s="139">
        <v>0</v>
      </c>
      <c r="H314" s="553"/>
      <c r="I314" s="140">
        <f t="shared" si="5"/>
        <v>0</v>
      </c>
      <c r="J314"/>
      <c r="K314"/>
      <c r="L314"/>
      <c r="M314"/>
    </row>
    <row r="315" spans="1:17" ht="30" customHeight="1" x14ac:dyDescent="0.2">
      <c r="A315" s="134">
        <v>284</v>
      </c>
      <c r="B315" s="65" t="s">
        <v>353</v>
      </c>
      <c r="C315" s="65">
        <v>9</v>
      </c>
      <c r="D315" s="137" t="s">
        <v>824</v>
      </c>
      <c r="E315" s="117" t="s">
        <v>816</v>
      </c>
      <c r="F315" s="117">
        <v>1</v>
      </c>
      <c r="G315" s="139">
        <v>17</v>
      </c>
      <c r="H315" s="553"/>
      <c r="I315" s="140">
        <f t="shared" si="5"/>
        <v>0</v>
      </c>
      <c r="J315"/>
      <c r="K315"/>
      <c r="L315"/>
      <c r="M315"/>
    </row>
    <row r="316" spans="1:17" ht="22.5" x14ac:dyDescent="0.2">
      <c r="A316" s="134">
        <v>285</v>
      </c>
      <c r="B316" s="65" t="s">
        <v>353</v>
      </c>
      <c r="C316" s="65">
        <v>10</v>
      </c>
      <c r="D316" s="137" t="s">
        <v>825</v>
      </c>
      <c r="E316" s="117" t="s">
        <v>816</v>
      </c>
      <c r="F316" s="117">
        <v>1</v>
      </c>
      <c r="G316" s="139">
        <v>2</v>
      </c>
      <c r="H316" s="553"/>
      <c r="I316" s="140">
        <f t="shared" si="5"/>
        <v>0</v>
      </c>
      <c r="J316"/>
      <c r="K316"/>
      <c r="L316"/>
      <c r="M316"/>
    </row>
    <row r="317" spans="1:17" ht="22.5" x14ac:dyDescent="0.2">
      <c r="A317" s="134">
        <v>286</v>
      </c>
      <c r="B317" s="65" t="s">
        <v>353</v>
      </c>
      <c r="C317" s="65">
        <v>11</v>
      </c>
      <c r="D317" s="137" t="s">
        <v>826</v>
      </c>
      <c r="E317" s="117" t="s">
        <v>816</v>
      </c>
      <c r="F317" s="117">
        <v>1</v>
      </c>
      <c r="G317" s="139">
        <v>0</v>
      </c>
      <c r="H317" s="553"/>
      <c r="I317" s="140">
        <f t="shared" si="5"/>
        <v>0</v>
      </c>
      <c r="J317"/>
      <c r="K317"/>
      <c r="L317"/>
      <c r="M317"/>
    </row>
    <row r="318" spans="1:17" ht="22.5" x14ac:dyDescent="0.2">
      <c r="A318" s="134">
        <v>287</v>
      </c>
      <c r="B318" s="65" t="s">
        <v>353</v>
      </c>
      <c r="C318" s="65">
        <v>12</v>
      </c>
      <c r="D318" s="137" t="s">
        <v>827</v>
      </c>
      <c r="E318" s="117" t="s">
        <v>816</v>
      </c>
      <c r="F318" s="117">
        <v>1</v>
      </c>
      <c r="G318" s="139">
        <v>0</v>
      </c>
      <c r="H318" s="553"/>
      <c r="I318" s="140">
        <f t="shared" si="5"/>
        <v>0</v>
      </c>
      <c r="J318"/>
      <c r="K318"/>
      <c r="L318"/>
      <c r="M318"/>
    </row>
    <row r="319" spans="1:17" ht="22.5" x14ac:dyDescent="0.2">
      <c r="A319" s="134">
        <v>288</v>
      </c>
      <c r="B319" s="65" t="s">
        <v>353</v>
      </c>
      <c r="C319" s="65">
        <v>13</v>
      </c>
      <c r="D319" s="137" t="s">
        <v>828</v>
      </c>
      <c r="E319" s="117" t="s">
        <v>816</v>
      </c>
      <c r="F319" s="117">
        <v>1</v>
      </c>
      <c r="G319" s="139">
        <v>13</v>
      </c>
      <c r="H319" s="553"/>
      <c r="I319" s="140">
        <f t="shared" si="5"/>
        <v>0</v>
      </c>
      <c r="J319"/>
      <c r="K319"/>
      <c r="L319"/>
      <c r="M319"/>
    </row>
    <row r="320" spans="1:17" ht="22.5" x14ac:dyDescent="0.2">
      <c r="A320" s="134">
        <v>289</v>
      </c>
      <c r="B320" s="65" t="s">
        <v>353</v>
      </c>
      <c r="C320" s="65">
        <v>14</v>
      </c>
      <c r="D320" s="137" t="s">
        <v>829</v>
      </c>
      <c r="E320" s="117" t="s">
        <v>816</v>
      </c>
      <c r="F320" s="117">
        <v>1</v>
      </c>
      <c r="G320" s="139">
        <v>14</v>
      </c>
      <c r="H320" s="553"/>
      <c r="I320" s="140">
        <f t="shared" si="5"/>
        <v>0</v>
      </c>
      <c r="J320"/>
      <c r="K320"/>
      <c r="L320"/>
      <c r="M320"/>
      <c r="P320" s="130"/>
      <c r="Q320" s="130"/>
    </row>
    <row r="321" spans="1:18" x14ac:dyDescent="0.2">
      <c r="A321" s="134"/>
      <c r="B321" s="65"/>
      <c r="C321" s="65"/>
      <c r="D321" s="137"/>
      <c r="E321" s="117"/>
      <c r="F321" s="117"/>
      <c r="G321" s="139"/>
      <c r="H321" s="553"/>
      <c r="I321" s="140"/>
    </row>
    <row r="322" spans="1:18" x14ac:dyDescent="0.2">
      <c r="A322"/>
      <c r="B322"/>
      <c r="C322"/>
      <c r="D322"/>
      <c r="E322"/>
      <c r="F322"/>
      <c r="G322"/>
      <c r="H322" s="146"/>
      <c r="I322" s="146"/>
    </row>
    <row r="323" spans="1:18" x14ac:dyDescent="0.2">
      <c r="A323" s="497" t="s">
        <v>586</v>
      </c>
      <c r="B323" s="497"/>
      <c r="C323" s="497"/>
      <c r="D323" s="497"/>
      <c r="E323" s="497"/>
      <c r="F323" s="497"/>
      <c r="G323" s="497"/>
      <c r="H323" s="497"/>
      <c r="I323" s="147">
        <f>SUM(I4:I321)</f>
        <v>0</v>
      </c>
      <c r="Q323" s="130"/>
    </row>
    <row r="324" spans="1:18" s="25" customFormat="1" ht="11.25" x14ac:dyDescent="0.2">
      <c r="A324" s="148"/>
      <c r="B324" s="148"/>
      <c r="C324" s="148"/>
      <c r="D324" s="149"/>
      <c r="E324" s="148"/>
      <c r="F324" s="148"/>
      <c r="G324" s="148"/>
      <c r="H324" s="148"/>
      <c r="I324" s="150"/>
    </row>
    <row r="325" spans="1:18" x14ac:dyDescent="0.2">
      <c r="A325" s="497" t="s">
        <v>587</v>
      </c>
      <c r="B325" s="497"/>
      <c r="C325" s="497"/>
      <c r="D325" s="497"/>
      <c r="E325" s="497"/>
      <c r="F325" s="497"/>
      <c r="G325" s="497"/>
      <c r="H325" s="497"/>
      <c r="I325" s="147">
        <f>I323/12</f>
        <v>0</v>
      </c>
      <c r="P325" s="130"/>
      <c r="Q325" s="130"/>
      <c r="R325" s="130"/>
    </row>
    <row r="326" spans="1:18" x14ac:dyDescent="0.2">
      <c r="A326"/>
      <c r="B326"/>
      <c r="C326"/>
      <c r="D326"/>
      <c r="E326"/>
      <c r="F326"/>
      <c r="G326"/>
      <c r="H326"/>
      <c r="I326"/>
    </row>
    <row r="327" spans="1:18" x14ac:dyDescent="0.2">
      <c r="A327" s="497" t="s">
        <v>358</v>
      </c>
      <c r="B327" s="497"/>
      <c r="C327" s="497"/>
      <c r="D327" s="497"/>
      <c r="E327" s="497"/>
      <c r="F327" s="497"/>
      <c r="G327" s="497"/>
      <c r="H327" s="497"/>
      <c r="I327" s="151">
        <f>'V - BDI'!C18</f>
        <v>4.7120418848167533E-2</v>
      </c>
      <c r="P327" s="130"/>
    </row>
    <row r="328" spans="1:18" x14ac:dyDescent="0.2">
      <c r="A328"/>
      <c r="B328"/>
      <c r="C328"/>
      <c r="D328"/>
      <c r="E328"/>
      <c r="F328"/>
      <c r="G328"/>
      <c r="H328"/>
      <c r="I328"/>
    </row>
    <row r="329" spans="1:18" x14ac:dyDescent="0.2">
      <c r="A329" s="497" t="s">
        <v>588</v>
      </c>
      <c r="B329" s="497"/>
      <c r="C329" s="497"/>
      <c r="D329" s="497"/>
      <c r="E329" s="497"/>
      <c r="F329" s="497"/>
      <c r="G329" s="497"/>
      <c r="H329" s="497"/>
      <c r="I329" s="152">
        <f>I325*(1+I327)</f>
        <v>0</v>
      </c>
      <c r="P329" s="130"/>
    </row>
    <row r="331" spans="1:18" x14ac:dyDescent="0.2">
      <c r="I331" s="146"/>
    </row>
  </sheetData>
  <mergeCells count="6">
    <mergeCell ref="A329:H329"/>
    <mergeCell ref="A1:I1"/>
    <mergeCell ref="H2:I2"/>
    <mergeCell ref="A323:H323"/>
    <mergeCell ref="A325:H325"/>
    <mergeCell ref="A327:H327"/>
  </mergeCells>
  <printOptions horizontalCentered="1"/>
  <pageMargins left="0.39370078740157483" right="0.39370078740157483" top="0.59055118110236227" bottom="0.39370078740157483" header="0" footer="0"/>
  <pageSetup paperSize="9" scale="66" firstPageNumber="0" fitToHeight="1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39997558519241921"/>
    <pageSetUpPr fitToPage="1"/>
  </sheetPr>
  <dimension ref="A1:AMI25"/>
  <sheetViews>
    <sheetView view="pageBreakPreview" zoomScale="115" zoomScaleNormal="100" zoomScalePageLayoutView="115" workbookViewId="0">
      <selection activeCell="C14" sqref="C14:D16"/>
    </sheetView>
  </sheetViews>
  <sheetFormatPr defaultRowHeight="14.25" x14ac:dyDescent="0.2"/>
  <cols>
    <col min="1" max="1" width="10.875" style="25"/>
    <col min="2" max="2" width="25.875" style="61"/>
    <col min="3" max="3" width="10.875" style="25"/>
    <col min="4" max="4" width="14" style="25"/>
    <col min="5" max="1023" width="10.875" style="25"/>
    <col min="1024" max="1025" width="8.875"/>
  </cols>
  <sheetData>
    <row r="1" spans="1:4" ht="54" customHeight="1" x14ac:dyDescent="0.2">
      <c r="A1" s="406" t="s">
        <v>591</v>
      </c>
      <c r="B1" s="406"/>
      <c r="C1" s="406"/>
      <c r="D1" s="406"/>
    </row>
    <row r="2" spans="1:4" x14ac:dyDescent="0.2">
      <c r="A2"/>
      <c r="B2"/>
      <c r="C2"/>
      <c r="D2"/>
    </row>
    <row r="3" spans="1:4" s="153" customFormat="1" ht="22.9" customHeight="1" x14ac:dyDescent="0.2">
      <c r="A3" s="2" t="s">
        <v>328</v>
      </c>
      <c r="B3" s="2" t="s">
        <v>96</v>
      </c>
      <c r="C3" s="2" t="s">
        <v>58</v>
      </c>
      <c r="D3" s="2" t="s">
        <v>592</v>
      </c>
    </row>
    <row r="4" spans="1:4" x14ac:dyDescent="0.2">
      <c r="A4" s="159" t="s">
        <v>60</v>
      </c>
      <c r="B4" s="160" t="s">
        <v>593</v>
      </c>
      <c r="C4" s="161">
        <f>SUM(C5:C7)</f>
        <v>0</v>
      </c>
      <c r="D4" s="161">
        <f>SUM(D5:D7)</f>
        <v>0</v>
      </c>
    </row>
    <row r="5" spans="1:4" x14ac:dyDescent="0.2">
      <c r="A5" s="162" t="s">
        <v>594</v>
      </c>
      <c r="B5" s="163" t="s">
        <v>595</v>
      </c>
      <c r="C5" s="164"/>
      <c r="D5" s="164"/>
    </row>
    <row r="6" spans="1:4" x14ac:dyDescent="0.2">
      <c r="A6" s="162" t="s">
        <v>596</v>
      </c>
      <c r="B6" s="163" t="s">
        <v>597</v>
      </c>
      <c r="C6" s="164"/>
      <c r="D6" s="164"/>
    </row>
    <row r="7" spans="1:4" x14ac:dyDescent="0.2">
      <c r="A7" s="162" t="s">
        <v>598</v>
      </c>
      <c r="B7" s="163" t="s">
        <v>599</v>
      </c>
      <c r="C7" s="164"/>
      <c r="D7" s="164"/>
    </row>
    <row r="8" spans="1:4" x14ac:dyDescent="0.2">
      <c r="A8" s="165" t="s">
        <v>62</v>
      </c>
      <c r="B8" s="166" t="s">
        <v>600</v>
      </c>
      <c r="C8" s="167"/>
      <c r="D8" s="167"/>
    </row>
    <row r="9" spans="1:4" x14ac:dyDescent="0.2">
      <c r="A9" s="168" t="s">
        <v>64</v>
      </c>
      <c r="B9" s="169" t="s">
        <v>601</v>
      </c>
      <c r="C9" s="170">
        <f>SUM(C10:C16)</f>
        <v>4.4999999999999998E-2</v>
      </c>
      <c r="D9" s="170">
        <f>SUM(D10:D16)</f>
        <v>4.4999999999999998E-2</v>
      </c>
    </row>
    <row r="10" spans="1:4" x14ac:dyDescent="0.2">
      <c r="A10" s="171" t="s">
        <v>602</v>
      </c>
      <c r="B10" s="172" t="s">
        <v>603</v>
      </c>
      <c r="C10" s="164"/>
      <c r="D10" s="164"/>
    </row>
    <row r="11" spans="1:4" x14ac:dyDescent="0.2">
      <c r="A11" s="171" t="s">
        <v>604</v>
      </c>
      <c r="B11" s="172" t="s">
        <v>605</v>
      </c>
      <c r="C11" s="173"/>
      <c r="D11" s="173"/>
    </row>
    <row r="12" spans="1:4" x14ac:dyDescent="0.2">
      <c r="A12" s="171" t="s">
        <v>606</v>
      </c>
      <c r="B12" s="172" t="s">
        <v>607</v>
      </c>
      <c r="C12" s="173"/>
      <c r="D12" s="173"/>
    </row>
    <row r="13" spans="1:4" ht="54" x14ac:dyDescent="0.2">
      <c r="A13" s="171" t="s">
        <v>608</v>
      </c>
      <c r="B13" s="172" t="s">
        <v>609</v>
      </c>
      <c r="C13" s="174">
        <f>IF('II - Planilha Consolidada'!G49="DESONERADO",0.045,0)</f>
        <v>4.4999999999999998E-2</v>
      </c>
      <c r="D13" s="174">
        <f>C13</f>
        <v>4.4999999999999998E-2</v>
      </c>
    </row>
    <row r="14" spans="1:4" x14ac:dyDescent="0.2">
      <c r="A14" s="171" t="s">
        <v>610</v>
      </c>
      <c r="B14" s="172" t="s">
        <v>611</v>
      </c>
      <c r="C14" s="164"/>
      <c r="D14" s="164"/>
    </row>
    <row r="15" spans="1:4" x14ac:dyDescent="0.2">
      <c r="A15" s="171" t="s">
        <v>612</v>
      </c>
      <c r="B15" s="172" t="s">
        <v>613</v>
      </c>
      <c r="C15" s="124"/>
      <c r="D15" s="124"/>
    </row>
    <row r="16" spans="1:4" x14ac:dyDescent="0.2">
      <c r="A16" s="171" t="s">
        <v>614</v>
      </c>
      <c r="B16" s="172" t="s">
        <v>615</v>
      </c>
      <c r="C16" s="164"/>
      <c r="D16" s="164"/>
    </row>
    <row r="17" spans="1:4" x14ac:dyDescent="0.2">
      <c r="A17" s="506"/>
      <c r="B17" s="507" t="s">
        <v>838</v>
      </c>
      <c r="C17" s="508">
        <f>'V-A - ISS'!F75</f>
        <v>1.6856664951106534E-2</v>
      </c>
      <c r="D17" s="508">
        <v>0</v>
      </c>
    </row>
    <row r="18" spans="1:4" x14ac:dyDescent="0.2">
      <c r="A18" s="464" t="s">
        <v>358</v>
      </c>
      <c r="B18" s="464"/>
      <c r="C18" s="175">
        <f>((1+(C5+C7))*(1+C6)*(1+C8))/(1-C11-C12-C13-C14-C16)-1</f>
        <v>4.7120418848167533E-2</v>
      </c>
      <c r="D18"/>
    </row>
    <row r="19" spans="1:4" x14ac:dyDescent="0.2">
      <c r="A19" s="464" t="s">
        <v>616</v>
      </c>
      <c r="B19" s="464"/>
      <c r="C19" s="464"/>
      <c r="D19" s="175">
        <f>((1+(D5+D7))*(1+D6)*(1+D8))/(1-D11-D12-D13-D14-D16)-1</f>
        <v>4.7120418848167533E-2</v>
      </c>
    </row>
    <row r="20" spans="1:4" x14ac:dyDescent="0.2">
      <c r="A20"/>
      <c r="B20"/>
      <c r="C20"/>
      <c r="D20"/>
    </row>
    <row r="21" spans="1:4" x14ac:dyDescent="0.2">
      <c r="A21" s="500" t="s">
        <v>617</v>
      </c>
      <c r="B21" s="500"/>
      <c r="C21" s="500"/>
      <c r="D21" s="500"/>
    </row>
    <row r="22" spans="1:4" ht="396.75" customHeight="1" x14ac:dyDescent="0.2">
      <c r="A22" s="502" t="s">
        <v>618</v>
      </c>
      <c r="B22" s="502"/>
      <c r="C22" s="502"/>
      <c r="D22" s="502"/>
    </row>
    <row r="23" spans="1:4" x14ac:dyDescent="0.2">
      <c r="A23"/>
      <c r="B23"/>
      <c r="C23"/>
      <c r="D23"/>
    </row>
    <row r="24" spans="1:4" x14ac:dyDescent="0.2">
      <c r="A24" s="500" t="s">
        <v>619</v>
      </c>
      <c r="B24" s="500"/>
      <c r="C24" s="500"/>
      <c r="D24" s="500"/>
    </row>
    <row r="25" spans="1:4" ht="197.1" customHeight="1" x14ac:dyDescent="0.2">
      <c r="A25" s="501"/>
      <c r="B25" s="501"/>
      <c r="C25" s="501"/>
      <c r="D25" s="501"/>
    </row>
  </sheetData>
  <mergeCells count="7">
    <mergeCell ref="A24:D24"/>
    <mergeCell ref="A25:D25"/>
    <mergeCell ref="A1:D1"/>
    <mergeCell ref="A18:B18"/>
    <mergeCell ref="A19:C19"/>
    <mergeCell ref="A21:D21"/>
    <mergeCell ref="A22:D22"/>
  </mergeCells>
  <printOptions horizontalCentered="1"/>
  <pageMargins left="0.39370078740157483" right="0.39370078740157483" top="0.59055118110236227" bottom="0.39370078740157483" header="0" footer="0"/>
  <pageSetup paperSize="9" scale="79" firstPageNumber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 tint="0.39997558519241921"/>
    <pageSetUpPr fitToPage="1"/>
  </sheetPr>
  <dimension ref="A1:AMD84"/>
  <sheetViews>
    <sheetView view="pageBreakPreview" topLeftCell="A5" zoomScale="85" zoomScaleNormal="150" zoomScaleSheetLayoutView="85" workbookViewId="0">
      <selection activeCell="F4" sqref="F4:F12"/>
    </sheetView>
  </sheetViews>
  <sheetFormatPr defaultRowHeight="14.25" x14ac:dyDescent="0.2"/>
  <cols>
    <col min="1" max="1" width="13.25" style="62"/>
    <col min="2" max="2" width="22.75" style="62" customWidth="1"/>
    <col min="3" max="4" width="13.25" style="62"/>
    <col min="5" max="5" width="13.25" style="176"/>
    <col min="6" max="1018" width="13.25" style="62"/>
    <col min="1019" max="1025" width="8.875"/>
  </cols>
  <sheetData>
    <row r="1" spans="1:14" ht="62.25" customHeight="1" x14ac:dyDescent="0.2">
      <c r="A1" s="466" t="s">
        <v>620</v>
      </c>
      <c r="B1" s="467"/>
      <c r="C1" s="467"/>
      <c r="D1" s="467"/>
      <c r="E1" s="467"/>
      <c r="F1" s="467"/>
      <c r="G1" s="467"/>
    </row>
    <row r="2" spans="1:14" x14ac:dyDescent="0.2">
      <c r="A2"/>
      <c r="B2"/>
      <c r="C2"/>
      <c r="D2"/>
      <c r="E2"/>
      <c r="F2"/>
      <c r="G2"/>
    </row>
    <row r="3" spans="1:14" ht="22.5" x14ac:dyDescent="0.2">
      <c r="A3" s="2" t="s">
        <v>333</v>
      </c>
      <c r="B3" s="2" t="s">
        <v>621</v>
      </c>
      <c r="C3" s="2" t="s">
        <v>329</v>
      </c>
      <c r="D3" s="2" t="s">
        <v>622</v>
      </c>
      <c r="E3" s="177" t="s">
        <v>623</v>
      </c>
      <c r="F3" s="2" t="s">
        <v>624</v>
      </c>
      <c r="G3" s="180" t="s">
        <v>625</v>
      </c>
      <c r="M3" s="347"/>
    </row>
    <row r="4" spans="1:14" ht="65.25" customHeight="1" x14ac:dyDescent="0.2">
      <c r="A4" s="545" t="s">
        <v>655</v>
      </c>
      <c r="B4" s="545" t="s">
        <v>656</v>
      </c>
      <c r="C4" s="554">
        <v>722</v>
      </c>
      <c r="D4" s="555">
        <f>IFERROR(C4/$C$73,"")</f>
        <v>0.12386344141362154</v>
      </c>
      <c r="E4" s="178">
        <v>0.03</v>
      </c>
      <c r="F4" s="556">
        <f t="shared" ref="F4:F35" si="0">IFERROR(D4*E4,"")</f>
        <v>3.7159032424086461E-3</v>
      </c>
      <c r="G4" s="198" t="s">
        <v>626</v>
      </c>
      <c r="K4" s="348"/>
      <c r="M4" s="347"/>
    </row>
    <row r="5" spans="1:14" ht="56.25" x14ac:dyDescent="0.2">
      <c r="A5" s="545" t="s">
        <v>627</v>
      </c>
      <c r="B5" s="545" t="s">
        <v>656</v>
      </c>
      <c r="C5" s="554">
        <v>1002</v>
      </c>
      <c r="D5" s="555">
        <f t="shared" ref="D5:D68" si="1">IFERROR(C5/$C$73,"")</f>
        <v>0.1718991250643335</v>
      </c>
      <c r="E5" s="178">
        <v>0.03</v>
      </c>
      <c r="F5" s="556">
        <f t="shared" si="0"/>
        <v>5.1569737519300048E-3</v>
      </c>
      <c r="G5" s="198" t="s">
        <v>628</v>
      </c>
      <c r="M5" s="347"/>
    </row>
    <row r="6" spans="1:14" ht="56.25" x14ac:dyDescent="0.2">
      <c r="A6" s="545" t="s">
        <v>657</v>
      </c>
      <c r="B6" s="545" t="s">
        <v>629</v>
      </c>
      <c r="C6" s="554">
        <v>518</v>
      </c>
      <c r="D6" s="555">
        <f t="shared" si="1"/>
        <v>8.8866014753817127E-2</v>
      </c>
      <c r="E6" s="178">
        <v>0.03</v>
      </c>
      <c r="F6" s="556">
        <f t="shared" si="0"/>
        <v>2.6659804426145137E-3</v>
      </c>
      <c r="G6" s="198" t="s">
        <v>630</v>
      </c>
      <c r="M6" s="347"/>
    </row>
    <row r="7" spans="1:14" ht="56.25" x14ac:dyDescent="0.2">
      <c r="A7" s="545" t="s">
        <v>631</v>
      </c>
      <c r="B7" s="545" t="s">
        <v>632</v>
      </c>
      <c r="C7" s="554">
        <v>848</v>
      </c>
      <c r="D7" s="555">
        <f t="shared" si="1"/>
        <v>0.14547949905644192</v>
      </c>
      <c r="E7" s="178">
        <v>0.03</v>
      </c>
      <c r="F7" s="556">
        <f t="shared" si="0"/>
        <v>4.3643849716932578E-3</v>
      </c>
      <c r="G7" s="198" t="s">
        <v>633</v>
      </c>
      <c r="M7" s="347"/>
    </row>
    <row r="8" spans="1:14" ht="56.25" x14ac:dyDescent="0.2">
      <c r="A8" s="545" t="s">
        <v>658</v>
      </c>
      <c r="B8" s="545" t="s">
        <v>659</v>
      </c>
      <c r="C8" s="554">
        <v>765</v>
      </c>
      <c r="D8" s="555">
        <f t="shared" si="1"/>
        <v>0.13124034997426659</v>
      </c>
      <c r="E8" s="178">
        <v>0.03</v>
      </c>
      <c r="F8" s="556">
        <f t="shared" si="0"/>
        <v>3.9372104992279975E-3</v>
      </c>
      <c r="G8" s="198" t="s">
        <v>634</v>
      </c>
      <c r="M8" s="349"/>
    </row>
    <row r="9" spans="1:14" ht="33.75" x14ac:dyDescent="0.2">
      <c r="A9" s="545" t="s">
        <v>635</v>
      </c>
      <c r="B9" s="545" t="s">
        <v>636</v>
      </c>
      <c r="C9" s="554">
        <v>907</v>
      </c>
      <c r="D9" s="555">
        <f t="shared" si="1"/>
        <v>0.15560130382569909</v>
      </c>
      <c r="E9" s="178">
        <v>4.4999999999999998E-2</v>
      </c>
      <c r="F9" s="556">
        <f t="shared" si="0"/>
        <v>7.0020586721564583E-3</v>
      </c>
      <c r="G9" s="198" t="s">
        <v>637</v>
      </c>
      <c r="M9" s="347"/>
    </row>
    <row r="10" spans="1:14" ht="22.5" x14ac:dyDescent="0.2">
      <c r="A10" s="545" t="s">
        <v>348</v>
      </c>
      <c r="B10" s="545" t="s">
        <v>638</v>
      </c>
      <c r="C10" s="554">
        <v>402</v>
      </c>
      <c r="D10" s="555">
        <f t="shared" si="1"/>
        <v>6.8965517241379309E-2</v>
      </c>
      <c r="E10" s="178">
        <v>0.05</v>
      </c>
      <c r="F10" s="556">
        <f t="shared" si="0"/>
        <v>3.4482758620689655E-3</v>
      </c>
      <c r="G10" s="198" t="s">
        <v>639</v>
      </c>
      <c r="M10" s="347"/>
    </row>
    <row r="11" spans="1:14" ht="33.75" x14ac:dyDescent="0.2">
      <c r="A11" s="545" t="s">
        <v>640</v>
      </c>
      <c r="B11" s="545" t="s">
        <v>641</v>
      </c>
      <c r="C11" s="554">
        <v>330</v>
      </c>
      <c r="D11" s="555">
        <f t="shared" si="1"/>
        <v>5.6613484302624806E-2</v>
      </c>
      <c r="E11" s="178">
        <v>0.03</v>
      </c>
      <c r="F11" s="556">
        <f t="shared" si="0"/>
        <v>1.6984045290787441E-3</v>
      </c>
      <c r="G11" s="198" t="s">
        <v>642</v>
      </c>
      <c r="M11" s="347"/>
    </row>
    <row r="12" spans="1:14" ht="63.75" customHeight="1" x14ac:dyDescent="0.2">
      <c r="A12" s="545" t="s">
        <v>660</v>
      </c>
      <c r="B12" s="545" t="s">
        <v>661</v>
      </c>
      <c r="C12" s="554">
        <v>335</v>
      </c>
      <c r="D12" s="555">
        <f t="shared" si="1"/>
        <v>5.7471264367816091E-2</v>
      </c>
      <c r="E12" s="178">
        <v>0.03</v>
      </c>
      <c r="F12" s="556">
        <f t="shared" si="0"/>
        <v>1.7241379310344827E-3</v>
      </c>
      <c r="G12" s="198" t="s">
        <v>626</v>
      </c>
      <c r="K12" s="348"/>
      <c r="N12" s="349"/>
    </row>
    <row r="13" spans="1:14" hidden="1" x14ac:dyDescent="0.2">
      <c r="A13" s="15"/>
      <c r="B13" s="15"/>
      <c r="C13" s="120"/>
      <c r="D13" s="158">
        <f t="shared" si="1"/>
        <v>0</v>
      </c>
      <c r="E13" s="178"/>
      <c r="F13" s="302">
        <f t="shared" si="0"/>
        <v>0</v>
      </c>
      <c r="G13" s="198"/>
    </row>
    <row r="14" spans="1:14" hidden="1" x14ac:dyDescent="0.2">
      <c r="A14" s="15"/>
      <c r="B14" s="15"/>
      <c r="C14" s="120"/>
      <c r="D14" s="158">
        <f t="shared" si="1"/>
        <v>0</v>
      </c>
      <c r="E14" s="178"/>
      <c r="F14" s="302">
        <f t="shared" si="0"/>
        <v>0</v>
      </c>
      <c r="G14" s="198"/>
    </row>
    <row r="15" spans="1:14" hidden="1" x14ac:dyDescent="0.2">
      <c r="A15" s="15"/>
      <c r="B15" s="15"/>
      <c r="C15" s="120"/>
      <c r="D15" s="158">
        <f t="shared" si="1"/>
        <v>0</v>
      </c>
      <c r="E15" s="178"/>
      <c r="F15" s="302">
        <f t="shared" si="0"/>
        <v>0</v>
      </c>
      <c r="G15" s="198"/>
    </row>
    <row r="16" spans="1:14" hidden="1" x14ac:dyDescent="0.2">
      <c r="A16" s="15"/>
      <c r="B16" s="15"/>
      <c r="C16" s="120"/>
      <c r="D16" s="158">
        <f t="shared" si="1"/>
        <v>0</v>
      </c>
      <c r="E16" s="178"/>
      <c r="F16" s="302">
        <f t="shared" si="0"/>
        <v>0</v>
      </c>
      <c r="G16" s="198"/>
    </row>
    <row r="17" spans="1:7" hidden="1" x14ac:dyDescent="0.2">
      <c r="A17" s="15"/>
      <c r="B17" s="15"/>
      <c r="C17" s="120"/>
      <c r="D17" s="158">
        <f t="shared" si="1"/>
        <v>0</v>
      </c>
      <c r="E17" s="178"/>
      <c r="F17" s="302">
        <f t="shared" si="0"/>
        <v>0</v>
      </c>
      <c r="G17" s="198"/>
    </row>
    <row r="18" spans="1:7" hidden="1" x14ac:dyDescent="0.2">
      <c r="A18" s="125"/>
      <c r="B18" s="125"/>
      <c r="C18" s="154"/>
      <c r="D18" s="197">
        <f t="shared" si="1"/>
        <v>0</v>
      </c>
      <c r="E18" s="178"/>
      <c r="F18" s="199">
        <f t="shared" si="0"/>
        <v>0</v>
      </c>
      <c r="G18" s="198"/>
    </row>
    <row r="19" spans="1:7" hidden="1" x14ac:dyDescent="0.2">
      <c r="A19" s="125"/>
      <c r="B19" s="125"/>
      <c r="C19" s="154"/>
      <c r="D19" s="197">
        <f t="shared" si="1"/>
        <v>0</v>
      </c>
      <c r="E19" s="178"/>
      <c r="F19" s="199">
        <f t="shared" si="0"/>
        <v>0</v>
      </c>
      <c r="G19" s="198"/>
    </row>
    <row r="20" spans="1:7" hidden="1" x14ac:dyDescent="0.2">
      <c r="A20" s="125"/>
      <c r="B20" s="125"/>
      <c r="C20" s="154"/>
      <c r="D20" s="197">
        <f t="shared" si="1"/>
        <v>0</v>
      </c>
      <c r="E20" s="178"/>
      <c r="F20" s="199">
        <f t="shared" si="0"/>
        <v>0</v>
      </c>
      <c r="G20" s="198"/>
    </row>
    <row r="21" spans="1:7" hidden="1" x14ac:dyDescent="0.2">
      <c r="A21" s="125"/>
      <c r="B21" s="125"/>
      <c r="C21" s="154"/>
      <c r="D21" s="197">
        <f t="shared" si="1"/>
        <v>0</v>
      </c>
      <c r="E21" s="178"/>
      <c r="F21" s="199">
        <f t="shared" si="0"/>
        <v>0</v>
      </c>
      <c r="G21" s="198"/>
    </row>
    <row r="22" spans="1:7" hidden="1" x14ac:dyDescent="0.2">
      <c r="A22" s="125"/>
      <c r="B22" s="125"/>
      <c r="C22" s="154"/>
      <c r="D22" s="197">
        <f t="shared" si="1"/>
        <v>0</v>
      </c>
      <c r="E22" s="178"/>
      <c r="F22" s="199">
        <f t="shared" si="0"/>
        <v>0</v>
      </c>
      <c r="G22" s="198"/>
    </row>
    <row r="23" spans="1:7" hidden="1" x14ac:dyDescent="0.2">
      <c r="A23" s="125"/>
      <c r="B23" s="125"/>
      <c r="C23" s="154"/>
      <c r="D23" s="197">
        <f t="shared" si="1"/>
        <v>0</v>
      </c>
      <c r="E23" s="178"/>
      <c r="F23" s="199">
        <f t="shared" si="0"/>
        <v>0</v>
      </c>
      <c r="G23" s="198"/>
    </row>
    <row r="24" spans="1:7" hidden="1" x14ac:dyDescent="0.2">
      <c r="A24" s="125"/>
      <c r="B24" s="125"/>
      <c r="C24" s="154"/>
      <c r="D24" s="197">
        <f t="shared" si="1"/>
        <v>0</v>
      </c>
      <c r="E24" s="178"/>
      <c r="F24" s="199">
        <f t="shared" si="0"/>
        <v>0</v>
      </c>
      <c r="G24" s="198"/>
    </row>
    <row r="25" spans="1:7" ht="34.5" hidden="1" customHeight="1" x14ac:dyDescent="0.2">
      <c r="A25" s="125"/>
      <c r="B25" s="125"/>
      <c r="C25" s="154"/>
      <c r="D25" s="197">
        <f t="shared" si="1"/>
        <v>0</v>
      </c>
      <c r="E25" s="178"/>
      <c r="F25" s="199">
        <f t="shared" si="0"/>
        <v>0</v>
      </c>
      <c r="G25" s="198"/>
    </row>
    <row r="26" spans="1:7" hidden="1" x14ac:dyDescent="0.2">
      <c r="A26" s="125"/>
      <c r="B26" s="125"/>
      <c r="C26" s="154"/>
      <c r="D26" s="197">
        <f t="shared" si="1"/>
        <v>0</v>
      </c>
      <c r="E26" s="178"/>
      <c r="F26" s="199">
        <f t="shared" si="0"/>
        <v>0</v>
      </c>
      <c r="G26" s="198"/>
    </row>
    <row r="27" spans="1:7" hidden="1" x14ac:dyDescent="0.2">
      <c r="A27" s="125"/>
      <c r="B27" s="125"/>
      <c r="C27" s="154"/>
      <c r="D27" s="197">
        <f t="shared" si="1"/>
        <v>0</v>
      </c>
      <c r="E27" s="178"/>
      <c r="F27" s="199">
        <f t="shared" si="0"/>
        <v>0</v>
      </c>
      <c r="G27" s="198"/>
    </row>
    <row r="28" spans="1:7" hidden="1" x14ac:dyDescent="0.2">
      <c r="A28" s="125"/>
      <c r="B28" s="125"/>
      <c r="C28" s="154"/>
      <c r="D28" s="197">
        <f t="shared" si="1"/>
        <v>0</v>
      </c>
      <c r="E28" s="178"/>
      <c r="F28" s="199">
        <f t="shared" si="0"/>
        <v>0</v>
      </c>
      <c r="G28" s="198"/>
    </row>
    <row r="29" spans="1:7" hidden="1" x14ac:dyDescent="0.2">
      <c r="A29" s="125"/>
      <c r="B29" s="125"/>
      <c r="C29" s="154"/>
      <c r="D29" s="197">
        <f t="shared" si="1"/>
        <v>0</v>
      </c>
      <c r="E29" s="178"/>
      <c r="F29" s="199">
        <f t="shared" si="0"/>
        <v>0</v>
      </c>
      <c r="G29" s="198"/>
    </row>
    <row r="30" spans="1:7" hidden="1" x14ac:dyDescent="0.2">
      <c r="A30" s="125"/>
      <c r="B30" s="125"/>
      <c r="C30" s="154"/>
      <c r="D30" s="197">
        <f t="shared" si="1"/>
        <v>0</v>
      </c>
      <c r="E30" s="178"/>
      <c r="F30" s="199">
        <f t="shared" si="0"/>
        <v>0</v>
      </c>
      <c r="G30" s="198"/>
    </row>
    <row r="31" spans="1:7" hidden="1" x14ac:dyDescent="0.2">
      <c r="A31" s="125"/>
      <c r="B31" s="125"/>
      <c r="C31" s="154"/>
      <c r="D31" s="197">
        <f t="shared" si="1"/>
        <v>0</v>
      </c>
      <c r="E31" s="178"/>
      <c r="F31" s="199">
        <f t="shared" si="0"/>
        <v>0</v>
      </c>
      <c r="G31" s="198"/>
    </row>
    <row r="32" spans="1:7" hidden="1" x14ac:dyDescent="0.2">
      <c r="A32" s="125"/>
      <c r="B32" s="125"/>
      <c r="C32" s="154"/>
      <c r="D32" s="197">
        <f t="shared" si="1"/>
        <v>0</v>
      </c>
      <c r="E32" s="178"/>
      <c r="F32" s="199">
        <f t="shared" si="0"/>
        <v>0</v>
      </c>
      <c r="G32" s="198"/>
    </row>
    <row r="33" spans="1:7" hidden="1" x14ac:dyDescent="0.2">
      <c r="A33" s="125"/>
      <c r="B33" s="125"/>
      <c r="C33" s="154"/>
      <c r="D33" s="197">
        <f t="shared" si="1"/>
        <v>0</v>
      </c>
      <c r="E33" s="178"/>
      <c r="F33" s="199">
        <f t="shared" si="0"/>
        <v>0</v>
      </c>
      <c r="G33" s="198"/>
    </row>
    <row r="34" spans="1:7" hidden="1" x14ac:dyDescent="0.2">
      <c r="A34" s="125"/>
      <c r="B34" s="125"/>
      <c r="C34" s="154"/>
      <c r="D34" s="197">
        <f t="shared" si="1"/>
        <v>0</v>
      </c>
      <c r="E34" s="178"/>
      <c r="F34" s="199">
        <f t="shared" si="0"/>
        <v>0</v>
      </c>
      <c r="G34" s="198"/>
    </row>
    <row r="35" spans="1:7" hidden="1" x14ac:dyDescent="0.2">
      <c r="A35" s="125"/>
      <c r="B35" s="125"/>
      <c r="C35" s="154"/>
      <c r="D35" s="197">
        <f t="shared" si="1"/>
        <v>0</v>
      </c>
      <c r="E35" s="178"/>
      <c r="F35" s="199">
        <f t="shared" si="0"/>
        <v>0</v>
      </c>
      <c r="G35" s="198"/>
    </row>
    <row r="36" spans="1:7" hidden="1" x14ac:dyDescent="0.2">
      <c r="A36" s="125"/>
      <c r="B36" s="125"/>
      <c r="C36" s="154"/>
      <c r="D36" s="197">
        <f t="shared" si="1"/>
        <v>0</v>
      </c>
      <c r="E36" s="178"/>
      <c r="F36" s="199">
        <f t="shared" ref="F36:F66" si="2">IFERROR(D36*E36,"")</f>
        <v>0</v>
      </c>
      <c r="G36" s="198"/>
    </row>
    <row r="37" spans="1:7" hidden="1" x14ac:dyDescent="0.2">
      <c r="A37" s="125"/>
      <c r="B37" s="125"/>
      <c r="C37" s="154"/>
      <c r="D37" s="197">
        <f t="shared" si="1"/>
        <v>0</v>
      </c>
      <c r="E37" s="178"/>
      <c r="F37" s="199">
        <f t="shared" si="2"/>
        <v>0</v>
      </c>
      <c r="G37" s="198"/>
    </row>
    <row r="38" spans="1:7" hidden="1" x14ac:dyDescent="0.2">
      <c r="A38" s="125"/>
      <c r="B38" s="125"/>
      <c r="C38" s="154"/>
      <c r="D38" s="197">
        <f t="shared" si="1"/>
        <v>0</v>
      </c>
      <c r="E38" s="178"/>
      <c r="F38" s="199">
        <f t="shared" si="2"/>
        <v>0</v>
      </c>
      <c r="G38" s="198"/>
    </row>
    <row r="39" spans="1:7" hidden="1" x14ac:dyDescent="0.2">
      <c r="A39" s="125"/>
      <c r="B39" s="125"/>
      <c r="C39" s="154"/>
      <c r="D39" s="197">
        <f t="shared" si="1"/>
        <v>0</v>
      </c>
      <c r="E39" s="178"/>
      <c r="F39" s="199">
        <f t="shared" si="2"/>
        <v>0</v>
      </c>
      <c r="G39" s="198"/>
    </row>
    <row r="40" spans="1:7" hidden="1" x14ac:dyDescent="0.2">
      <c r="A40" s="125"/>
      <c r="B40" s="125"/>
      <c r="C40" s="154"/>
      <c r="D40" s="197">
        <f t="shared" si="1"/>
        <v>0</v>
      </c>
      <c r="E40" s="178"/>
      <c r="F40" s="199">
        <f t="shared" si="2"/>
        <v>0</v>
      </c>
      <c r="G40" s="198"/>
    </row>
    <row r="41" spans="1:7" hidden="1" x14ac:dyDescent="0.2">
      <c r="A41" s="125"/>
      <c r="B41" s="125"/>
      <c r="C41" s="154"/>
      <c r="D41" s="197">
        <f t="shared" si="1"/>
        <v>0</v>
      </c>
      <c r="E41" s="178"/>
      <c r="F41" s="199">
        <f t="shared" si="2"/>
        <v>0</v>
      </c>
      <c r="G41" s="198"/>
    </row>
    <row r="42" spans="1:7" hidden="1" x14ac:dyDescent="0.2">
      <c r="A42" s="125"/>
      <c r="B42" s="125"/>
      <c r="C42" s="154"/>
      <c r="D42" s="197">
        <f t="shared" si="1"/>
        <v>0</v>
      </c>
      <c r="E42" s="178"/>
      <c r="F42" s="199">
        <f t="shared" si="2"/>
        <v>0</v>
      </c>
      <c r="G42" s="198"/>
    </row>
    <row r="43" spans="1:7" hidden="1" x14ac:dyDescent="0.2">
      <c r="A43" s="125"/>
      <c r="B43" s="125"/>
      <c r="C43" s="154"/>
      <c r="D43" s="197">
        <f t="shared" si="1"/>
        <v>0</v>
      </c>
      <c r="E43" s="178"/>
      <c r="F43" s="199">
        <f t="shared" si="2"/>
        <v>0</v>
      </c>
      <c r="G43" s="198"/>
    </row>
    <row r="44" spans="1:7" hidden="1" x14ac:dyDescent="0.2">
      <c r="A44" s="125"/>
      <c r="B44" s="125"/>
      <c r="C44" s="154"/>
      <c r="D44" s="197">
        <f t="shared" si="1"/>
        <v>0</v>
      </c>
      <c r="E44" s="178"/>
      <c r="F44" s="199">
        <f t="shared" si="2"/>
        <v>0</v>
      </c>
      <c r="G44" s="198"/>
    </row>
    <row r="45" spans="1:7" hidden="1" x14ac:dyDescent="0.2">
      <c r="A45" s="125"/>
      <c r="B45" s="125"/>
      <c r="C45" s="154"/>
      <c r="D45" s="197">
        <f t="shared" si="1"/>
        <v>0</v>
      </c>
      <c r="E45" s="178"/>
      <c r="F45" s="199">
        <f t="shared" si="2"/>
        <v>0</v>
      </c>
      <c r="G45" s="198"/>
    </row>
    <row r="46" spans="1:7" hidden="1" x14ac:dyDescent="0.2">
      <c r="A46" s="125"/>
      <c r="B46" s="125"/>
      <c r="C46" s="154"/>
      <c r="D46" s="197">
        <f t="shared" si="1"/>
        <v>0</v>
      </c>
      <c r="E46" s="178"/>
      <c r="F46" s="199">
        <f t="shared" si="2"/>
        <v>0</v>
      </c>
      <c r="G46" s="198"/>
    </row>
    <row r="47" spans="1:7" hidden="1" x14ac:dyDescent="0.2">
      <c r="A47" s="125"/>
      <c r="B47" s="125"/>
      <c r="C47" s="154"/>
      <c r="D47" s="197">
        <f t="shared" si="1"/>
        <v>0</v>
      </c>
      <c r="E47" s="178"/>
      <c r="F47" s="199">
        <f t="shared" si="2"/>
        <v>0</v>
      </c>
      <c r="G47" s="198"/>
    </row>
    <row r="48" spans="1:7" hidden="1" x14ac:dyDescent="0.2">
      <c r="A48" s="125"/>
      <c r="B48" s="125"/>
      <c r="C48" s="154"/>
      <c r="D48" s="197">
        <f t="shared" si="1"/>
        <v>0</v>
      </c>
      <c r="E48" s="178"/>
      <c r="F48" s="199">
        <f t="shared" si="2"/>
        <v>0</v>
      </c>
      <c r="G48" s="198"/>
    </row>
    <row r="49" spans="1:7" hidden="1" x14ac:dyDescent="0.2">
      <c r="A49" s="125"/>
      <c r="B49" s="125"/>
      <c r="C49" s="154"/>
      <c r="D49" s="197">
        <f t="shared" si="1"/>
        <v>0</v>
      </c>
      <c r="E49" s="178"/>
      <c r="F49" s="199">
        <f t="shared" si="2"/>
        <v>0</v>
      </c>
      <c r="G49" s="198"/>
    </row>
    <row r="50" spans="1:7" hidden="1" x14ac:dyDescent="0.2">
      <c r="A50" s="125"/>
      <c r="B50" s="125"/>
      <c r="C50" s="154"/>
      <c r="D50" s="197">
        <f t="shared" si="1"/>
        <v>0</v>
      </c>
      <c r="E50" s="178"/>
      <c r="F50" s="199">
        <f t="shared" si="2"/>
        <v>0</v>
      </c>
      <c r="G50" s="198"/>
    </row>
    <row r="51" spans="1:7" hidden="1" x14ac:dyDescent="0.2">
      <c r="A51" s="125"/>
      <c r="B51" s="125"/>
      <c r="C51" s="154"/>
      <c r="D51" s="197">
        <f t="shared" si="1"/>
        <v>0</v>
      </c>
      <c r="E51" s="178"/>
      <c r="F51" s="199">
        <f t="shared" si="2"/>
        <v>0</v>
      </c>
      <c r="G51" s="198"/>
    </row>
    <row r="52" spans="1:7" hidden="1" x14ac:dyDescent="0.2">
      <c r="A52" s="125"/>
      <c r="B52" s="125"/>
      <c r="C52" s="154"/>
      <c r="D52" s="197">
        <f t="shared" si="1"/>
        <v>0</v>
      </c>
      <c r="E52" s="178"/>
      <c r="F52" s="199">
        <f t="shared" si="2"/>
        <v>0</v>
      </c>
      <c r="G52" s="198"/>
    </row>
    <row r="53" spans="1:7" hidden="1" x14ac:dyDescent="0.2">
      <c r="A53" s="125"/>
      <c r="B53" s="125"/>
      <c r="C53" s="154"/>
      <c r="D53" s="197">
        <f t="shared" si="1"/>
        <v>0</v>
      </c>
      <c r="E53" s="178"/>
      <c r="F53" s="199">
        <f t="shared" si="2"/>
        <v>0</v>
      </c>
      <c r="G53" s="198"/>
    </row>
    <row r="54" spans="1:7" hidden="1" x14ac:dyDescent="0.2">
      <c r="A54" s="125"/>
      <c r="B54" s="125"/>
      <c r="C54" s="154"/>
      <c r="D54" s="197">
        <f t="shared" si="1"/>
        <v>0</v>
      </c>
      <c r="E54" s="178"/>
      <c r="F54" s="199">
        <f t="shared" si="2"/>
        <v>0</v>
      </c>
      <c r="G54" s="198"/>
    </row>
    <row r="55" spans="1:7" hidden="1" x14ac:dyDescent="0.2">
      <c r="A55" s="125"/>
      <c r="B55" s="125"/>
      <c r="C55" s="154"/>
      <c r="D55" s="197">
        <f t="shared" si="1"/>
        <v>0</v>
      </c>
      <c r="E55" s="178"/>
      <c r="F55" s="199">
        <f t="shared" si="2"/>
        <v>0</v>
      </c>
      <c r="G55" s="198"/>
    </row>
    <row r="56" spans="1:7" hidden="1" x14ac:dyDescent="0.2">
      <c r="A56" s="125"/>
      <c r="B56" s="125"/>
      <c r="C56" s="154"/>
      <c r="D56" s="197">
        <f t="shared" si="1"/>
        <v>0</v>
      </c>
      <c r="E56" s="178"/>
      <c r="F56" s="199">
        <f t="shared" si="2"/>
        <v>0</v>
      </c>
      <c r="G56" s="198"/>
    </row>
    <row r="57" spans="1:7" hidden="1" x14ac:dyDescent="0.2">
      <c r="A57" s="125"/>
      <c r="B57" s="125"/>
      <c r="C57" s="154"/>
      <c r="D57" s="197">
        <f t="shared" si="1"/>
        <v>0</v>
      </c>
      <c r="E57" s="178"/>
      <c r="F57" s="199">
        <f t="shared" si="2"/>
        <v>0</v>
      </c>
      <c r="G57" s="198"/>
    </row>
    <row r="58" spans="1:7" hidden="1" x14ac:dyDescent="0.2">
      <c r="A58" s="125"/>
      <c r="B58" s="125"/>
      <c r="C58" s="154"/>
      <c r="D58" s="197">
        <f t="shared" si="1"/>
        <v>0</v>
      </c>
      <c r="E58" s="178"/>
      <c r="F58" s="199">
        <f t="shared" si="2"/>
        <v>0</v>
      </c>
      <c r="G58" s="198"/>
    </row>
    <row r="59" spans="1:7" hidden="1" x14ac:dyDescent="0.2">
      <c r="A59" s="125"/>
      <c r="B59" s="125"/>
      <c r="C59" s="154"/>
      <c r="D59" s="197">
        <f t="shared" si="1"/>
        <v>0</v>
      </c>
      <c r="E59" s="178"/>
      <c r="F59" s="199">
        <f t="shared" si="2"/>
        <v>0</v>
      </c>
      <c r="G59" s="198"/>
    </row>
    <row r="60" spans="1:7" hidden="1" x14ac:dyDescent="0.2">
      <c r="A60" s="125"/>
      <c r="B60" s="125"/>
      <c r="C60" s="154"/>
      <c r="D60" s="197">
        <f t="shared" si="1"/>
        <v>0</v>
      </c>
      <c r="E60" s="178"/>
      <c r="F60" s="199">
        <f t="shared" si="2"/>
        <v>0</v>
      </c>
      <c r="G60" s="198"/>
    </row>
    <row r="61" spans="1:7" hidden="1" x14ac:dyDescent="0.2">
      <c r="A61" s="125"/>
      <c r="B61" s="125"/>
      <c r="C61" s="154"/>
      <c r="D61" s="197">
        <f t="shared" si="1"/>
        <v>0</v>
      </c>
      <c r="E61" s="178"/>
      <c r="F61" s="199">
        <f t="shared" si="2"/>
        <v>0</v>
      </c>
      <c r="G61" s="198"/>
    </row>
    <row r="62" spans="1:7" hidden="1" x14ac:dyDescent="0.2">
      <c r="A62" s="125"/>
      <c r="B62" s="125"/>
      <c r="C62" s="154"/>
      <c r="D62" s="197">
        <f t="shared" si="1"/>
        <v>0</v>
      </c>
      <c r="E62" s="178"/>
      <c r="F62" s="199">
        <f t="shared" si="2"/>
        <v>0</v>
      </c>
      <c r="G62" s="198"/>
    </row>
    <row r="63" spans="1:7" hidden="1" x14ac:dyDescent="0.2">
      <c r="A63" s="125"/>
      <c r="B63" s="125"/>
      <c r="C63" s="154"/>
      <c r="D63" s="197">
        <f t="shared" si="1"/>
        <v>0</v>
      </c>
      <c r="E63" s="178"/>
      <c r="F63" s="199">
        <f t="shared" si="2"/>
        <v>0</v>
      </c>
      <c r="G63" s="198"/>
    </row>
    <row r="64" spans="1:7" hidden="1" x14ac:dyDescent="0.2">
      <c r="A64" s="125"/>
      <c r="B64" s="125"/>
      <c r="C64" s="154"/>
      <c r="D64" s="197">
        <f t="shared" si="1"/>
        <v>0</v>
      </c>
      <c r="E64" s="178"/>
      <c r="F64" s="199">
        <f t="shared" si="2"/>
        <v>0</v>
      </c>
      <c r="G64" s="198"/>
    </row>
    <row r="65" spans="1:7" hidden="1" x14ac:dyDescent="0.2">
      <c r="A65" s="125"/>
      <c r="B65" s="125"/>
      <c r="C65" s="154"/>
      <c r="D65" s="197">
        <f t="shared" si="1"/>
        <v>0</v>
      </c>
      <c r="E65" s="178"/>
      <c r="F65" s="199">
        <f t="shared" si="2"/>
        <v>0</v>
      </c>
      <c r="G65" s="198"/>
    </row>
    <row r="66" spans="1:7" hidden="1" x14ac:dyDescent="0.2">
      <c r="A66" s="125"/>
      <c r="B66" s="125"/>
      <c r="C66" s="154"/>
      <c r="D66" s="197">
        <f t="shared" si="1"/>
        <v>0</v>
      </c>
      <c r="E66" s="178"/>
      <c r="F66" s="199">
        <f t="shared" si="2"/>
        <v>0</v>
      </c>
      <c r="G66" s="198"/>
    </row>
    <row r="67" spans="1:7" hidden="1" x14ac:dyDescent="0.2">
      <c r="A67" s="125"/>
      <c r="B67" s="125"/>
      <c r="C67" s="154"/>
      <c r="D67" s="197">
        <f t="shared" si="1"/>
        <v>0</v>
      </c>
      <c r="E67" s="178"/>
      <c r="F67" s="199">
        <f t="shared" ref="F67:F72" si="3">IFERROR(D67*E67,"")</f>
        <v>0</v>
      </c>
      <c r="G67" s="198"/>
    </row>
    <row r="68" spans="1:7" hidden="1" x14ac:dyDescent="0.2">
      <c r="A68" s="125"/>
      <c r="B68" s="125"/>
      <c r="C68" s="154"/>
      <c r="D68" s="197">
        <f t="shared" si="1"/>
        <v>0</v>
      </c>
      <c r="E68" s="178"/>
      <c r="F68" s="199">
        <f t="shared" si="3"/>
        <v>0</v>
      </c>
      <c r="G68" s="198"/>
    </row>
    <row r="69" spans="1:7" hidden="1" x14ac:dyDescent="0.2">
      <c r="A69" s="125"/>
      <c r="B69" s="125"/>
      <c r="C69" s="154"/>
      <c r="D69" s="197">
        <f t="shared" ref="D69:D72" si="4">IFERROR(C69/$C$73,"")</f>
        <v>0</v>
      </c>
      <c r="E69" s="178"/>
      <c r="F69" s="199">
        <f t="shared" si="3"/>
        <v>0</v>
      </c>
      <c r="G69" s="198"/>
    </row>
    <row r="70" spans="1:7" hidden="1" x14ac:dyDescent="0.2">
      <c r="A70" s="125"/>
      <c r="B70" s="125"/>
      <c r="C70" s="154"/>
      <c r="D70" s="197">
        <f t="shared" si="4"/>
        <v>0</v>
      </c>
      <c r="E70" s="178"/>
      <c r="F70" s="199">
        <f t="shared" si="3"/>
        <v>0</v>
      </c>
      <c r="G70" s="198"/>
    </row>
    <row r="71" spans="1:7" hidden="1" x14ac:dyDescent="0.2">
      <c r="A71" s="125"/>
      <c r="B71" s="125"/>
      <c r="C71" s="154"/>
      <c r="D71" s="197">
        <f t="shared" si="4"/>
        <v>0</v>
      </c>
      <c r="E71" s="178"/>
      <c r="F71" s="199">
        <f t="shared" si="3"/>
        <v>0</v>
      </c>
      <c r="G71" s="198"/>
    </row>
    <row r="72" spans="1:7" hidden="1" x14ac:dyDescent="0.2">
      <c r="A72" s="125"/>
      <c r="B72" s="125"/>
      <c r="C72" s="154"/>
      <c r="D72" s="197">
        <f t="shared" si="4"/>
        <v>0</v>
      </c>
      <c r="E72" s="178"/>
      <c r="F72" s="199">
        <f t="shared" si="3"/>
        <v>0</v>
      </c>
      <c r="G72" s="198"/>
    </row>
    <row r="73" spans="1:7" s="13" customFormat="1" ht="27.2" customHeight="1" x14ac:dyDescent="0.2">
      <c r="A73" s="2" t="s">
        <v>327</v>
      </c>
      <c r="B73" s="2"/>
      <c r="C73" s="179">
        <f>SUM(C4:C72)</f>
        <v>5829</v>
      </c>
      <c r="D73" s="2"/>
      <c r="E73" s="180"/>
      <c r="F73" s="181">
        <f>IF(C4="",0,SUM(F4:F72))</f>
        <v>3.3713329902213068E-2</v>
      </c>
      <c r="G73" s="2"/>
    </row>
    <row r="74" spans="1:7" ht="22.5" x14ac:dyDescent="0.2">
      <c r="A74"/>
      <c r="B74"/>
      <c r="C74"/>
      <c r="D74"/>
      <c r="E74" s="182" t="s">
        <v>643</v>
      </c>
      <c r="F74" s="158">
        <f>D79</f>
        <v>0.5</v>
      </c>
    </row>
    <row r="75" spans="1:7" x14ac:dyDescent="0.2">
      <c r="A75"/>
      <c r="B75"/>
      <c r="C75"/>
      <c r="D75"/>
      <c r="E75" s="183" t="s">
        <v>644</v>
      </c>
      <c r="F75" s="184">
        <f>F73*F74</f>
        <v>1.6856664951106534E-2</v>
      </c>
    </row>
    <row r="76" spans="1:7" ht="22.5" customHeight="1" x14ac:dyDescent="0.2">
      <c r="A76" s="503" t="s">
        <v>645</v>
      </c>
      <c r="B76" s="503"/>
      <c r="C76" s="11" t="s">
        <v>646</v>
      </c>
      <c r="D76" s="11" t="s">
        <v>647</v>
      </c>
    </row>
    <row r="77" spans="1:7" ht="33.75" customHeight="1" x14ac:dyDescent="0.2">
      <c r="A77" s="504" t="s">
        <v>648</v>
      </c>
      <c r="B77" s="106" t="s">
        <v>649</v>
      </c>
      <c r="C77" s="185">
        <f>'III-A - Mão de Obra (CCT)'!D121*'III - Parcela Fixa'!E7+'III - Parcela Fixa'!E8*'III-A - Mão de Obra (CCT)'!G121+'III-A - Mão de Obra (CCT)'!J121*'III - Parcela Fixa'!E9+'III-A - Mão de Obra (CCT)'!E121*'III - Parcela Fixa'!E11+'III-A - Mão de Obra (CCT)'!H121*'III - Parcela Fixa'!E12+'III-A - Mão de Obra (CCT)'!K121*'III - Parcela Fixa'!E13+'III-A - Mão de Obra (CCT)'!F121*'III - Parcela Fixa'!E15+'III-A - Mão de Obra (CCT)'!I121*'III - Parcela Fixa'!E16+'III-A - Mão de Obra (CCT)'!L121*'III - Parcela Fixa'!E17+'II - Planilha Consolidada'!I32*0.5/12</f>
        <v>4343.4273690592045</v>
      </c>
      <c r="D77" s="186">
        <f>C77/$C$84</f>
        <v>0.5</v>
      </c>
    </row>
    <row r="78" spans="1:7" x14ac:dyDescent="0.2">
      <c r="A78" s="504"/>
      <c r="B78" s="106" t="s">
        <v>650</v>
      </c>
      <c r="C78" s="185">
        <f>'III-A - Mão de Obra (CCT)'!N121*'III - Parcela Fixa'!E20+'III - Parcela Fixa'!E21*'III-A - Mão de Obra (CCT)'!O121+'III-A - Mão de Obra (CCT)'!M121*'III - Parcela Fixa'!E22</f>
        <v>0</v>
      </c>
      <c r="D78" s="186">
        <f>C78/$C$84</f>
        <v>0</v>
      </c>
    </row>
    <row r="79" spans="1:7" x14ac:dyDescent="0.2">
      <c r="A79" s="504"/>
      <c r="B79" s="187" t="s">
        <v>161</v>
      </c>
      <c r="C79" s="188">
        <f>C78+C77</f>
        <v>4343.4273690592045</v>
      </c>
      <c r="D79" s="189">
        <f>C79/C84</f>
        <v>0.5</v>
      </c>
    </row>
    <row r="80" spans="1:7" ht="22.5" customHeight="1" x14ac:dyDescent="0.2">
      <c r="A80" s="505" t="s">
        <v>651</v>
      </c>
      <c r="B80" s="15" t="s">
        <v>652</v>
      </c>
      <c r="C80" s="119">
        <f>'III-E - Materiais de Consumo'!I325</f>
        <v>0</v>
      </c>
      <c r="D80" s="186">
        <f>C80/$C$84</f>
        <v>0</v>
      </c>
    </row>
    <row r="81" spans="1:4" x14ac:dyDescent="0.2">
      <c r="A81" s="505"/>
      <c r="B81" s="15" t="s">
        <v>590</v>
      </c>
      <c r="C81" s="119">
        <f>'II - Planilha Consolidada'!I32*0.5/12</f>
        <v>4343.4273690592045</v>
      </c>
      <c r="D81" s="186">
        <f>C81/$C$84</f>
        <v>0.5</v>
      </c>
    </row>
    <row r="82" spans="1:4" x14ac:dyDescent="0.2">
      <c r="A82" s="505"/>
      <c r="B82" s="15" t="s">
        <v>653</v>
      </c>
      <c r="C82" s="119">
        <f>SUM('III-C - Desloc, Pern e Sistema'!H6:H9)</f>
        <v>0</v>
      </c>
      <c r="D82" s="186">
        <f>C82/$C$84</f>
        <v>0</v>
      </c>
    </row>
    <row r="83" spans="1:4" x14ac:dyDescent="0.2">
      <c r="A83" s="505"/>
      <c r="B83" s="10" t="s">
        <v>161</v>
      </c>
      <c r="C83" s="190">
        <f>SUM(C80:C82)</f>
        <v>4343.4273690592045</v>
      </c>
      <c r="D83" s="191">
        <f>C83/C84</f>
        <v>0.5</v>
      </c>
    </row>
    <row r="84" spans="1:4" ht="19.5" customHeight="1" x14ac:dyDescent="0.2">
      <c r="A84" s="503" t="s">
        <v>654</v>
      </c>
      <c r="B84" s="503"/>
      <c r="C84" s="192">
        <f>C83+C79</f>
        <v>8686.8547381184089</v>
      </c>
      <c r="D84" s="193">
        <f>D83+D79</f>
        <v>1</v>
      </c>
    </row>
  </sheetData>
  <mergeCells count="5">
    <mergeCell ref="A76:B76"/>
    <mergeCell ref="A77:A79"/>
    <mergeCell ref="A80:A83"/>
    <mergeCell ref="A84:B84"/>
    <mergeCell ref="A1:G1"/>
  </mergeCells>
  <printOptions horizontalCentered="1"/>
  <pageMargins left="0.39370078740157483" right="0.39370078740157483" top="0.59055118110236227" bottom="0.39370078740157483" header="0" footer="0"/>
  <pageSetup paperSize="9" scale="85" firstPageNumber="0" fitToHeight="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AMH72"/>
  <sheetViews>
    <sheetView view="pageBreakPreview" topLeftCell="A22" zoomScale="85" zoomScaleNormal="100" zoomScaleSheetLayoutView="85" workbookViewId="0">
      <selection activeCell="I32" sqref="I32"/>
    </sheetView>
  </sheetViews>
  <sheetFormatPr defaultColWidth="6.5" defaultRowHeight="14.25" x14ac:dyDescent="0.2"/>
  <cols>
    <col min="1" max="1" width="9" style="22" customWidth="1"/>
    <col min="2" max="2" width="9.125" style="23" customWidth="1"/>
    <col min="3" max="3" width="42" style="23" customWidth="1"/>
    <col min="4" max="5" width="9" style="23" customWidth="1"/>
    <col min="6" max="6" width="12.875" style="23" customWidth="1"/>
    <col min="7" max="7" width="21" style="23" customWidth="1"/>
    <col min="8" max="9" width="22.125" style="23" customWidth="1"/>
    <col min="10" max="10" width="14.375" style="23" bestFit="1" customWidth="1"/>
    <col min="11" max="11" width="8.375" style="23" bestFit="1" customWidth="1"/>
    <col min="12" max="1022" width="6.5" style="23"/>
  </cols>
  <sheetData>
    <row r="1" spans="1:12" ht="64.5" customHeight="1" x14ac:dyDescent="0.2">
      <c r="A1" s="393" t="s">
        <v>17</v>
      </c>
      <c r="B1" s="394"/>
      <c r="C1" s="394"/>
      <c r="D1" s="394"/>
      <c r="E1" s="394"/>
      <c r="F1" s="394"/>
      <c r="G1" s="394"/>
      <c r="H1" s="394"/>
      <c r="I1" s="395"/>
    </row>
    <row r="2" spans="1:12" ht="15" customHeight="1" x14ac:dyDescent="0.2">
      <c r="A2" s="396" t="s">
        <v>18</v>
      </c>
      <c r="B2" s="396"/>
      <c r="C2" s="396"/>
      <c r="D2" s="396"/>
      <c r="E2" s="396"/>
      <c r="F2" s="396"/>
      <c r="G2" s="396"/>
      <c r="H2" s="396"/>
      <c r="I2" s="396"/>
    </row>
    <row r="3" spans="1:12" ht="15" x14ac:dyDescent="0.2">
      <c r="A3" s="401"/>
      <c r="B3" s="402"/>
      <c r="C3" s="402"/>
      <c r="D3" s="402"/>
      <c r="E3" s="402"/>
      <c r="F3" s="402"/>
      <c r="G3" s="402"/>
      <c r="H3" s="402"/>
      <c r="I3" s="403"/>
    </row>
    <row r="4" spans="1:12" ht="14.25" customHeight="1" x14ac:dyDescent="0.2">
      <c r="A4" s="222"/>
      <c r="B4" s="397" t="s">
        <v>19</v>
      </c>
      <c r="C4" s="397"/>
      <c r="D4" s="397"/>
      <c r="E4" s="397"/>
      <c r="F4" s="397"/>
      <c r="G4" s="397"/>
      <c r="H4" s="397"/>
      <c r="I4" s="397"/>
    </row>
    <row r="5" spans="1:12" ht="38.25" customHeight="1" x14ac:dyDescent="0.2">
      <c r="A5" s="388" t="s">
        <v>20</v>
      </c>
      <c r="B5" s="223"/>
      <c r="C5" s="224" t="s">
        <v>21</v>
      </c>
      <c r="D5" s="223" t="s">
        <v>22</v>
      </c>
      <c r="E5" s="225" t="s">
        <v>23</v>
      </c>
      <c r="F5" s="225" t="s">
        <v>24</v>
      </c>
      <c r="G5" s="223" t="s">
        <v>25</v>
      </c>
      <c r="H5" s="223" t="s">
        <v>26</v>
      </c>
      <c r="I5" s="223" t="s">
        <v>27</v>
      </c>
    </row>
    <row r="6" spans="1:12" ht="14.25" customHeight="1" x14ac:dyDescent="0.2">
      <c r="A6" s="388"/>
      <c r="B6" s="226" t="s">
        <v>28</v>
      </c>
      <c r="C6" s="226" t="s">
        <v>29</v>
      </c>
      <c r="D6" s="227"/>
      <c r="E6" s="228"/>
      <c r="F6" s="229"/>
      <c r="G6" s="230">
        <f>SUM(G9:G20)</f>
        <v>0</v>
      </c>
      <c r="H6" s="230">
        <f>SUM(H9:H20)</f>
        <v>0</v>
      </c>
      <c r="I6" s="227"/>
    </row>
    <row r="7" spans="1:12" ht="14.25" customHeight="1" x14ac:dyDescent="0.2">
      <c r="A7" s="388"/>
      <c r="B7" s="246" t="s">
        <v>28</v>
      </c>
      <c r="C7" s="246" t="s">
        <v>30</v>
      </c>
      <c r="D7" s="247"/>
      <c r="E7" s="245"/>
      <c r="F7" s="248"/>
      <c r="G7" s="249"/>
      <c r="H7" s="249"/>
      <c r="I7" s="247"/>
    </row>
    <row r="8" spans="1:12" ht="14.25" customHeight="1" x14ac:dyDescent="0.2">
      <c r="A8" s="388"/>
      <c r="B8" s="404" t="s">
        <v>31</v>
      </c>
      <c r="C8" s="404"/>
      <c r="D8" s="404"/>
      <c r="E8" s="404"/>
      <c r="F8" s="404"/>
      <c r="G8" s="404"/>
      <c r="H8" s="404"/>
      <c r="I8" s="404"/>
    </row>
    <row r="9" spans="1:12" ht="38.25" customHeight="1" x14ac:dyDescent="0.2">
      <c r="A9" s="388"/>
      <c r="B9" s="250" t="str">
        <f>'III - Parcela Fixa'!A7</f>
        <v>1.1.1.1</v>
      </c>
      <c r="C9" s="251" t="str">
        <f>'CCT E VT'!A4</f>
        <v>Oficial de Manutenção Predial I (Eletricista/Instalador-Reparador de Reders Telefônicas e de comunicação de dados) - CBO 5143-25 – Jornada 44h semanais</v>
      </c>
      <c r="D9" s="252" t="str">
        <f>'III - Parcela Fixa'!C7</f>
        <v>posto/mês</v>
      </c>
      <c r="E9" s="253">
        <f>'III - Parcela Fixa'!E7</f>
        <v>1</v>
      </c>
      <c r="F9" s="254">
        <f>'III-A - Mão de Obra (CCT)'!D$123</f>
        <v>0</v>
      </c>
      <c r="G9" s="254">
        <f>F9*E9</f>
        <v>0</v>
      </c>
      <c r="H9" s="254">
        <f>G9*12</f>
        <v>0</v>
      </c>
      <c r="I9" s="255"/>
    </row>
    <row r="10" spans="1:12" ht="25.5" x14ac:dyDescent="0.2">
      <c r="A10" s="388"/>
      <c r="B10" s="231" t="str">
        <f>'III - Parcela Fixa'!A8</f>
        <v>1.1.1.2</v>
      </c>
      <c r="C10" s="232" t="str">
        <f>'CCT E VT'!A7</f>
        <v>Oficial de Manutenção Predial II  (Pedreiro/Bombeiro Hidráulico) - CBO 5143-25 – Jornada 44h semanais</v>
      </c>
      <c r="D10" s="227" t="str">
        <f>'III - Parcela Fixa'!C8</f>
        <v>posto/mês</v>
      </c>
      <c r="E10" s="233">
        <f>'III - Parcela Fixa'!E8</f>
        <v>1</v>
      </c>
      <c r="F10" s="229">
        <f>'III-A - Mão de Obra (CCT)'!G$123</f>
        <v>0</v>
      </c>
      <c r="G10" s="229">
        <f t="shared" ref="G10:G24" si="0">F10*E10</f>
        <v>0</v>
      </c>
      <c r="H10" s="229">
        <f t="shared" ref="H10:H24" si="1">G10*12</f>
        <v>0</v>
      </c>
      <c r="I10" s="234"/>
    </row>
    <row r="11" spans="1:12" ht="38.25" x14ac:dyDescent="0.2">
      <c r="A11" s="388"/>
      <c r="B11" s="231" t="str">
        <f>'III - Parcela Fixa'!A9</f>
        <v>1.1.1.3</v>
      </c>
      <c r="C11" s="232" t="str">
        <f>'CCT E VT'!A10</f>
        <v>Auxiliar de Manutenção Predial - auxiliar de eletricista/auxiliar hidráulica/auxiliar de pedreiro) - CBO 5143-10 – Jornada de 44h semanais</v>
      </c>
      <c r="D11" s="227" t="str">
        <f>'III - Parcela Fixa'!C9</f>
        <v>posto/mês</v>
      </c>
      <c r="E11" s="233">
        <f>'III - Parcela Fixa'!E9</f>
        <v>1</v>
      </c>
      <c r="F11" s="229">
        <f>'III-A - Mão de Obra (CCT)'!J$123</f>
        <v>0</v>
      </c>
      <c r="G11" s="229">
        <f t="shared" si="0"/>
        <v>0</v>
      </c>
      <c r="H11" s="229">
        <f t="shared" si="1"/>
        <v>0</v>
      </c>
      <c r="I11" s="234"/>
    </row>
    <row r="12" spans="1:12" hidden="1" x14ac:dyDescent="0.2">
      <c r="A12" s="388"/>
      <c r="B12" s="405" t="s">
        <v>32</v>
      </c>
      <c r="C12" s="405"/>
      <c r="D12" s="405"/>
      <c r="E12" s="405"/>
      <c r="F12" s="405"/>
      <c r="G12" s="405"/>
      <c r="H12" s="405"/>
      <c r="I12" s="405"/>
    </row>
    <row r="13" spans="1:12" ht="38.25" hidden="1" x14ac:dyDescent="0.2">
      <c r="A13" s="388"/>
      <c r="B13" s="373" t="str">
        <f>'III - Parcela Fixa'!A11</f>
        <v>1.1.1.4</v>
      </c>
      <c r="C13" s="374" t="str">
        <f>'CCT E VT'!A5</f>
        <v>Oficial de Manutenção Predial I (Eletricista/Instalador-Reparador de Reders Telefônicas e de comunicação de dados) - CBO 5143-25 – Jornada 44h semanais</v>
      </c>
      <c r="D13" s="375" t="str">
        <f>'III - Parcela Fixa'!C11</f>
        <v>posto/mês</v>
      </c>
      <c r="E13" s="376"/>
      <c r="F13" s="377">
        <f>'III-A - Mão de Obra (CCT)'!E$123</f>
        <v>0</v>
      </c>
      <c r="G13" s="378">
        <f>F13*E13</f>
        <v>0</v>
      </c>
      <c r="H13" s="378">
        <f>G13*12</f>
        <v>0</v>
      </c>
      <c r="I13" s="351"/>
    </row>
    <row r="14" spans="1:12" ht="25.5" hidden="1" x14ac:dyDescent="0.2">
      <c r="A14" s="388"/>
      <c r="B14" s="373" t="str">
        <f>'III - Parcela Fixa'!A12</f>
        <v>1.1.1.5</v>
      </c>
      <c r="C14" s="374" t="str">
        <f>'III - Parcela Fixa'!B12</f>
        <v>Oficial de Manutenção B (Pedreiro/Bombeiro Hidráulico) - CBO 5143-25 - Jornada 44h</v>
      </c>
      <c r="D14" s="375" t="str">
        <f>'III - Parcela Fixa'!C12</f>
        <v>posto/mês</v>
      </c>
      <c r="E14" s="376"/>
      <c r="F14" s="377">
        <f>'III-A - Mão de Obra (CCT)'!H$123</f>
        <v>0</v>
      </c>
      <c r="G14" s="377">
        <f t="shared" ref="G14:G15" si="2">F14*E14</f>
        <v>0</v>
      </c>
      <c r="H14" s="377">
        <f t="shared" ref="H14:H15" si="3">G14*12</f>
        <v>0</v>
      </c>
      <c r="I14" s="351"/>
    </row>
    <row r="15" spans="1:12" ht="51" hidden="1" x14ac:dyDescent="0.2">
      <c r="A15" s="388"/>
      <c r="B15" s="373" t="str">
        <f>'III - Parcela Fixa'!A13</f>
        <v>1.1.1.6</v>
      </c>
      <c r="C15" s="374" t="str">
        <f>'III - Parcela Fixa'!B13</f>
        <v>Auxiliar de Manutenção Predial - CBO 5143-10 (Qualificação: auxiliar de eletricista/auxiliar hidráulica/auxiliar de pedreiro) – Jornada de 44h semanais</v>
      </c>
      <c r="D15" s="375" t="str">
        <f>'III - Parcela Fixa'!C13</f>
        <v>posto/mês</v>
      </c>
      <c r="E15" s="376"/>
      <c r="F15" s="377">
        <f>'III-A - Mão de Obra (CCT)'!K$123</f>
        <v>0</v>
      </c>
      <c r="G15" s="377">
        <f t="shared" si="2"/>
        <v>0</v>
      </c>
      <c r="H15" s="377">
        <f t="shared" si="3"/>
        <v>0</v>
      </c>
      <c r="I15" s="351"/>
    </row>
    <row r="16" spans="1:12" x14ac:dyDescent="0.2">
      <c r="A16" s="388"/>
      <c r="B16" s="256" t="s">
        <v>33</v>
      </c>
      <c r="C16" s="257" t="s">
        <v>34</v>
      </c>
      <c r="D16" s="227"/>
      <c r="E16" s="233"/>
      <c r="F16" s="229"/>
      <c r="G16" s="229"/>
      <c r="H16" s="229"/>
      <c r="I16" s="234"/>
      <c r="J16"/>
      <c r="L16"/>
    </row>
    <row r="17" spans="1:12" x14ac:dyDescent="0.2">
      <c r="A17" s="388"/>
      <c r="B17" s="404" t="s">
        <v>31</v>
      </c>
      <c r="C17" s="404"/>
      <c r="D17" s="404"/>
      <c r="E17" s="404"/>
      <c r="F17" s="404"/>
      <c r="G17" s="404"/>
      <c r="H17" s="404"/>
      <c r="I17" s="404"/>
      <c r="J17"/>
      <c r="L17"/>
    </row>
    <row r="18" spans="1:12" x14ac:dyDescent="0.2">
      <c r="A18" s="388"/>
      <c r="B18" s="231" t="s">
        <v>35</v>
      </c>
      <c r="C18" s="232" t="s">
        <v>834</v>
      </c>
      <c r="D18" s="227" t="s">
        <v>36</v>
      </c>
      <c r="E18" s="233">
        <f>'III - Parcela Fixa'!E20</f>
        <v>0.17</v>
      </c>
      <c r="F18" s="229">
        <f>'III-A - Mão de Obra (CCT)'!N123</f>
        <v>0</v>
      </c>
      <c r="G18" s="229">
        <f t="shared" si="0"/>
        <v>0</v>
      </c>
      <c r="H18" s="229">
        <f t="shared" si="1"/>
        <v>0</v>
      </c>
      <c r="I18" s="234"/>
      <c r="J18"/>
      <c r="L18"/>
    </row>
    <row r="19" spans="1:12" x14ac:dyDescent="0.2">
      <c r="A19" s="388"/>
      <c r="B19" s="231" t="s">
        <v>37</v>
      </c>
      <c r="C19" s="232" t="s">
        <v>835</v>
      </c>
      <c r="D19" s="227" t="s">
        <v>36</v>
      </c>
      <c r="E19" s="233">
        <f>'III - Parcela Fixa'!E21</f>
        <v>0.04</v>
      </c>
      <c r="F19" s="229">
        <f>'III-A - Mão de Obra (CCT)'!O123</f>
        <v>0</v>
      </c>
      <c r="G19" s="229">
        <f t="shared" si="0"/>
        <v>0</v>
      </c>
      <c r="H19" s="229">
        <f t="shared" si="1"/>
        <v>0</v>
      </c>
      <c r="I19" s="234"/>
      <c r="J19"/>
      <c r="L19"/>
    </row>
    <row r="20" spans="1:12" x14ac:dyDescent="0.2">
      <c r="A20" s="388"/>
      <c r="B20" s="231" t="s">
        <v>38</v>
      </c>
      <c r="C20" s="232" t="s">
        <v>39</v>
      </c>
      <c r="D20" s="227" t="s">
        <v>36</v>
      </c>
      <c r="E20" s="233">
        <f>'III - Parcela Fixa'!E22</f>
        <v>0</v>
      </c>
      <c r="F20" s="229">
        <f>'III-A - Mão de Obra (CCT)'!M123</f>
        <v>0</v>
      </c>
      <c r="G20" s="229">
        <f t="shared" si="0"/>
        <v>0</v>
      </c>
      <c r="H20" s="229">
        <f t="shared" si="1"/>
        <v>0</v>
      </c>
      <c r="I20" s="234"/>
      <c r="J20"/>
      <c r="L20"/>
    </row>
    <row r="21" spans="1:12" x14ac:dyDescent="0.2">
      <c r="A21" s="388"/>
      <c r="B21" s="235" t="s">
        <v>33</v>
      </c>
      <c r="C21" s="226" t="s">
        <v>40</v>
      </c>
      <c r="D21" s="236" t="s">
        <v>22</v>
      </c>
      <c r="E21" s="236">
        <v>1</v>
      </c>
      <c r="F21" s="237">
        <f>'III-C - Desloc, Pern e Sistema'!J6</f>
        <v>0</v>
      </c>
      <c r="G21" s="238">
        <f t="shared" si="0"/>
        <v>0</v>
      </c>
      <c r="H21" s="238">
        <f>G21*12</f>
        <v>0</v>
      </c>
      <c r="I21" s="239"/>
      <c r="J21"/>
      <c r="L21"/>
    </row>
    <row r="22" spans="1:12" x14ac:dyDescent="0.2">
      <c r="A22" s="388"/>
      <c r="B22" s="235" t="s">
        <v>41</v>
      </c>
      <c r="C22" s="226" t="s">
        <v>42</v>
      </c>
      <c r="D22" s="236" t="s">
        <v>22</v>
      </c>
      <c r="E22" s="240">
        <v>1</v>
      </c>
      <c r="F22" s="237">
        <f>'III-C - Desloc, Pern e Sistema'!J7</f>
        <v>0</v>
      </c>
      <c r="G22" s="241">
        <f>F22*E22</f>
        <v>0</v>
      </c>
      <c r="H22" s="241">
        <f>G22*12</f>
        <v>0</v>
      </c>
      <c r="I22" s="242"/>
      <c r="J22"/>
      <c r="L22"/>
    </row>
    <row r="23" spans="1:12" x14ac:dyDescent="0.2">
      <c r="A23" s="388"/>
      <c r="B23" s="235" t="s">
        <v>43</v>
      </c>
      <c r="C23" s="226" t="s">
        <v>44</v>
      </c>
      <c r="D23" s="236" t="s">
        <v>22</v>
      </c>
      <c r="E23" s="240">
        <v>1</v>
      </c>
      <c r="F23" s="237">
        <f>'III-C - Desloc, Pern e Sistema'!J8</f>
        <v>0</v>
      </c>
      <c r="G23" s="241">
        <f t="shared" si="0"/>
        <v>0</v>
      </c>
      <c r="H23" s="241">
        <f t="shared" si="1"/>
        <v>0</v>
      </c>
      <c r="I23" s="242"/>
      <c r="J23"/>
      <c r="L23"/>
    </row>
    <row r="24" spans="1:12" x14ac:dyDescent="0.2">
      <c r="A24" s="388"/>
      <c r="B24" s="235" t="s">
        <v>45</v>
      </c>
      <c r="C24" s="226" t="s">
        <v>46</v>
      </c>
      <c r="D24" s="236" t="s">
        <v>22</v>
      </c>
      <c r="E24" s="240">
        <v>1</v>
      </c>
      <c r="F24" s="237">
        <f>'III-C - Desloc, Pern e Sistema'!G9*(1+H35)</f>
        <v>0</v>
      </c>
      <c r="G24" s="241">
        <f t="shared" si="0"/>
        <v>0</v>
      </c>
      <c r="H24" s="241">
        <f t="shared" si="1"/>
        <v>0</v>
      </c>
      <c r="I24" s="242"/>
      <c r="J24" s="285"/>
      <c r="L24"/>
    </row>
    <row r="25" spans="1:12" x14ac:dyDescent="0.2">
      <c r="A25" s="388"/>
      <c r="B25" s="235" t="s">
        <v>47</v>
      </c>
      <c r="C25" s="226" t="s">
        <v>48</v>
      </c>
      <c r="D25" s="236" t="s">
        <v>22</v>
      </c>
      <c r="E25" s="240">
        <v>1</v>
      </c>
      <c r="F25" s="237">
        <f>'III-E - Materiais de Consumo'!I329</f>
        <v>0</v>
      </c>
      <c r="G25" s="241">
        <f t="shared" ref="G25" si="4">F25*E25</f>
        <v>0</v>
      </c>
      <c r="H25" s="241">
        <f t="shared" ref="H25" si="5">G25*12</f>
        <v>0</v>
      </c>
      <c r="I25" s="242"/>
      <c r="J25" s="285"/>
      <c r="K25" s="338"/>
      <c r="L25"/>
    </row>
    <row r="26" spans="1:12" x14ac:dyDescent="0.2">
      <c r="A26" s="388"/>
      <c r="B26" s="235" t="s">
        <v>49</v>
      </c>
      <c r="C26" s="381" t="s">
        <v>50</v>
      </c>
      <c r="D26" s="236" t="s">
        <v>22</v>
      </c>
      <c r="E26" s="240">
        <v>1</v>
      </c>
      <c r="F26" s="237">
        <f>'III-C - Desloc, Pern e Sistema'!J10</f>
        <v>0</v>
      </c>
      <c r="G26" s="241">
        <f t="shared" ref="G26" si="6">F26*E26</f>
        <v>0</v>
      </c>
      <c r="H26" s="241">
        <f t="shared" ref="H26" si="7">G26*12</f>
        <v>0</v>
      </c>
      <c r="I26" s="242"/>
      <c r="J26" s="285"/>
      <c r="K26" s="338"/>
      <c r="L26"/>
    </row>
    <row r="27" spans="1:12" x14ac:dyDescent="0.2">
      <c r="A27" s="388"/>
      <c r="B27" s="243" t="s">
        <v>51</v>
      </c>
      <c r="C27" s="398" t="s">
        <v>52</v>
      </c>
      <c r="D27" s="399"/>
      <c r="E27" s="399"/>
      <c r="F27" s="399"/>
      <c r="G27" s="399"/>
      <c r="H27" s="400"/>
      <c r="I27" s="244">
        <f>SUM(H21:H26)+H6</f>
        <v>0</v>
      </c>
      <c r="J27" s="285"/>
      <c r="L27"/>
    </row>
    <row r="28" spans="1:12" x14ac:dyDescent="0.2">
      <c r="A28" s="5"/>
      <c r="B28" s="5"/>
      <c r="C28" s="5"/>
      <c r="D28" s="5"/>
      <c r="E28" s="5"/>
      <c r="F28" s="5"/>
      <c r="G28"/>
      <c r="H28"/>
      <c r="I28"/>
      <c r="J28"/>
      <c r="L28"/>
    </row>
    <row r="29" spans="1:12" x14ac:dyDescent="0.2">
      <c r="A29" s="258"/>
      <c r="B29" s="397" t="s">
        <v>53</v>
      </c>
      <c r="C29" s="397"/>
      <c r="D29" s="397"/>
      <c r="E29" s="397"/>
      <c r="F29" s="397"/>
      <c r="G29" s="397"/>
      <c r="H29" s="397"/>
      <c r="I29" s="397"/>
      <c r="J29"/>
      <c r="L29"/>
    </row>
    <row r="30" spans="1:12" x14ac:dyDescent="0.2">
      <c r="A30" s="388" t="s">
        <v>54</v>
      </c>
      <c r="B30" s="386" t="s">
        <v>55</v>
      </c>
      <c r="C30" s="386"/>
      <c r="D30" s="386"/>
      <c r="E30" s="386"/>
      <c r="F30" s="386"/>
      <c r="G30" s="386"/>
      <c r="H30" s="386"/>
      <c r="I30" s="386"/>
      <c r="J30"/>
    </row>
    <row r="31" spans="1:12" ht="44.85" customHeight="1" x14ac:dyDescent="0.2">
      <c r="A31" s="388"/>
      <c r="B31" s="259" t="s">
        <v>56</v>
      </c>
      <c r="C31" s="260" t="s">
        <v>57</v>
      </c>
      <c r="D31" s="261"/>
      <c r="E31" s="261"/>
      <c r="F31" s="261"/>
      <c r="G31" s="262"/>
      <c r="H31" s="259" t="s">
        <v>58</v>
      </c>
      <c r="I31" s="259" t="s">
        <v>59</v>
      </c>
      <c r="J31"/>
    </row>
    <row r="32" spans="1:12" x14ac:dyDescent="0.2">
      <c r="A32" s="388"/>
      <c r="B32" s="263" t="s">
        <v>60</v>
      </c>
      <c r="C32" s="382" t="s">
        <v>61</v>
      </c>
      <c r="D32" s="382"/>
      <c r="E32" s="382"/>
      <c r="F32" s="382"/>
      <c r="G32" s="382"/>
      <c r="H32" s="264"/>
      <c r="I32" s="265">
        <v>104242.2568574209</v>
      </c>
      <c r="J32" s="285"/>
    </row>
    <row r="33" spans="1:11" ht="39" customHeight="1" x14ac:dyDescent="0.2">
      <c r="A33" s="388"/>
      <c r="B33" s="266" t="s">
        <v>62</v>
      </c>
      <c r="C33" s="382" t="s">
        <v>63</v>
      </c>
      <c r="D33" s="382"/>
      <c r="E33" s="382"/>
      <c r="F33" s="382"/>
      <c r="G33" s="382"/>
      <c r="H33" s="267">
        <v>0</v>
      </c>
      <c r="I33" s="268">
        <f>I32*H33</f>
        <v>0</v>
      </c>
      <c r="J33" s="285"/>
    </row>
    <row r="34" spans="1:11" ht="30" customHeight="1" x14ac:dyDescent="0.2">
      <c r="A34" s="388"/>
      <c r="B34" s="266" t="s">
        <v>64</v>
      </c>
      <c r="C34" s="382" t="s">
        <v>65</v>
      </c>
      <c r="D34" s="382"/>
      <c r="E34" s="382"/>
      <c r="F34" s="382"/>
      <c r="G34" s="382"/>
      <c r="H34" s="269"/>
      <c r="I34" s="268">
        <f>I32-I33</f>
        <v>104242.2568574209</v>
      </c>
      <c r="J34" s="285"/>
    </row>
    <row r="35" spans="1:11" ht="44.85" customHeight="1" x14ac:dyDescent="0.2">
      <c r="A35" s="388"/>
      <c r="B35" s="266" t="s">
        <v>66</v>
      </c>
      <c r="C35" s="383" t="s">
        <v>67</v>
      </c>
      <c r="D35" s="384"/>
      <c r="E35" s="384"/>
      <c r="F35" s="385"/>
      <c r="G35" s="270" t="s">
        <v>68</v>
      </c>
      <c r="H35" s="271">
        <f>'V - BDI'!C18</f>
        <v>4.7120418848167533E-2</v>
      </c>
      <c r="I35" s="268">
        <f>I34*(1+H35)</f>
        <v>109154.19566222084</v>
      </c>
      <c r="J35" s="285"/>
    </row>
    <row r="36" spans="1:11" ht="44.85" customHeight="1" x14ac:dyDescent="0.2">
      <c r="A36" s="388"/>
      <c r="B36" s="259" t="s">
        <v>69</v>
      </c>
      <c r="C36" s="386" t="s">
        <v>70</v>
      </c>
      <c r="D36" s="386"/>
      <c r="E36" s="386"/>
      <c r="F36" s="386"/>
      <c r="G36" s="386"/>
      <c r="H36" s="386"/>
      <c r="I36" s="244">
        <f>I35</f>
        <v>109154.19566222084</v>
      </c>
      <c r="J36" s="285"/>
    </row>
    <row r="37" spans="1:11" x14ac:dyDescent="0.2">
      <c r="A37" s="5"/>
      <c r="B37" s="5"/>
      <c r="C37" s="5"/>
      <c r="D37" s="5"/>
      <c r="E37" s="5"/>
      <c r="F37" s="5"/>
      <c r="G37"/>
      <c r="H37"/>
      <c r="I37"/>
      <c r="J37"/>
    </row>
    <row r="38" spans="1:11" x14ac:dyDescent="0.2">
      <c r="A38" s="388" t="s">
        <v>71</v>
      </c>
      <c r="B38" s="389" t="s">
        <v>72</v>
      </c>
      <c r="C38" s="390"/>
      <c r="D38" s="390"/>
      <c r="E38" s="390"/>
      <c r="F38" s="390"/>
      <c r="G38" s="390"/>
      <c r="H38" s="391"/>
      <c r="I38"/>
      <c r="J38"/>
    </row>
    <row r="39" spans="1:11" x14ac:dyDescent="0.2">
      <c r="A39" s="388"/>
      <c r="B39" s="259" t="s">
        <v>73</v>
      </c>
      <c r="C39" s="386" t="s">
        <v>57</v>
      </c>
      <c r="D39" s="386"/>
      <c r="E39" s="386"/>
      <c r="F39" s="386"/>
      <c r="G39" s="386"/>
      <c r="H39" s="259" t="s">
        <v>74</v>
      </c>
      <c r="I39"/>
      <c r="J39"/>
    </row>
    <row r="40" spans="1:11" x14ac:dyDescent="0.2">
      <c r="A40" s="388"/>
      <c r="B40" s="240" t="s">
        <v>51</v>
      </c>
      <c r="C40" s="382" t="s">
        <v>75</v>
      </c>
      <c r="D40" s="382"/>
      <c r="E40" s="382"/>
      <c r="F40" s="382"/>
      <c r="G40" s="382"/>
      <c r="H40" s="268">
        <f>I27</f>
        <v>0</v>
      </c>
      <c r="I40" s="285"/>
      <c r="J40"/>
    </row>
    <row r="41" spans="1:11" ht="27" customHeight="1" x14ac:dyDescent="0.2">
      <c r="A41" s="388"/>
      <c r="B41" s="240" t="s">
        <v>69</v>
      </c>
      <c r="C41" s="382" t="s">
        <v>76</v>
      </c>
      <c r="D41" s="382"/>
      <c r="E41" s="382"/>
      <c r="F41" s="382"/>
      <c r="G41" s="382"/>
      <c r="H41" s="268">
        <f>I36</f>
        <v>109154.19566222084</v>
      </c>
      <c r="I41" s="285"/>
      <c r="J41"/>
    </row>
    <row r="42" spans="1:11" ht="15.75" x14ac:dyDescent="0.25">
      <c r="A42" s="388"/>
      <c r="B42" s="389" t="s">
        <v>77</v>
      </c>
      <c r="C42" s="390"/>
      <c r="D42" s="390"/>
      <c r="E42" s="390"/>
      <c r="F42" s="390"/>
      <c r="G42" s="391"/>
      <c r="H42" s="272">
        <f>SUM(H40:H41)</f>
        <v>109154.19566222084</v>
      </c>
      <c r="I42" s="285"/>
      <c r="J42" s="291"/>
      <c r="K42" s="337"/>
    </row>
    <row r="43" spans="1:11" x14ac:dyDescent="0.2">
      <c r="A43" s="5"/>
      <c r="B43" s="5"/>
      <c r="C43" s="5"/>
      <c r="D43" s="5"/>
      <c r="E43" s="5"/>
      <c r="F43" s="5"/>
      <c r="G43"/>
      <c r="H43"/>
      <c r="I43" s="285"/>
      <c r="J43" s="285"/>
    </row>
    <row r="44" spans="1:11" x14ac:dyDescent="0.2">
      <c r="A44" s="387" t="s">
        <v>78</v>
      </c>
      <c r="B44" s="273" t="s">
        <v>60</v>
      </c>
      <c r="C44" s="274" t="s">
        <v>79</v>
      </c>
      <c r="D44" s="274"/>
      <c r="E44" s="274"/>
      <c r="F44" s="274"/>
      <c r="G44" s="274"/>
      <c r="H44" s="275"/>
      <c r="I44"/>
      <c r="J44" s="285"/>
      <c r="K44" s="337"/>
    </row>
    <row r="45" spans="1:11" x14ac:dyDescent="0.2">
      <c r="A45" s="387"/>
      <c r="B45" s="276" t="s">
        <v>62</v>
      </c>
      <c r="C45" s="277" t="s">
        <v>80</v>
      </c>
      <c r="D45" s="277"/>
      <c r="E45" s="277"/>
      <c r="F45" s="277"/>
      <c r="G45" s="277"/>
      <c r="H45" s="278"/>
      <c r="I45"/>
      <c r="J45"/>
    </row>
    <row r="46" spans="1:11" x14ac:dyDescent="0.2">
      <c r="A46" s="387"/>
      <c r="B46" s="279" t="s">
        <v>64</v>
      </c>
      <c r="C46" s="280" t="s">
        <v>81</v>
      </c>
      <c r="D46" s="280"/>
      <c r="E46" s="280"/>
      <c r="F46" s="280"/>
      <c r="G46" s="280"/>
      <c r="H46" s="281"/>
      <c r="I46"/>
    </row>
    <row r="47" spans="1:11" x14ac:dyDescent="0.2">
      <c r="A47" s="387"/>
      <c r="B47" s="279" t="s">
        <v>66</v>
      </c>
      <c r="C47" s="280" t="s">
        <v>82</v>
      </c>
      <c r="D47" s="280"/>
      <c r="E47" s="280"/>
      <c r="F47" s="280"/>
      <c r="G47" s="280"/>
      <c r="H47" s="281"/>
      <c r="I47"/>
    </row>
    <row r="48" spans="1:11" x14ac:dyDescent="0.2">
      <c r="A48" s="5"/>
      <c r="B48" s="5"/>
      <c r="C48" s="5"/>
      <c r="D48" s="5"/>
      <c r="E48" s="5"/>
      <c r="F48" s="5"/>
      <c r="G48"/>
      <c r="H48"/>
      <c r="I48"/>
    </row>
    <row r="49" spans="1:9" ht="44.85" customHeight="1" x14ac:dyDescent="0.2">
      <c r="A49" s="8" t="s">
        <v>83</v>
      </c>
      <c r="B49" s="392" t="s">
        <v>84</v>
      </c>
      <c r="C49" s="392"/>
      <c r="D49" s="392"/>
      <c r="E49" s="392"/>
      <c r="F49" s="392"/>
      <c r="G49" s="26" t="s">
        <v>85</v>
      </c>
      <c r="H49"/>
      <c r="I49"/>
    </row>
    <row r="64" spans="1:9" hidden="1" x14ac:dyDescent="0.2">
      <c r="D64" s="22"/>
      <c r="E64" s="27" t="s">
        <v>86</v>
      </c>
      <c r="F64" s="28" t="e">
        <f>SUM(#REF!)</f>
        <v>#REF!</v>
      </c>
    </row>
    <row r="65" spans="4:6" hidden="1" x14ac:dyDescent="0.2">
      <c r="D65" s="29"/>
      <c r="E65" s="30" t="s">
        <v>87</v>
      </c>
      <c r="F65" s="31" t="e">
        <f>#REF!/F64</f>
        <v>#REF!</v>
      </c>
    </row>
    <row r="66" spans="4:6" hidden="1" x14ac:dyDescent="0.2">
      <c r="D66"/>
      <c r="E66" s="33"/>
      <c r="F66" s="32"/>
    </row>
    <row r="67" spans="4:6" hidden="1" x14ac:dyDescent="0.2">
      <c r="D67" s="392" t="s">
        <v>88</v>
      </c>
      <c r="E67" s="34" t="s">
        <v>89</v>
      </c>
      <c r="F67" s="35">
        <v>971.65099999999995</v>
      </c>
    </row>
    <row r="68" spans="4:6" hidden="1" x14ac:dyDescent="0.2">
      <c r="D68" s="392"/>
      <c r="E68" s="36" t="s">
        <v>90</v>
      </c>
      <c r="F68" s="37">
        <v>773.27300000000002</v>
      </c>
    </row>
    <row r="69" spans="4:6" hidden="1" x14ac:dyDescent="0.2">
      <c r="D69" s="392"/>
      <c r="E69" s="38" t="s">
        <v>91</v>
      </c>
      <c r="F69" s="37">
        <f>F68/F67</f>
        <v>0.79583410092718487</v>
      </c>
    </row>
    <row r="70" spans="4:6" hidden="1" x14ac:dyDescent="0.2">
      <c r="D70" s="392"/>
      <c r="E70" s="39" t="s">
        <v>92</v>
      </c>
      <c r="F70" s="40" t="e">
        <f>F69*F65</f>
        <v>#REF!</v>
      </c>
    </row>
    <row r="71" spans="4:6" hidden="1" x14ac:dyDescent="0.2">
      <c r="D71" s="392"/>
      <c r="E71" s="39" t="s">
        <v>93</v>
      </c>
      <c r="F71" s="37">
        <v>3.52</v>
      </c>
    </row>
    <row r="72" spans="4:6" hidden="1" x14ac:dyDescent="0.2">
      <c r="D72" s="392"/>
      <c r="E72" s="41"/>
      <c r="F72" s="42" t="e">
        <f>F70/F71</f>
        <v>#REF!</v>
      </c>
    </row>
  </sheetData>
  <mergeCells count="26">
    <mergeCell ref="D67:D72"/>
    <mergeCell ref="B49:F49"/>
    <mergeCell ref="A1:I1"/>
    <mergeCell ref="A2:I2"/>
    <mergeCell ref="B4:I4"/>
    <mergeCell ref="A5:A27"/>
    <mergeCell ref="C27:H27"/>
    <mergeCell ref="A3:I3"/>
    <mergeCell ref="B8:I8"/>
    <mergeCell ref="B12:I12"/>
    <mergeCell ref="B17:I17"/>
    <mergeCell ref="B29:I29"/>
    <mergeCell ref="A30:A36"/>
    <mergeCell ref="B30:I30"/>
    <mergeCell ref="C32:G32"/>
    <mergeCell ref="C33:G33"/>
    <mergeCell ref="C34:G34"/>
    <mergeCell ref="C35:F35"/>
    <mergeCell ref="C36:H36"/>
    <mergeCell ref="A44:A47"/>
    <mergeCell ref="A38:A42"/>
    <mergeCell ref="B38:H38"/>
    <mergeCell ref="C39:G39"/>
    <mergeCell ref="C40:G40"/>
    <mergeCell ref="C41:G41"/>
    <mergeCell ref="B42:G42"/>
  </mergeCells>
  <phoneticPr fontId="12" type="noConversion"/>
  <dataValidations disablePrompts="1" count="1">
    <dataValidation type="list" allowBlank="1" showErrorMessage="1" sqref="G49" xr:uid="{00000000-0002-0000-0100-000000000000}">
      <formula1>"DESONERADO,NÃO DESONERADO"</formula1>
      <formula2>0</formula2>
    </dataValidation>
  </dataValidations>
  <printOptions horizontalCentered="1"/>
  <pageMargins left="0.39370078740157483" right="0.39370078740157483" top="0.59055118110236227" bottom="0.39370078740157483" header="0" footer="0"/>
  <pageSetup paperSize="9" scale="56" firstPageNumber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AML30"/>
  <sheetViews>
    <sheetView tabSelected="1" view="pageBreakPreview" zoomScaleNormal="100" workbookViewId="0">
      <selection activeCell="G4" sqref="G4"/>
    </sheetView>
  </sheetViews>
  <sheetFormatPr defaultRowHeight="14.25" x14ac:dyDescent="0.2"/>
  <cols>
    <col min="1" max="1" width="11.625" style="25"/>
    <col min="2" max="2" width="49" style="43"/>
    <col min="3" max="3" width="10.875" style="43"/>
    <col min="4" max="4" width="9" style="43"/>
    <col min="5" max="5" width="10.875" style="43"/>
    <col min="6" max="6" width="15.375" style="43"/>
    <col min="7" max="7" width="16.25" style="43"/>
    <col min="8" max="9" width="9" style="43" hidden="1" customWidth="1"/>
    <col min="10" max="1026" width="10.875" style="43"/>
  </cols>
  <sheetData>
    <row r="1" spans="1:10" ht="42.95" customHeight="1" x14ac:dyDescent="0.2">
      <c r="A1" s="406" t="s">
        <v>94</v>
      </c>
      <c r="B1" s="406"/>
      <c r="C1" s="406"/>
      <c r="D1" s="406"/>
      <c r="E1" s="406"/>
      <c r="F1" s="406"/>
      <c r="G1" s="406"/>
      <c r="H1"/>
      <c r="I1"/>
      <c r="J1"/>
    </row>
    <row r="2" spans="1:10" x14ac:dyDescent="0.2">
      <c r="A2"/>
      <c r="B2"/>
      <c r="C2"/>
      <c r="D2"/>
      <c r="E2"/>
      <c r="F2"/>
      <c r="G2"/>
      <c r="H2"/>
      <c r="I2"/>
      <c r="J2"/>
    </row>
    <row r="3" spans="1:10" ht="36.6" customHeight="1" x14ac:dyDescent="0.2">
      <c r="A3" s="44" t="s">
        <v>95</v>
      </c>
      <c r="B3" s="44" t="s">
        <v>96</v>
      </c>
      <c r="C3" s="44" t="s">
        <v>97</v>
      </c>
      <c r="D3" s="44" t="s">
        <v>98</v>
      </c>
      <c r="E3" s="44" t="s">
        <v>99</v>
      </c>
      <c r="F3" s="1" t="s">
        <v>100</v>
      </c>
      <c r="G3" s="1" t="s">
        <v>101</v>
      </c>
      <c r="H3"/>
      <c r="I3"/>
      <c r="J3"/>
    </row>
    <row r="4" spans="1:10" ht="15" x14ac:dyDescent="0.2">
      <c r="A4" s="45" t="s">
        <v>51</v>
      </c>
      <c r="B4" s="46" t="s">
        <v>102</v>
      </c>
      <c r="C4" s="47"/>
      <c r="D4" s="47"/>
      <c r="E4" s="47"/>
      <c r="F4" s="47"/>
      <c r="G4" s="48">
        <f>SUM(G7:G22)</f>
        <v>0</v>
      </c>
      <c r="H4"/>
      <c r="I4"/>
      <c r="J4"/>
    </row>
    <row r="5" spans="1:10" x14ac:dyDescent="0.2">
      <c r="A5" s="49" t="s">
        <v>28</v>
      </c>
      <c r="B5" s="50" t="s">
        <v>30</v>
      </c>
      <c r="C5" s="51"/>
      <c r="D5" s="51"/>
      <c r="E5" s="51"/>
      <c r="F5" s="51"/>
      <c r="G5" s="51"/>
      <c r="H5"/>
      <c r="I5" s="407"/>
      <c r="J5" s="407"/>
    </row>
    <row r="6" spans="1:10" x14ac:dyDescent="0.2">
      <c r="A6" s="409" t="s">
        <v>31</v>
      </c>
      <c r="B6" s="410"/>
      <c r="C6" s="410"/>
      <c r="D6" s="410"/>
      <c r="E6" s="410"/>
      <c r="F6" s="410"/>
      <c r="G6" s="411"/>
      <c r="H6"/>
      <c r="I6" s="221"/>
      <c r="J6" s="221"/>
    </row>
    <row r="7" spans="1:10" ht="33.75" x14ac:dyDescent="0.2">
      <c r="A7" s="511" t="s">
        <v>103</v>
      </c>
      <c r="B7" s="512" t="str">
        <f>'CCT E VT'!A4</f>
        <v>Oficial de Manutenção Predial I (Eletricista/Instalador-Reparador de Reders Telefônicas e de comunicação de dados) - CBO 5143-25 – Jornada 44h semanais</v>
      </c>
      <c r="C7" s="513" t="s">
        <v>36</v>
      </c>
      <c r="D7" s="513" t="str">
        <f>'III-A - Mão de Obra (CCT)'!D$13</f>
        <v>Boa Vista/RR</v>
      </c>
      <c r="E7" s="514">
        <v>1</v>
      </c>
      <c r="F7" s="24">
        <f>'III-A - Mão de Obra (CCT)'!D$123</f>
        <v>0</v>
      </c>
      <c r="G7" s="24">
        <f>E7*F7</f>
        <v>0</v>
      </c>
      <c r="H7" s="282">
        <f>'III-A - Mão de Obra (CCT)'!D$121</f>
        <v>0</v>
      </c>
      <c r="I7" s="283">
        <f>E7*H7</f>
        <v>0</v>
      </c>
    </row>
    <row r="8" spans="1:10" ht="22.5" x14ac:dyDescent="0.2">
      <c r="A8" s="511" t="s">
        <v>104</v>
      </c>
      <c r="B8" s="512" t="str">
        <f>'CCT E VT'!A7</f>
        <v>Oficial de Manutenção Predial II  (Pedreiro/Bombeiro Hidráulico) - CBO 5143-25 – Jornada 44h semanais</v>
      </c>
      <c r="C8" s="513" t="s">
        <v>36</v>
      </c>
      <c r="D8" s="513" t="str">
        <f>'III-A - Mão de Obra (CCT)'!D$13</f>
        <v>Boa Vista/RR</v>
      </c>
      <c r="E8" s="514">
        <v>1</v>
      </c>
      <c r="F8" s="24">
        <f>'III-A - Mão de Obra (CCT)'!G$123</f>
        <v>0</v>
      </c>
      <c r="G8" s="24">
        <f>E8*F8</f>
        <v>0</v>
      </c>
      <c r="H8" s="282">
        <f>'III-A - Mão de Obra (CCT)'!G$121</f>
        <v>0</v>
      </c>
      <c r="I8" s="283">
        <f t="shared" ref="I8:I9" si="0">E8*H8</f>
        <v>0</v>
      </c>
    </row>
    <row r="9" spans="1:10" ht="22.5" x14ac:dyDescent="0.2">
      <c r="A9" s="511" t="s">
        <v>105</v>
      </c>
      <c r="B9" s="512" t="str">
        <f>'CCT E VT'!A10</f>
        <v>Auxiliar de Manutenção Predial - auxiliar de eletricista/auxiliar hidráulica/auxiliar de pedreiro) - CBO 5143-10 – Jornada de 44h semanais</v>
      </c>
      <c r="C9" s="513" t="s">
        <v>36</v>
      </c>
      <c r="D9" s="513" t="str">
        <f>'III-A - Mão de Obra (CCT)'!D$13</f>
        <v>Boa Vista/RR</v>
      </c>
      <c r="E9" s="514">
        <v>1</v>
      </c>
      <c r="F9" s="24">
        <f>'III-A - Mão de Obra (CCT)'!J$123</f>
        <v>0</v>
      </c>
      <c r="G9" s="24">
        <f>E9*F9</f>
        <v>0</v>
      </c>
      <c r="H9" s="282">
        <f>'III-A - Mão de Obra (CCT)'!J$121</f>
        <v>0</v>
      </c>
      <c r="I9" s="283">
        <f t="shared" si="0"/>
        <v>0</v>
      </c>
    </row>
    <row r="10" spans="1:10" hidden="1" x14ac:dyDescent="0.2">
      <c r="A10" s="412" t="s">
        <v>106</v>
      </c>
      <c r="B10" s="413"/>
      <c r="C10" s="413"/>
      <c r="D10" s="413"/>
      <c r="E10" s="413"/>
      <c r="F10" s="413"/>
      <c r="G10" s="414"/>
      <c r="H10" s="282"/>
      <c r="I10" s="283"/>
    </row>
    <row r="11" spans="1:10" ht="22.5" hidden="1" x14ac:dyDescent="0.2">
      <c r="A11" s="368" t="s">
        <v>107</v>
      </c>
      <c r="B11" s="369" t="s">
        <v>108</v>
      </c>
      <c r="C11" s="370" t="s">
        <v>36</v>
      </c>
      <c r="D11" s="370" t="str">
        <f>'III-A - Mão de Obra (CCT)'!E$13</f>
        <v>Apenas posto em BAV</v>
      </c>
      <c r="E11" s="371">
        <v>0</v>
      </c>
      <c r="F11" s="372"/>
      <c r="G11" s="372">
        <f>E11*F11</f>
        <v>0</v>
      </c>
      <c r="H11" s="282">
        <f>'III-A - Mão de Obra (CCT)'!E$121</f>
        <v>0</v>
      </c>
      <c r="I11" s="283">
        <f t="shared" ref="I11:I13" si="1">E11*H11</f>
        <v>0</v>
      </c>
    </row>
    <row r="12" spans="1:10" ht="22.5" hidden="1" x14ac:dyDescent="0.2">
      <c r="A12" s="368" t="s">
        <v>109</v>
      </c>
      <c r="B12" s="369" t="s">
        <v>110</v>
      </c>
      <c r="C12" s="370" t="s">
        <v>36</v>
      </c>
      <c r="D12" s="370" t="str">
        <f>'III-A - Mão de Obra (CCT)'!E$13</f>
        <v>Apenas posto em BAV</v>
      </c>
      <c r="E12" s="371">
        <v>0</v>
      </c>
      <c r="F12" s="372"/>
      <c r="G12" s="372">
        <f t="shared" ref="G12" si="2">E12*F12</f>
        <v>0</v>
      </c>
      <c r="H12" s="282">
        <f>'III-A - Mão de Obra (CCT)'!H$121</f>
        <v>0</v>
      </c>
      <c r="I12" s="283">
        <f t="shared" si="1"/>
        <v>0</v>
      </c>
    </row>
    <row r="13" spans="1:10" ht="22.5" hidden="1" x14ac:dyDescent="0.2">
      <c r="A13" s="368" t="s">
        <v>111</v>
      </c>
      <c r="B13" s="369" t="s">
        <v>112</v>
      </c>
      <c r="C13" s="370" t="s">
        <v>36</v>
      </c>
      <c r="D13" s="370" t="str">
        <f>'III-A - Mão de Obra (CCT)'!E$13</f>
        <v>Apenas posto em BAV</v>
      </c>
      <c r="E13" s="371">
        <v>0</v>
      </c>
      <c r="F13" s="372"/>
      <c r="G13" s="372">
        <f>E13*F13</f>
        <v>0</v>
      </c>
      <c r="H13" s="282">
        <f>'III-A - Mão de Obra (CCT)'!K$121</f>
        <v>0</v>
      </c>
      <c r="I13" s="283">
        <f t="shared" si="1"/>
        <v>0</v>
      </c>
    </row>
    <row r="14" spans="1:10" hidden="1" x14ac:dyDescent="0.2">
      <c r="A14" s="409"/>
      <c r="B14" s="410"/>
      <c r="C14" s="410"/>
      <c r="D14" s="410"/>
      <c r="E14" s="410"/>
      <c r="F14" s="410"/>
      <c r="G14" s="411"/>
      <c r="H14" s="282"/>
      <c r="I14" s="283"/>
    </row>
    <row r="15" spans="1:10" hidden="1" x14ac:dyDescent="0.2">
      <c r="A15" s="52"/>
      <c r="B15" s="14"/>
      <c r="C15" s="7"/>
      <c r="D15" s="7"/>
      <c r="E15" s="53"/>
      <c r="F15" s="24"/>
      <c r="G15" s="24"/>
      <c r="H15" s="282">
        <f>'III-A - Mão de Obra (CCT)'!F$121</f>
        <v>0</v>
      </c>
      <c r="I15" s="283">
        <f t="shared" ref="I15:I17" si="3">E15*H15</f>
        <v>0</v>
      </c>
    </row>
    <row r="16" spans="1:10" hidden="1" x14ac:dyDescent="0.2">
      <c r="A16" s="52"/>
      <c r="B16" s="14"/>
      <c r="C16" s="7"/>
      <c r="D16" s="7"/>
      <c r="E16" s="53"/>
      <c r="F16" s="24"/>
      <c r="G16" s="24"/>
      <c r="H16" s="282">
        <f>'III-A - Mão de Obra (CCT)'!L$121</f>
        <v>0</v>
      </c>
      <c r="I16" s="283">
        <f t="shared" si="3"/>
        <v>0</v>
      </c>
    </row>
    <row r="17" spans="1:11" hidden="1" x14ac:dyDescent="0.2">
      <c r="A17" s="52"/>
      <c r="B17" s="14"/>
      <c r="C17" s="7"/>
      <c r="D17" s="7"/>
      <c r="E17" s="53"/>
      <c r="F17" s="24"/>
      <c r="G17" s="24"/>
      <c r="H17" s="282">
        <f>'III-A - Mão de Obra (CCT)'!I$121</f>
        <v>0</v>
      </c>
      <c r="I17" s="283">
        <f t="shared" si="3"/>
        <v>0</v>
      </c>
    </row>
    <row r="18" spans="1:11" x14ac:dyDescent="0.2">
      <c r="A18" s="49" t="s">
        <v>33</v>
      </c>
      <c r="B18" s="50" t="s">
        <v>34</v>
      </c>
      <c r="C18" s="49"/>
      <c r="D18" s="49"/>
      <c r="E18" s="54"/>
      <c r="F18" s="49"/>
      <c r="G18" s="49"/>
      <c r="H18" s="282"/>
      <c r="I18" s="284"/>
    </row>
    <row r="19" spans="1:11" x14ac:dyDescent="0.2">
      <c r="A19" s="409" t="s">
        <v>31</v>
      </c>
      <c r="B19" s="410"/>
      <c r="C19" s="410"/>
      <c r="D19" s="410"/>
      <c r="E19" s="410"/>
      <c r="F19" s="410"/>
      <c r="G19" s="411"/>
      <c r="H19" s="282"/>
      <c r="I19" s="283"/>
    </row>
    <row r="20" spans="1:11" x14ac:dyDescent="0.2">
      <c r="A20" s="511" t="s">
        <v>35</v>
      </c>
      <c r="B20" s="512" t="s">
        <v>833</v>
      </c>
      <c r="C20" s="513" t="s">
        <v>36</v>
      </c>
      <c r="D20" s="513"/>
      <c r="E20" s="514">
        <v>0.17</v>
      </c>
      <c r="F20" s="24">
        <f>'III-A - Mão de Obra (CCT)'!N123</f>
        <v>0</v>
      </c>
      <c r="G20" s="24">
        <f t="shared" ref="G20:G26" si="4">E20*F20</f>
        <v>0</v>
      </c>
      <c r="H20" s="282">
        <f>'III-A - Mão de Obra (CCT)'!N121</f>
        <v>0</v>
      </c>
      <c r="I20" s="283">
        <f t="shared" ref="I20:I22" si="5">E20*H20</f>
        <v>0</v>
      </c>
    </row>
    <row r="21" spans="1:11" x14ac:dyDescent="0.2">
      <c r="A21" s="511" t="s">
        <v>37</v>
      </c>
      <c r="B21" s="512" t="s">
        <v>832</v>
      </c>
      <c r="C21" s="513" t="s">
        <v>36</v>
      </c>
      <c r="D21" s="513"/>
      <c r="E21" s="514">
        <v>0.04</v>
      </c>
      <c r="F21" s="24">
        <f>'III-A - Mão de Obra (CCT)'!O123</f>
        <v>0</v>
      </c>
      <c r="G21" s="24">
        <f t="shared" si="4"/>
        <v>0</v>
      </c>
      <c r="H21" s="282">
        <f>'III-A - Mão de Obra (CCT)'!O121</f>
        <v>0</v>
      </c>
      <c r="I21" s="283">
        <f t="shared" si="5"/>
        <v>0</v>
      </c>
    </row>
    <row r="22" spans="1:11" x14ac:dyDescent="0.2">
      <c r="A22" s="511" t="s">
        <v>38</v>
      </c>
      <c r="B22" s="512" t="s">
        <v>39</v>
      </c>
      <c r="C22" s="513" t="s">
        <v>36</v>
      </c>
      <c r="D22" s="513"/>
      <c r="E22" s="514">
        <v>0</v>
      </c>
      <c r="F22" s="24">
        <f>'III-A - Mão de Obra (CCT)'!M123</f>
        <v>0</v>
      </c>
      <c r="G22" s="24">
        <f t="shared" si="4"/>
        <v>0</v>
      </c>
      <c r="H22" s="282">
        <f>'III-A - Mão de Obra (CCT)'!M121</f>
        <v>0</v>
      </c>
      <c r="I22" s="283">
        <f t="shared" si="5"/>
        <v>0</v>
      </c>
      <c r="K22" s="339"/>
    </row>
    <row r="23" spans="1:11" ht="15" x14ac:dyDescent="0.2">
      <c r="A23" s="55" t="s">
        <v>69</v>
      </c>
      <c r="B23" s="56" t="s">
        <v>113</v>
      </c>
      <c r="C23" s="6" t="s">
        <v>114</v>
      </c>
      <c r="D23" s="6"/>
      <c r="E23" s="57">
        <v>1</v>
      </c>
      <c r="F23" s="58">
        <f>'III-C - Desloc, Pern e Sistema'!J6</f>
        <v>0</v>
      </c>
      <c r="G23" s="58">
        <f t="shared" si="4"/>
        <v>0</v>
      </c>
      <c r="H23" s="282"/>
      <c r="I23" s="283">
        <f>SUM(I7:I22)*12</f>
        <v>0</v>
      </c>
      <c r="K23" s="339"/>
    </row>
    <row r="24" spans="1:11" ht="15" x14ac:dyDescent="0.2">
      <c r="A24" s="55" t="s">
        <v>115</v>
      </c>
      <c r="B24" s="56" t="s">
        <v>116</v>
      </c>
      <c r="C24" s="6" t="s">
        <v>114</v>
      </c>
      <c r="D24" s="6"/>
      <c r="E24" s="57">
        <v>1</v>
      </c>
      <c r="F24" s="58">
        <f>'III-C - Desloc, Pern e Sistema'!J7</f>
        <v>0</v>
      </c>
      <c r="G24" s="58">
        <f t="shared" si="4"/>
        <v>0</v>
      </c>
      <c r="H24" s="118"/>
      <c r="I24" s="284"/>
      <c r="K24" s="339"/>
    </row>
    <row r="25" spans="1:11" x14ac:dyDescent="0.2">
      <c r="A25" s="55" t="s">
        <v>117</v>
      </c>
      <c r="B25" s="56" t="s">
        <v>44</v>
      </c>
      <c r="C25" s="6" t="s">
        <v>114</v>
      </c>
      <c r="D25" s="6"/>
      <c r="E25" s="57">
        <v>1</v>
      </c>
      <c r="F25" s="58">
        <f>'III-C - Desloc, Pern e Sistema'!J8+'III-C - Desloc, Pern e Sistema'!J9</f>
        <v>0</v>
      </c>
      <c r="G25" s="58">
        <f t="shared" si="4"/>
        <v>0</v>
      </c>
      <c r="H25" s="59"/>
    </row>
    <row r="26" spans="1:11" ht="15" x14ac:dyDescent="0.2">
      <c r="A26" s="55" t="s">
        <v>118</v>
      </c>
      <c r="B26" s="56" t="s">
        <v>119</v>
      </c>
      <c r="C26" s="6" t="s">
        <v>114</v>
      </c>
      <c r="D26" s="6"/>
      <c r="E26" s="57">
        <v>1</v>
      </c>
      <c r="F26" s="58">
        <f>'III-E - Materiais de Consumo'!I329</f>
        <v>0</v>
      </c>
      <c r="G26" s="58">
        <f t="shared" si="4"/>
        <v>0</v>
      </c>
    </row>
    <row r="27" spans="1:11" x14ac:dyDescent="0.2">
      <c r="A27"/>
      <c r="B27"/>
      <c r="C27"/>
      <c r="D27"/>
      <c r="E27"/>
      <c r="F27"/>
      <c r="G27"/>
    </row>
    <row r="28" spans="1:11" x14ac:dyDescent="0.2">
      <c r="A28" s="408" t="s">
        <v>120</v>
      </c>
      <c r="B28" s="408"/>
      <c r="C28" s="408"/>
      <c r="D28" s="408"/>
      <c r="E28" s="408"/>
      <c r="F28" s="408"/>
      <c r="G28" s="60">
        <f>SUM(G7:G26)</f>
        <v>0</v>
      </c>
    </row>
    <row r="30" spans="1:11" x14ac:dyDescent="0.2">
      <c r="G30" s="339" t="e">
        <f>G28/#REF!</f>
        <v>#REF!</v>
      </c>
    </row>
  </sheetData>
  <mergeCells count="7">
    <mergeCell ref="A1:G1"/>
    <mergeCell ref="I5:J5"/>
    <mergeCell ref="A28:F28"/>
    <mergeCell ref="A6:G6"/>
    <mergeCell ref="A10:G10"/>
    <mergeCell ref="A14:G14"/>
    <mergeCell ref="A19:G19"/>
  </mergeCells>
  <printOptions horizontalCentered="1"/>
  <pageMargins left="0.39370078740157483" right="0.39370078740157483" top="0.59055118110236227" bottom="0.39370078740157483" header="0" footer="0"/>
  <pageSetup paperSize="9" firstPageNumber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  <pageSetUpPr fitToPage="1"/>
  </sheetPr>
  <dimension ref="A1:AMQ123"/>
  <sheetViews>
    <sheetView view="pageBreakPreview" topLeftCell="A113" zoomScaleNormal="85" zoomScaleSheetLayoutView="100" zoomScalePageLayoutView="85" workbookViewId="0">
      <selection activeCell="D27" sqref="D27"/>
    </sheetView>
  </sheetViews>
  <sheetFormatPr defaultRowHeight="14.25" x14ac:dyDescent="0.2"/>
  <cols>
    <col min="1" max="1" width="28.25" style="61" customWidth="1"/>
    <col min="2" max="2" width="14" style="62"/>
    <col min="3" max="3" width="1.875" style="62"/>
    <col min="4" max="4" width="14.625" style="62" customWidth="1"/>
    <col min="5" max="6" width="14.625" style="62" hidden="1" customWidth="1"/>
    <col min="7" max="7" width="12" style="62" customWidth="1"/>
    <col min="8" max="9" width="12" style="62" hidden="1" customWidth="1"/>
    <col min="10" max="10" width="11" style="62" customWidth="1"/>
    <col min="11" max="12" width="11" style="62" hidden="1" customWidth="1"/>
    <col min="13" max="13" width="13.25" style="62" hidden="1" customWidth="1"/>
    <col min="14" max="14" width="13.375" style="62" customWidth="1"/>
    <col min="15" max="15" width="13.875" style="62" customWidth="1"/>
    <col min="16" max="16" width="13.625" style="62" customWidth="1"/>
    <col min="17" max="17" width="15.75" style="62" customWidth="1"/>
    <col min="18" max="18" width="13.875" style="62" customWidth="1"/>
    <col min="19" max="19" width="14" style="62" customWidth="1"/>
    <col min="20" max="1031" width="44.125" style="62"/>
  </cols>
  <sheetData>
    <row r="1" spans="1:18" ht="62.45" customHeight="1" x14ac:dyDescent="0.2">
      <c r="A1" s="435" t="s">
        <v>121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  <c r="L1" s="436"/>
      <c r="M1" s="436"/>
      <c r="N1" s="436"/>
      <c r="O1" s="437"/>
      <c r="P1"/>
    </row>
    <row r="2" spans="1:18" ht="28.5" customHeight="1" thickBot="1" x14ac:dyDescent="0.25">
      <c r="A2" s="440" t="s">
        <v>122</v>
      </c>
      <c r="B2" s="441"/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2"/>
      <c r="P2"/>
    </row>
    <row r="3" spans="1:18" ht="28.5" customHeight="1" x14ac:dyDescent="0.2">
      <c r="A3" s="443" t="s">
        <v>123</v>
      </c>
      <c r="B3" s="444"/>
      <c r="C3" s="444"/>
      <c r="D3" s="432"/>
      <c r="E3" s="433"/>
      <c r="F3" s="433"/>
      <c r="G3" s="433"/>
      <c r="H3" s="432"/>
      <c r="I3" s="433"/>
      <c r="J3" s="433"/>
      <c r="K3" s="433"/>
      <c r="L3" s="433"/>
      <c r="M3" s="433"/>
      <c r="N3" s="433"/>
      <c r="O3" s="434"/>
      <c r="P3"/>
    </row>
    <row r="4" spans="1:18" ht="28.5" customHeight="1" x14ac:dyDescent="0.2">
      <c r="A4" s="423" t="s">
        <v>124</v>
      </c>
      <c r="B4" s="424"/>
      <c r="C4" s="424"/>
      <c r="D4" s="430"/>
      <c r="E4" s="431"/>
      <c r="F4" s="431"/>
      <c r="G4" s="431"/>
      <c r="H4" s="430"/>
      <c r="I4" s="431"/>
      <c r="J4" s="431"/>
      <c r="K4" s="431"/>
      <c r="L4" s="415"/>
      <c r="M4" s="416"/>
      <c r="N4" s="416"/>
      <c r="O4" s="417"/>
      <c r="P4"/>
    </row>
    <row r="5" spans="1:18" ht="28.5" customHeight="1" x14ac:dyDescent="0.2">
      <c r="A5" s="423" t="s">
        <v>125</v>
      </c>
      <c r="B5" s="424"/>
      <c r="C5" s="424"/>
      <c r="D5" s="430"/>
      <c r="E5" s="431"/>
      <c r="F5" s="431"/>
      <c r="G5" s="431"/>
      <c r="H5" s="430"/>
      <c r="I5" s="431"/>
      <c r="J5" s="431"/>
      <c r="K5" s="431"/>
      <c r="L5" s="415"/>
      <c r="M5" s="416"/>
      <c r="N5" s="416"/>
      <c r="O5" s="417"/>
      <c r="P5"/>
    </row>
    <row r="6" spans="1:18" ht="28.5" customHeight="1" x14ac:dyDescent="0.2">
      <c r="A6" s="423" t="s">
        <v>126</v>
      </c>
      <c r="B6" s="424"/>
      <c r="C6" s="424"/>
      <c r="D6" s="445"/>
      <c r="E6" s="446"/>
      <c r="F6" s="446"/>
      <c r="G6" s="446"/>
      <c r="H6" s="445"/>
      <c r="I6" s="446"/>
      <c r="J6" s="446"/>
      <c r="K6" s="446"/>
      <c r="L6" s="418"/>
      <c r="M6" s="419"/>
      <c r="N6" s="419"/>
      <c r="O6" s="420"/>
      <c r="P6"/>
    </row>
    <row r="7" spans="1:18" ht="28.5" customHeight="1" x14ac:dyDescent="0.2">
      <c r="A7" s="423" t="s">
        <v>127</v>
      </c>
      <c r="B7" s="424"/>
      <c r="C7" s="424"/>
      <c r="D7" s="430"/>
      <c r="E7" s="431"/>
      <c r="F7" s="431"/>
      <c r="G7" s="431"/>
      <c r="H7" s="430"/>
      <c r="I7" s="431"/>
      <c r="J7" s="431"/>
      <c r="K7" s="449"/>
      <c r="L7" s="415"/>
      <c r="M7" s="416"/>
      <c r="N7" s="416"/>
      <c r="O7" s="417"/>
      <c r="P7"/>
    </row>
    <row r="8" spans="1:18" ht="28.5" customHeight="1" x14ac:dyDescent="0.2">
      <c r="A8" s="423" t="s">
        <v>128</v>
      </c>
      <c r="B8" s="424"/>
      <c r="C8" s="424"/>
      <c r="D8" s="430"/>
      <c r="E8" s="431"/>
      <c r="F8" s="431"/>
      <c r="G8" s="431"/>
      <c r="H8" s="430"/>
      <c r="I8" s="431"/>
      <c r="J8" s="431"/>
      <c r="K8" s="431"/>
      <c r="L8" s="415"/>
      <c r="M8" s="416"/>
      <c r="N8" s="416"/>
      <c r="O8" s="417"/>
      <c r="P8"/>
    </row>
    <row r="9" spans="1:18" ht="36.75" customHeight="1" x14ac:dyDescent="0.2">
      <c r="A9" s="423" t="s">
        <v>129</v>
      </c>
      <c r="B9" s="424"/>
      <c r="C9" s="424"/>
      <c r="D9" s="509"/>
      <c r="E9" s="510"/>
      <c r="F9" s="510"/>
      <c r="G9" s="510"/>
      <c r="H9" s="430"/>
      <c r="I9" s="431"/>
      <c r="J9" s="431"/>
      <c r="K9" s="431"/>
      <c r="L9" s="415"/>
      <c r="M9" s="416"/>
      <c r="N9" s="416"/>
      <c r="O9" s="417"/>
      <c r="P9"/>
    </row>
    <row r="10" spans="1:18" ht="28.5" customHeight="1" x14ac:dyDescent="0.2">
      <c r="A10" s="425" t="s">
        <v>130</v>
      </c>
      <c r="B10" s="426"/>
      <c r="C10" s="426"/>
      <c r="D10" s="447"/>
      <c r="E10" s="448"/>
      <c r="F10" s="448"/>
      <c r="G10" s="448"/>
      <c r="H10" s="427"/>
      <c r="I10" s="428"/>
      <c r="J10" s="428"/>
      <c r="K10" s="428"/>
      <c r="L10" s="427"/>
      <c r="M10" s="428"/>
      <c r="N10" s="428"/>
      <c r="O10" s="429"/>
      <c r="P10"/>
    </row>
    <row r="11" spans="1:18" ht="15.75" customHeight="1" x14ac:dyDescent="0.2">
      <c r="A11" s="5"/>
      <c r="B11" s="206"/>
      <c r="C11" s="206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5"/>
      <c r="P11"/>
    </row>
    <row r="12" spans="1:18" ht="123.75" x14ac:dyDescent="0.2">
      <c r="A12" s="422" t="s">
        <v>132</v>
      </c>
      <c r="B12" s="422"/>
      <c r="C12"/>
      <c r="D12" s="212" t="str">
        <f>'CCT E VT'!A4</f>
        <v>Oficial de Manutenção Predial I (Eletricista/Instalador-Reparador de Reders Telefônicas e de comunicação de dados) - CBO 5143-25 – Jornada 44h semanais</v>
      </c>
      <c r="E12" s="212"/>
      <c r="F12" s="212"/>
      <c r="G12" s="212" t="str">
        <f>'CCT E VT'!A7</f>
        <v>Oficial de Manutenção Predial II  (Pedreiro/Bombeiro Hidráulico) - CBO 5143-25 – Jornada 44h semanais</v>
      </c>
      <c r="H12" s="212"/>
      <c r="I12" s="212"/>
      <c r="J12" s="212" t="str">
        <f>'CCT E VT'!A10</f>
        <v>Auxiliar de Manutenção Predial - auxiliar de eletricista/auxiliar hidráulica/auxiliar de pedreiro) - CBO 5143-10 – Jornada de 44h semanais</v>
      </c>
      <c r="K12" s="212"/>
      <c r="L12" s="212"/>
      <c r="M12" s="353" t="s">
        <v>133</v>
      </c>
      <c r="N12" s="214" t="s">
        <v>836</v>
      </c>
      <c r="O12" s="209" t="s">
        <v>238</v>
      </c>
      <c r="P12"/>
    </row>
    <row r="13" spans="1:18" x14ac:dyDescent="0.2">
      <c r="A13" s="421" t="s">
        <v>134</v>
      </c>
      <c r="B13" s="421"/>
      <c r="C13"/>
      <c r="D13" s="515" t="s">
        <v>135</v>
      </c>
      <c r="E13" s="516" t="s">
        <v>136</v>
      </c>
      <c r="F13" s="516" t="s">
        <v>136</v>
      </c>
      <c r="G13" s="515" t="s">
        <v>135</v>
      </c>
      <c r="H13" s="516" t="s">
        <v>136</v>
      </c>
      <c r="I13" s="516" t="s">
        <v>136</v>
      </c>
      <c r="J13" s="515" t="s">
        <v>135</v>
      </c>
      <c r="K13" s="516" t="s">
        <v>136</v>
      </c>
      <c r="L13" s="516" t="s">
        <v>136</v>
      </c>
      <c r="M13" s="517" t="s">
        <v>137</v>
      </c>
      <c r="N13" s="515" t="s">
        <v>135</v>
      </c>
      <c r="O13" s="515" t="s">
        <v>135</v>
      </c>
      <c r="P13"/>
    </row>
    <row r="14" spans="1:18" x14ac:dyDescent="0.2">
      <c r="A14" s="421" t="s">
        <v>138</v>
      </c>
      <c r="B14" s="421"/>
      <c r="C14"/>
      <c r="D14" s="518">
        <f>'CCT E VT'!$D4</f>
        <v>0</v>
      </c>
      <c r="E14" s="518">
        <f>'CCT E VT'!$D5</f>
        <v>0</v>
      </c>
      <c r="F14" s="518">
        <f>'CCT E VT'!$D6</f>
        <v>0</v>
      </c>
      <c r="G14" s="518">
        <f>'CCT E VT'!$D7</f>
        <v>0</v>
      </c>
      <c r="H14" s="518">
        <f>'CCT E VT'!$D8</f>
        <v>0</v>
      </c>
      <c r="I14" s="518">
        <f>'CCT E VT'!$D9</f>
        <v>0</v>
      </c>
      <c r="J14" s="518">
        <f>'CCT E VT'!$D10</f>
        <v>0</v>
      </c>
      <c r="K14" s="518">
        <f>'CCT E VT'!$D11</f>
        <v>0</v>
      </c>
      <c r="L14" s="518">
        <f>'CCT E VT'!$D12</f>
        <v>0</v>
      </c>
      <c r="M14" s="519">
        <f>'CCT E VT'!$D15</f>
        <v>0</v>
      </c>
      <c r="N14" s="520">
        <f>'CCT E VT'!$D13</f>
        <v>0</v>
      </c>
      <c r="O14" s="518">
        <f>'CCT E VT'!$D14</f>
        <v>0</v>
      </c>
      <c r="P14"/>
    </row>
    <row r="15" spans="1:18" x14ac:dyDescent="0.2">
      <c r="A15" s="421" t="s">
        <v>139</v>
      </c>
      <c r="B15" s="421"/>
      <c r="C15"/>
      <c r="D15" s="521" t="s">
        <v>140</v>
      </c>
      <c r="E15" s="521" t="s">
        <v>140</v>
      </c>
      <c r="F15" s="521" t="s">
        <v>140</v>
      </c>
      <c r="G15" s="521" t="s">
        <v>141</v>
      </c>
      <c r="H15" s="521" t="s">
        <v>141</v>
      </c>
      <c r="I15" s="521" t="s">
        <v>140</v>
      </c>
      <c r="J15" s="521" t="s">
        <v>142</v>
      </c>
      <c r="K15" s="521" t="s">
        <v>142</v>
      </c>
      <c r="L15" s="521" t="s">
        <v>142</v>
      </c>
      <c r="M15" s="522" t="s">
        <v>143</v>
      </c>
      <c r="N15" s="523"/>
      <c r="O15" s="521"/>
      <c r="P15" s="439"/>
      <c r="Q15" s="439"/>
      <c r="R15" s="439"/>
    </row>
    <row r="16" spans="1:18" ht="34.5" customHeight="1" x14ac:dyDescent="0.2">
      <c r="A16" s="438" t="s">
        <v>144</v>
      </c>
      <c r="B16" s="208" t="s">
        <v>145</v>
      </c>
      <c r="C16"/>
      <c r="D16" s="521">
        <f>D3</f>
        <v>0</v>
      </c>
      <c r="E16" s="521">
        <f>$H$3</f>
        <v>0</v>
      </c>
      <c r="F16" s="521"/>
      <c r="G16" s="521">
        <f>$D$3</f>
        <v>0</v>
      </c>
      <c r="H16" s="521">
        <f>$H$3</f>
        <v>0</v>
      </c>
      <c r="I16" s="521"/>
      <c r="J16" s="521">
        <f>$D$3</f>
        <v>0</v>
      </c>
      <c r="K16" s="521">
        <f>$H$3</f>
        <v>0</v>
      </c>
      <c r="L16" s="521"/>
      <c r="M16" s="522">
        <f>$D$3</f>
        <v>0</v>
      </c>
      <c r="N16" s="523"/>
      <c r="O16" s="521"/>
      <c r="P16" s="25"/>
      <c r="Q16" s="25"/>
      <c r="R16" s="25"/>
    </row>
    <row r="17" spans="1:15" ht="26.25" customHeight="1" x14ac:dyDescent="0.2">
      <c r="A17" s="438"/>
      <c r="B17" s="207" t="s">
        <v>135</v>
      </c>
      <c r="C17"/>
      <c r="D17" s="524">
        <f>MAX(0,'CCT E VT'!$D$18*'III-A.1 - Memorial de Cálculo'!$B$6*2-'III-A.1 - Memorial de Cálculo'!$B$10*D14)</f>
        <v>0</v>
      </c>
      <c r="E17" s="524">
        <f>MAX(0,'CCT E VT'!$D$19*'III-A.1 - Memorial de Cálculo'!$B$6*2-'III-A.1 - Memorial de Cálculo'!$B$10*E14)</f>
        <v>0</v>
      </c>
      <c r="F17" s="524">
        <f>MAX(0,'CCT E VT'!$D$20*'III-A.1 - Memorial de Cálculo'!$B$6*2-'III-A.1 - Memorial de Cálculo'!$B$10*F14)</f>
        <v>0</v>
      </c>
      <c r="G17" s="524">
        <f>MAX(0,'CCT E VT'!$D$18*'III-A.1 - Memorial de Cálculo'!$B$6*2-'III-A.1 - Memorial de Cálculo'!$B$10*G14)</f>
        <v>0</v>
      </c>
      <c r="H17" s="524">
        <f>MAX(0,'CCT E VT'!$D$19*'III-A.1 - Memorial de Cálculo'!$B$6*2-'III-A.1 - Memorial de Cálculo'!$B$10*H14)</f>
        <v>0</v>
      </c>
      <c r="I17" s="524">
        <f>MAX(0,'CCT E VT'!$D$20*'III-A.1 - Memorial de Cálculo'!$B$6*2-'III-A.1 - Memorial de Cálculo'!$B$10*I14)</f>
        <v>0</v>
      </c>
      <c r="J17" s="524">
        <f>MAX(0,'CCT E VT'!$D$18*'III-A.1 - Memorial de Cálculo'!$B$6*2-'III-A.1 - Memorial de Cálculo'!$B$10*J14)</f>
        <v>0</v>
      </c>
      <c r="K17" s="524">
        <f>MAX(0,'CCT E VT'!$D$19*'III-A.1 - Memorial de Cálculo'!$B$6*2-'III-A.1 - Memorial de Cálculo'!$B$10*K14)</f>
        <v>0</v>
      </c>
      <c r="L17" s="524">
        <f>MAX(0,'CCT E VT'!$D$20*'III-A.1 - Memorial de Cálculo'!$B$6*2-'III-A.1 - Memorial de Cálculo'!$B$10*L14)</f>
        <v>0</v>
      </c>
      <c r="M17" s="525">
        <f>MAX(0,'CCT E VT'!$D$18*'III-A.1 - Memorial de Cálculo'!$B$6*2-'III-A.1 - Memorial de Cálculo'!$B$10*M14)</f>
        <v>0</v>
      </c>
      <c r="N17" s="524">
        <f>IF('CCT E VT'!$D$18*'III-A.1 - Memorial de Cálculo'!$B$6*2-0.06*N14&lt;0,0,'CCT E VT'!$D$18*'III-A.1 - Memorial de Cálculo'!$B$6*2-0.06*N14)</f>
        <v>0</v>
      </c>
      <c r="O17" s="524">
        <f>IF('CCT E VT'!$D$18*'III-A.1 - Memorial de Cálculo'!$B$6*2-0.06*O14&lt;0,0,'CCT E VT'!$D$18*'III-A.1 - Memorial de Cálculo'!$B$6*2-0.06*O14)</f>
        <v>0</v>
      </c>
    </row>
    <row r="18" spans="1:15" ht="22.5" x14ac:dyDescent="0.2">
      <c r="A18" s="438"/>
      <c r="B18" s="207" t="s">
        <v>146</v>
      </c>
      <c r="C18"/>
      <c r="D18" s="524">
        <f>SUM('CCT E VT'!$D$23:$D$23)*'III-A.1 - Memorial de Cálculo'!$B$6+'CCT E VT'!$D24</f>
        <v>0</v>
      </c>
      <c r="E18" s="524">
        <f>SUM('CCT E VT'!$D$23:$D$23)*'III-A.1 - Memorial de Cálculo'!$B$6+'CCT E VT'!$D24</f>
        <v>0</v>
      </c>
      <c r="F18" s="524"/>
      <c r="G18" s="524">
        <f>SUM('CCT E VT'!$D$23:$D$23)*'III-A.1 - Memorial de Cálculo'!$B$6+'CCT E VT'!$D24</f>
        <v>0</v>
      </c>
      <c r="H18" s="524">
        <f>SUM('CCT E VT'!$D$23:$D$23)*'III-A.1 - Memorial de Cálculo'!$B$6+'CCT E VT'!$D24</f>
        <v>0</v>
      </c>
      <c r="I18" s="524"/>
      <c r="J18" s="524">
        <f>SUM('CCT E VT'!$D$23:$D$23)*'III-A.1 - Memorial de Cálculo'!$B$6+'CCT E VT'!$D24</f>
        <v>0</v>
      </c>
      <c r="K18" s="524">
        <f>SUM('CCT E VT'!$D$23:$D$23)*'III-A.1 - Memorial de Cálculo'!$B$6+'CCT E VT'!$D24</f>
        <v>0</v>
      </c>
      <c r="L18" s="524"/>
      <c r="M18" s="525">
        <f>SUM('CCT E VT'!$D$23:$D$23)*'III-A.1 - Memorial de Cálculo'!$B$6+'CCT E VT'!$D24</f>
        <v>0</v>
      </c>
      <c r="N18" s="526"/>
      <c r="O18" s="524"/>
    </row>
    <row r="19" spans="1:15" ht="22.5" x14ac:dyDescent="0.2">
      <c r="A19" s="438"/>
      <c r="B19" s="207" t="s">
        <v>147</v>
      </c>
      <c r="C19"/>
      <c r="D19" s="527"/>
      <c r="E19" s="521"/>
      <c r="F19" s="521"/>
      <c r="G19" s="521"/>
      <c r="H19" s="521"/>
      <c r="I19" s="521"/>
      <c r="J19" s="521"/>
      <c r="K19" s="521"/>
      <c r="L19" s="521"/>
      <c r="M19" s="522"/>
      <c r="N19" s="523"/>
      <c r="O19" s="521"/>
    </row>
    <row r="20" spans="1:15" ht="22.5" x14ac:dyDescent="0.2">
      <c r="A20" s="438"/>
      <c r="B20" s="207" t="s">
        <v>148</v>
      </c>
      <c r="C20"/>
      <c r="D20" s="521"/>
      <c r="E20" s="521"/>
      <c r="F20" s="521"/>
      <c r="G20" s="521"/>
      <c r="H20" s="521"/>
      <c r="I20" s="521"/>
      <c r="J20" s="521"/>
      <c r="K20" s="521"/>
      <c r="L20" s="521"/>
      <c r="M20" s="522"/>
      <c r="N20" s="523"/>
      <c r="O20" s="521"/>
    </row>
    <row r="21" spans="1:15" ht="45" x14ac:dyDescent="0.2">
      <c r="A21" s="438"/>
      <c r="B21" s="207" t="s">
        <v>149</v>
      </c>
      <c r="C21"/>
      <c r="D21" s="524">
        <f>SUM('CCT E VT'!$D27:$D28)</f>
        <v>0</v>
      </c>
      <c r="E21" s="524">
        <f>SUM('CCT E VT'!$D27:$D28)</f>
        <v>0</v>
      </c>
      <c r="F21" s="524"/>
      <c r="G21" s="524">
        <f>SUM('CCT E VT'!$D27:$D28)</f>
        <v>0</v>
      </c>
      <c r="H21" s="524">
        <f>SUM('CCT E VT'!$D27:$D28)</f>
        <v>0</v>
      </c>
      <c r="I21" s="524"/>
      <c r="J21" s="524">
        <f>SUM('CCT E VT'!$D27:$D28)</f>
        <v>0</v>
      </c>
      <c r="K21" s="524">
        <f>SUM('CCT E VT'!$D27:$D28)</f>
        <v>0</v>
      </c>
      <c r="L21" s="524"/>
      <c r="M21" s="525">
        <f>SUM('CCT E VT'!$D27:$D28)</f>
        <v>0</v>
      </c>
      <c r="N21" s="526"/>
      <c r="O21" s="524"/>
    </row>
    <row r="22" spans="1:15" x14ac:dyDescent="0.2">
      <c r="A22" s="421" t="s">
        <v>150</v>
      </c>
      <c r="B22" s="421"/>
      <c r="C22"/>
      <c r="D22" s="211"/>
      <c r="E22" s="211"/>
      <c r="F22" s="211"/>
      <c r="G22" s="211"/>
      <c r="H22" s="211"/>
      <c r="I22" s="211"/>
      <c r="J22" s="211"/>
      <c r="K22" s="211"/>
      <c r="L22" s="211"/>
      <c r="M22" s="354"/>
      <c r="N22" s="322"/>
      <c r="O22" s="211"/>
    </row>
    <row r="23" spans="1:15" x14ac:dyDescent="0.2">
      <c r="A23"/>
      <c r="B23"/>
      <c r="C23"/>
      <c r="D23" s="63"/>
      <c r="E23" s="63"/>
      <c r="F23" s="63"/>
      <c r="G23" s="63"/>
      <c r="H23" s="63"/>
      <c r="I23" s="63"/>
      <c r="J23" s="63"/>
      <c r="K23" s="63"/>
      <c r="L23" s="63"/>
      <c r="M23" s="157"/>
      <c r="N23" s="63"/>
      <c r="O23" s="63"/>
    </row>
    <row r="24" spans="1:15" ht="22.5" x14ac:dyDescent="0.2">
      <c r="A24" s="66" t="s">
        <v>151</v>
      </c>
      <c r="B24" s="67"/>
      <c r="C24"/>
      <c r="D24" s="68"/>
      <c r="E24" s="69"/>
      <c r="F24" s="69"/>
      <c r="G24" s="69"/>
      <c r="H24" s="69"/>
      <c r="I24" s="69"/>
      <c r="J24" s="69"/>
      <c r="K24" s="69"/>
      <c r="L24" s="69"/>
      <c r="M24" s="355"/>
      <c r="N24" s="69"/>
      <c r="O24" s="69"/>
    </row>
    <row r="25" spans="1:15" x14ac:dyDescent="0.2">
      <c r="A25" s="70" t="s">
        <v>152</v>
      </c>
      <c r="B25" s="1" t="s">
        <v>153</v>
      </c>
      <c r="C25"/>
      <c r="D25" s="71" t="s">
        <v>154</v>
      </c>
      <c r="E25" s="71" t="s">
        <v>154</v>
      </c>
      <c r="F25" s="71" t="s">
        <v>154</v>
      </c>
      <c r="G25" s="71" t="s">
        <v>154</v>
      </c>
      <c r="H25" s="71" t="s">
        <v>154</v>
      </c>
      <c r="I25" s="71" t="s">
        <v>154</v>
      </c>
      <c r="J25" s="71" t="s">
        <v>154</v>
      </c>
      <c r="K25" s="71" t="s">
        <v>154</v>
      </c>
      <c r="L25" s="71" t="s">
        <v>154</v>
      </c>
      <c r="M25" s="356" t="s">
        <v>154</v>
      </c>
      <c r="N25" s="71" t="s">
        <v>154</v>
      </c>
      <c r="O25" s="71" t="s">
        <v>154</v>
      </c>
    </row>
    <row r="26" spans="1:15" x14ac:dyDescent="0.2">
      <c r="A26" s="72" t="s">
        <v>155</v>
      </c>
      <c r="B26" s="73"/>
      <c r="C26"/>
      <c r="D26" s="74">
        <f>D14</f>
        <v>0</v>
      </c>
      <c r="E26" s="74">
        <f t="shared" ref="E26:O26" si="0">E14</f>
        <v>0</v>
      </c>
      <c r="F26" s="74">
        <f t="shared" si="0"/>
        <v>0</v>
      </c>
      <c r="G26" s="74">
        <f t="shared" si="0"/>
        <v>0</v>
      </c>
      <c r="H26" s="74">
        <f t="shared" si="0"/>
        <v>0</v>
      </c>
      <c r="I26" s="74">
        <f t="shared" si="0"/>
        <v>0</v>
      </c>
      <c r="J26" s="74">
        <f t="shared" si="0"/>
        <v>0</v>
      </c>
      <c r="K26" s="74">
        <f t="shared" si="0"/>
        <v>0</v>
      </c>
      <c r="L26" s="74">
        <f t="shared" si="0"/>
        <v>0</v>
      </c>
      <c r="M26" s="357">
        <f>M14</f>
        <v>0</v>
      </c>
      <c r="N26" s="74">
        <f t="shared" si="0"/>
        <v>0</v>
      </c>
      <c r="O26" s="74">
        <f t="shared" si="0"/>
        <v>0</v>
      </c>
    </row>
    <row r="27" spans="1:15" x14ac:dyDescent="0.2">
      <c r="A27" s="72" t="s">
        <v>156</v>
      </c>
      <c r="B27" s="75">
        <v>0.3</v>
      </c>
      <c r="C27"/>
      <c r="D27" s="528">
        <f>$B27*D26</f>
        <v>0</v>
      </c>
      <c r="E27" s="76">
        <f t="shared" ref="E27:F27" si="1">$B27*E26</f>
        <v>0</v>
      </c>
      <c r="F27" s="76">
        <f t="shared" si="1"/>
        <v>0</v>
      </c>
      <c r="G27" s="77"/>
      <c r="H27" s="77"/>
      <c r="I27" s="77"/>
      <c r="J27" s="77"/>
      <c r="K27" s="77"/>
      <c r="L27" s="77"/>
      <c r="M27" s="358"/>
      <c r="N27" s="77"/>
      <c r="O27" s="77"/>
    </row>
    <row r="28" spans="1:15" x14ac:dyDescent="0.2">
      <c r="A28" s="72" t="s">
        <v>157</v>
      </c>
      <c r="B28" s="73"/>
      <c r="C28"/>
      <c r="D28" s="77"/>
      <c r="E28" s="77"/>
      <c r="F28" s="77"/>
      <c r="G28" s="77"/>
      <c r="H28" s="77"/>
      <c r="I28" s="77"/>
      <c r="J28" s="77"/>
      <c r="K28" s="77"/>
      <c r="L28" s="77"/>
      <c r="M28" s="358"/>
      <c r="N28" s="77"/>
      <c r="O28" s="77"/>
    </row>
    <row r="29" spans="1:15" x14ac:dyDescent="0.2">
      <c r="A29" s="72" t="s">
        <v>158</v>
      </c>
      <c r="B29" s="73"/>
      <c r="C29"/>
      <c r="D29" s="77"/>
      <c r="E29" s="77"/>
      <c r="F29" s="77"/>
      <c r="G29" s="77"/>
      <c r="H29" s="77"/>
      <c r="I29" s="77"/>
      <c r="J29" s="77"/>
      <c r="K29" s="77"/>
      <c r="L29" s="77"/>
      <c r="M29" s="358"/>
      <c r="N29" s="77"/>
      <c r="O29" s="77"/>
    </row>
    <row r="30" spans="1:15" x14ac:dyDescent="0.2">
      <c r="A30" s="72" t="s">
        <v>159</v>
      </c>
      <c r="B30" s="73"/>
      <c r="C30"/>
      <c r="D30" s="77"/>
      <c r="E30" s="77"/>
      <c r="F30" s="77"/>
      <c r="G30" s="77"/>
      <c r="H30" s="77"/>
      <c r="I30" s="77"/>
      <c r="J30" s="77"/>
      <c r="K30" s="77"/>
      <c r="L30" s="77"/>
      <c r="M30" s="358"/>
      <c r="N30" s="77"/>
      <c r="O30" s="77"/>
    </row>
    <row r="31" spans="1:15" x14ac:dyDescent="0.2">
      <c r="A31" s="72" t="s">
        <v>160</v>
      </c>
      <c r="B31" s="73"/>
      <c r="C31"/>
      <c r="D31" s="77"/>
      <c r="E31" s="77"/>
      <c r="F31" s="77"/>
      <c r="G31" s="77"/>
      <c r="H31" s="77"/>
      <c r="I31" s="77"/>
      <c r="J31" s="77"/>
      <c r="K31" s="77"/>
      <c r="L31" s="77"/>
      <c r="M31" s="358"/>
      <c r="N31" s="77"/>
      <c r="O31" s="77"/>
    </row>
    <row r="32" spans="1:15" x14ac:dyDescent="0.2">
      <c r="A32" s="78" t="s">
        <v>161</v>
      </c>
      <c r="B32" s="79"/>
      <c r="C32" s="215"/>
      <c r="D32" s="80">
        <f>SUM(D26:D31)</f>
        <v>0</v>
      </c>
      <c r="E32" s="80">
        <f t="shared" ref="E32:O32" si="2">SUM(E26:E31)</f>
        <v>0</v>
      </c>
      <c r="F32" s="80">
        <f t="shared" si="2"/>
        <v>0</v>
      </c>
      <c r="G32" s="80">
        <f t="shared" si="2"/>
        <v>0</v>
      </c>
      <c r="H32" s="80">
        <f t="shared" si="2"/>
        <v>0</v>
      </c>
      <c r="I32" s="80">
        <f t="shared" si="2"/>
        <v>0</v>
      </c>
      <c r="J32" s="80">
        <f t="shared" si="2"/>
        <v>0</v>
      </c>
      <c r="K32" s="80">
        <f t="shared" si="2"/>
        <v>0</v>
      </c>
      <c r="L32" s="80">
        <f t="shared" si="2"/>
        <v>0</v>
      </c>
      <c r="M32" s="359">
        <f>SUM(M26:M31)</f>
        <v>0</v>
      </c>
      <c r="N32" s="80">
        <f t="shared" si="2"/>
        <v>0</v>
      </c>
      <c r="O32" s="80">
        <f t="shared" si="2"/>
        <v>0</v>
      </c>
    </row>
    <row r="33" spans="1:15" x14ac:dyDescent="0.2">
      <c r="A33"/>
      <c r="B33"/>
      <c r="C33"/>
      <c r="D33" s="63"/>
      <c r="E33" s="63"/>
      <c r="F33" s="63"/>
      <c r="G33" s="63"/>
      <c r="H33" s="63"/>
      <c r="I33" s="63"/>
      <c r="J33" s="63"/>
      <c r="K33" s="63"/>
      <c r="L33" s="63"/>
      <c r="M33" s="157"/>
      <c r="N33" s="63"/>
      <c r="O33" s="63"/>
    </row>
    <row r="34" spans="1:15" ht="22.5" x14ac:dyDescent="0.2">
      <c r="A34" s="66" t="s">
        <v>162</v>
      </c>
      <c r="B34" s="67"/>
      <c r="C34" s="216"/>
      <c r="D34" s="68"/>
      <c r="E34" s="69"/>
      <c r="F34" s="69"/>
      <c r="G34" s="69"/>
      <c r="H34" s="69"/>
      <c r="I34" s="69"/>
      <c r="J34" s="69"/>
      <c r="K34" s="69"/>
      <c r="L34" s="69"/>
      <c r="M34" s="355"/>
      <c r="N34" s="69"/>
      <c r="O34" s="69"/>
    </row>
    <row r="35" spans="1:15" ht="28.5" customHeight="1" x14ac:dyDescent="0.2">
      <c r="A35" s="81" t="s">
        <v>163</v>
      </c>
      <c r="B35" s="16" t="s">
        <v>153</v>
      </c>
      <c r="C35" s="216"/>
      <c r="D35" s="71" t="s">
        <v>154</v>
      </c>
      <c r="E35" s="71" t="s">
        <v>154</v>
      </c>
      <c r="F35" s="71" t="s">
        <v>154</v>
      </c>
      <c r="G35" s="71" t="s">
        <v>154</v>
      </c>
      <c r="H35" s="71" t="s">
        <v>154</v>
      </c>
      <c r="I35" s="71" t="s">
        <v>154</v>
      </c>
      <c r="J35" s="71" t="s">
        <v>154</v>
      </c>
      <c r="K35" s="71" t="s">
        <v>154</v>
      </c>
      <c r="L35" s="71" t="s">
        <v>154</v>
      </c>
      <c r="M35" s="356" t="s">
        <v>154</v>
      </c>
      <c r="N35" s="71" t="s">
        <v>154</v>
      </c>
      <c r="O35" s="71" t="s">
        <v>154</v>
      </c>
    </row>
    <row r="36" spans="1:15" x14ac:dyDescent="0.2">
      <c r="A36" s="14" t="s">
        <v>164</v>
      </c>
      <c r="B36" s="75">
        <f>1/12</f>
        <v>8.3333333333333329E-2</v>
      </c>
      <c r="C36" s="216"/>
      <c r="D36" s="74">
        <f>$B36*D32</f>
        <v>0</v>
      </c>
      <c r="E36" s="74">
        <f t="shared" ref="E36:O36" si="3">$B36*E32</f>
        <v>0</v>
      </c>
      <c r="F36" s="74">
        <f t="shared" si="3"/>
        <v>0</v>
      </c>
      <c r="G36" s="74">
        <f t="shared" si="3"/>
        <v>0</v>
      </c>
      <c r="H36" s="74">
        <f t="shared" si="3"/>
        <v>0</v>
      </c>
      <c r="I36" s="74">
        <f t="shared" si="3"/>
        <v>0</v>
      </c>
      <c r="J36" s="74">
        <f t="shared" si="3"/>
        <v>0</v>
      </c>
      <c r="K36" s="74">
        <f t="shared" si="3"/>
        <v>0</v>
      </c>
      <c r="L36" s="74">
        <f t="shared" si="3"/>
        <v>0</v>
      </c>
      <c r="M36" s="357">
        <f>$B36*M32</f>
        <v>0</v>
      </c>
      <c r="N36" s="74">
        <f t="shared" si="3"/>
        <v>0</v>
      </c>
      <c r="O36" s="74">
        <f t="shared" si="3"/>
        <v>0</v>
      </c>
    </row>
    <row r="37" spans="1:15" x14ac:dyDescent="0.2">
      <c r="A37" s="14" t="s">
        <v>165</v>
      </c>
      <c r="B37" s="75">
        <f>(1/12/3)</f>
        <v>2.7777777777777776E-2</v>
      </c>
      <c r="C37" s="216"/>
      <c r="D37" s="74">
        <f>$B37*D32</f>
        <v>0</v>
      </c>
      <c r="E37" s="74">
        <f t="shared" ref="E37:O37" si="4">$B37*E32</f>
        <v>0</v>
      </c>
      <c r="F37" s="74">
        <f t="shared" si="4"/>
        <v>0</v>
      </c>
      <c r="G37" s="74">
        <f t="shared" si="4"/>
        <v>0</v>
      </c>
      <c r="H37" s="74">
        <f t="shared" si="4"/>
        <v>0</v>
      </c>
      <c r="I37" s="74">
        <f t="shared" si="4"/>
        <v>0</v>
      </c>
      <c r="J37" s="74">
        <f t="shared" si="4"/>
        <v>0</v>
      </c>
      <c r="K37" s="74">
        <f t="shared" si="4"/>
        <v>0</v>
      </c>
      <c r="L37" s="74">
        <f t="shared" si="4"/>
        <v>0</v>
      </c>
      <c r="M37" s="357">
        <f>$B37*M32</f>
        <v>0</v>
      </c>
      <c r="N37" s="74">
        <f t="shared" si="4"/>
        <v>0</v>
      </c>
      <c r="O37" s="74">
        <f t="shared" si="4"/>
        <v>0</v>
      </c>
    </row>
    <row r="38" spans="1:15" x14ac:dyDescent="0.2">
      <c r="A38" s="82" t="s">
        <v>166</v>
      </c>
      <c r="B38" s="83">
        <f>SUM(B36:B37)</f>
        <v>0.1111111111111111</v>
      </c>
      <c r="C38" s="215"/>
      <c r="D38" s="84">
        <f>SUM(D36:D37)</f>
        <v>0</v>
      </c>
      <c r="E38" s="84">
        <f t="shared" ref="E38:O38" si="5">SUM(E36:E37)</f>
        <v>0</v>
      </c>
      <c r="F38" s="84">
        <f t="shared" si="5"/>
        <v>0</v>
      </c>
      <c r="G38" s="84">
        <f t="shared" si="5"/>
        <v>0</v>
      </c>
      <c r="H38" s="84">
        <f t="shared" si="5"/>
        <v>0</v>
      </c>
      <c r="I38" s="84">
        <f t="shared" si="5"/>
        <v>0</v>
      </c>
      <c r="J38" s="84">
        <f t="shared" si="5"/>
        <v>0</v>
      </c>
      <c r="K38" s="84">
        <f t="shared" si="5"/>
        <v>0</v>
      </c>
      <c r="L38" s="84">
        <f t="shared" si="5"/>
        <v>0</v>
      </c>
      <c r="M38" s="360">
        <f>SUM(M36:M37)</f>
        <v>0</v>
      </c>
      <c r="N38" s="84">
        <f t="shared" si="5"/>
        <v>0</v>
      </c>
      <c r="O38" s="84">
        <f t="shared" si="5"/>
        <v>0</v>
      </c>
    </row>
    <row r="39" spans="1:15" ht="22.5" x14ac:dyDescent="0.2">
      <c r="A39" s="81" t="s">
        <v>167</v>
      </c>
      <c r="B39" s="16" t="s">
        <v>153</v>
      </c>
      <c r="C39" s="216"/>
      <c r="D39" s="85" t="s">
        <v>154</v>
      </c>
      <c r="E39" s="85" t="s">
        <v>154</v>
      </c>
      <c r="F39" s="85" t="s">
        <v>154</v>
      </c>
      <c r="G39" s="85" t="s">
        <v>154</v>
      </c>
      <c r="H39" s="85" t="s">
        <v>154</v>
      </c>
      <c r="I39" s="85" t="s">
        <v>154</v>
      </c>
      <c r="J39" s="85" t="s">
        <v>154</v>
      </c>
      <c r="K39" s="85" t="s">
        <v>154</v>
      </c>
      <c r="L39" s="85" t="s">
        <v>154</v>
      </c>
      <c r="M39" s="361" t="s">
        <v>154</v>
      </c>
      <c r="N39" s="85" t="s">
        <v>154</v>
      </c>
      <c r="O39" s="85" t="s">
        <v>154</v>
      </c>
    </row>
    <row r="40" spans="1:15" ht="39.75" x14ac:dyDescent="0.2">
      <c r="A40" s="14" t="s">
        <v>168</v>
      </c>
      <c r="B40" s="75">
        <f>IF('II - Planilha Consolidada'!G49="DESONERADO",0,0.2)</f>
        <v>0</v>
      </c>
      <c r="C40" s="216"/>
      <c r="D40" s="74">
        <f>$B40*(D32+D38)</f>
        <v>0</v>
      </c>
      <c r="E40" s="74">
        <f t="shared" ref="E40:O40" si="6">$B40*(E32+E38)</f>
        <v>0</v>
      </c>
      <c r="F40" s="74">
        <f t="shared" si="6"/>
        <v>0</v>
      </c>
      <c r="G40" s="74">
        <f t="shared" si="6"/>
        <v>0</v>
      </c>
      <c r="H40" s="74">
        <f t="shared" si="6"/>
        <v>0</v>
      </c>
      <c r="I40" s="74">
        <f t="shared" si="6"/>
        <v>0</v>
      </c>
      <c r="J40" s="74">
        <f t="shared" si="6"/>
        <v>0</v>
      </c>
      <c r="K40" s="74">
        <f t="shared" si="6"/>
        <v>0</v>
      </c>
      <c r="L40" s="74">
        <f t="shared" si="6"/>
        <v>0</v>
      </c>
      <c r="M40" s="357">
        <f>$B40*(M32+M38)</f>
        <v>0</v>
      </c>
      <c r="N40" s="74">
        <f t="shared" si="6"/>
        <v>0</v>
      </c>
      <c r="O40" s="74">
        <f t="shared" si="6"/>
        <v>0</v>
      </c>
    </row>
    <row r="41" spans="1:15" x14ac:dyDescent="0.2">
      <c r="A41" s="14" t="s">
        <v>169</v>
      </c>
      <c r="B41" s="75">
        <v>2.5000000000000001E-2</v>
      </c>
      <c r="C41" s="216"/>
      <c r="D41" s="74">
        <f>$B41*(D$32+D$38)</f>
        <v>0</v>
      </c>
      <c r="E41" s="74">
        <f t="shared" ref="E41:O41" si="7">$B41*(E$32+E$38)</f>
        <v>0</v>
      </c>
      <c r="F41" s="74">
        <f t="shared" si="7"/>
        <v>0</v>
      </c>
      <c r="G41" s="74">
        <f t="shared" si="7"/>
        <v>0</v>
      </c>
      <c r="H41" s="74">
        <f t="shared" si="7"/>
        <v>0</v>
      </c>
      <c r="I41" s="74">
        <f t="shared" si="7"/>
        <v>0</v>
      </c>
      <c r="J41" s="74">
        <f t="shared" si="7"/>
        <v>0</v>
      </c>
      <c r="K41" s="74">
        <f t="shared" si="7"/>
        <v>0</v>
      </c>
      <c r="L41" s="74">
        <f t="shared" si="7"/>
        <v>0</v>
      </c>
      <c r="M41" s="357">
        <f t="shared" ref="M41:M47" si="8">$B41*(M$32+M$38)</f>
        <v>0</v>
      </c>
      <c r="N41" s="74">
        <f t="shared" si="7"/>
        <v>0</v>
      </c>
      <c r="O41" s="74">
        <f t="shared" si="7"/>
        <v>0</v>
      </c>
    </row>
    <row r="42" spans="1:15" ht="39.75" x14ac:dyDescent="0.2">
      <c r="A42" s="14" t="s">
        <v>170</v>
      </c>
      <c r="B42" s="75">
        <v>0.03</v>
      </c>
      <c r="C42" s="216"/>
      <c r="D42" s="74">
        <f t="shared" ref="D42:O47" si="9">$B42*(D$32+D$38)</f>
        <v>0</v>
      </c>
      <c r="E42" s="74">
        <f t="shared" si="9"/>
        <v>0</v>
      </c>
      <c r="F42" s="74">
        <f t="shared" si="9"/>
        <v>0</v>
      </c>
      <c r="G42" s="74">
        <f t="shared" si="9"/>
        <v>0</v>
      </c>
      <c r="H42" s="74">
        <f t="shared" si="9"/>
        <v>0</v>
      </c>
      <c r="I42" s="74">
        <f t="shared" si="9"/>
        <v>0</v>
      </c>
      <c r="J42" s="74">
        <f t="shared" si="9"/>
        <v>0</v>
      </c>
      <c r="K42" s="74">
        <f t="shared" si="9"/>
        <v>0</v>
      </c>
      <c r="L42" s="74">
        <f t="shared" si="9"/>
        <v>0</v>
      </c>
      <c r="M42" s="357">
        <f t="shared" si="8"/>
        <v>0</v>
      </c>
      <c r="N42" s="74">
        <f t="shared" si="9"/>
        <v>0</v>
      </c>
      <c r="O42" s="74">
        <f t="shared" si="9"/>
        <v>0</v>
      </c>
    </row>
    <row r="43" spans="1:15" x14ac:dyDescent="0.2">
      <c r="A43" s="14" t="s">
        <v>171</v>
      </c>
      <c r="B43" s="75">
        <v>1.4999999999999999E-2</v>
      </c>
      <c r="C43" s="216"/>
      <c r="D43" s="74">
        <f t="shared" si="9"/>
        <v>0</v>
      </c>
      <c r="E43" s="74">
        <f t="shared" si="9"/>
        <v>0</v>
      </c>
      <c r="F43" s="74">
        <f t="shared" si="9"/>
        <v>0</v>
      </c>
      <c r="G43" s="74">
        <f t="shared" si="9"/>
        <v>0</v>
      </c>
      <c r="H43" s="74">
        <f t="shared" si="9"/>
        <v>0</v>
      </c>
      <c r="I43" s="74">
        <f t="shared" si="9"/>
        <v>0</v>
      </c>
      <c r="J43" s="74">
        <f t="shared" si="9"/>
        <v>0</v>
      </c>
      <c r="K43" s="74">
        <f t="shared" si="9"/>
        <v>0</v>
      </c>
      <c r="L43" s="74">
        <f t="shared" si="9"/>
        <v>0</v>
      </c>
      <c r="M43" s="357">
        <f t="shared" si="8"/>
        <v>0</v>
      </c>
      <c r="N43" s="74">
        <f t="shared" si="9"/>
        <v>0</v>
      </c>
      <c r="O43" s="74">
        <f t="shared" si="9"/>
        <v>0</v>
      </c>
    </row>
    <row r="44" spans="1:15" x14ac:dyDescent="0.2">
      <c r="A44" s="14" t="s">
        <v>172</v>
      </c>
      <c r="B44" s="75">
        <v>0.01</v>
      </c>
      <c r="C44" s="216"/>
      <c r="D44" s="74">
        <f t="shared" si="9"/>
        <v>0</v>
      </c>
      <c r="E44" s="74">
        <f t="shared" si="9"/>
        <v>0</v>
      </c>
      <c r="F44" s="74">
        <f t="shared" si="9"/>
        <v>0</v>
      </c>
      <c r="G44" s="74">
        <f t="shared" si="9"/>
        <v>0</v>
      </c>
      <c r="H44" s="74">
        <f t="shared" si="9"/>
        <v>0</v>
      </c>
      <c r="I44" s="74">
        <f t="shared" si="9"/>
        <v>0</v>
      </c>
      <c r="J44" s="74">
        <f t="shared" si="9"/>
        <v>0</v>
      </c>
      <c r="K44" s="74">
        <f t="shared" si="9"/>
        <v>0</v>
      </c>
      <c r="L44" s="74">
        <f t="shared" si="9"/>
        <v>0</v>
      </c>
      <c r="M44" s="357">
        <f t="shared" si="8"/>
        <v>0</v>
      </c>
      <c r="N44" s="74">
        <f t="shared" si="9"/>
        <v>0</v>
      </c>
      <c r="O44" s="74">
        <f t="shared" si="9"/>
        <v>0</v>
      </c>
    </row>
    <row r="45" spans="1:15" x14ac:dyDescent="0.2">
      <c r="A45" s="14" t="s">
        <v>173</v>
      </c>
      <c r="B45" s="75">
        <v>6.0000000000000001E-3</v>
      </c>
      <c r="C45" s="216"/>
      <c r="D45" s="74">
        <f t="shared" si="9"/>
        <v>0</v>
      </c>
      <c r="E45" s="74">
        <f t="shared" si="9"/>
        <v>0</v>
      </c>
      <c r="F45" s="74">
        <f t="shared" si="9"/>
        <v>0</v>
      </c>
      <c r="G45" s="74">
        <f t="shared" si="9"/>
        <v>0</v>
      </c>
      <c r="H45" s="74">
        <f t="shared" si="9"/>
        <v>0</v>
      </c>
      <c r="I45" s="74">
        <f t="shared" si="9"/>
        <v>0</v>
      </c>
      <c r="J45" s="74">
        <f t="shared" si="9"/>
        <v>0</v>
      </c>
      <c r="K45" s="74">
        <f t="shared" si="9"/>
        <v>0</v>
      </c>
      <c r="L45" s="74">
        <f t="shared" si="9"/>
        <v>0</v>
      </c>
      <c r="M45" s="357">
        <f t="shared" si="8"/>
        <v>0</v>
      </c>
      <c r="N45" s="74">
        <f t="shared" si="9"/>
        <v>0</v>
      </c>
      <c r="O45" s="74">
        <f t="shared" si="9"/>
        <v>0</v>
      </c>
    </row>
    <row r="46" spans="1:15" x14ac:dyDescent="0.2">
      <c r="A46" s="14" t="s">
        <v>174</v>
      </c>
      <c r="B46" s="75">
        <v>2E-3</v>
      </c>
      <c r="C46" s="216"/>
      <c r="D46" s="74">
        <f t="shared" si="9"/>
        <v>0</v>
      </c>
      <c r="E46" s="74">
        <f t="shared" si="9"/>
        <v>0</v>
      </c>
      <c r="F46" s="74">
        <f t="shared" si="9"/>
        <v>0</v>
      </c>
      <c r="G46" s="74">
        <f t="shared" si="9"/>
        <v>0</v>
      </c>
      <c r="H46" s="74">
        <f t="shared" si="9"/>
        <v>0</v>
      </c>
      <c r="I46" s="74">
        <f t="shared" si="9"/>
        <v>0</v>
      </c>
      <c r="J46" s="74">
        <f t="shared" si="9"/>
        <v>0</v>
      </c>
      <c r="K46" s="74">
        <f t="shared" si="9"/>
        <v>0</v>
      </c>
      <c r="L46" s="74">
        <f t="shared" si="9"/>
        <v>0</v>
      </c>
      <c r="M46" s="357">
        <f t="shared" si="8"/>
        <v>0</v>
      </c>
      <c r="N46" s="74">
        <f t="shared" si="9"/>
        <v>0</v>
      </c>
      <c r="O46" s="74">
        <f t="shared" si="9"/>
        <v>0</v>
      </c>
    </row>
    <row r="47" spans="1:15" x14ac:dyDescent="0.2">
      <c r="A47" s="14" t="s">
        <v>175</v>
      </c>
      <c r="B47" s="75">
        <v>0.08</v>
      </c>
      <c r="C47" s="216"/>
      <c r="D47" s="74">
        <f t="shared" si="9"/>
        <v>0</v>
      </c>
      <c r="E47" s="74">
        <f t="shared" si="9"/>
        <v>0</v>
      </c>
      <c r="F47" s="74">
        <f t="shared" si="9"/>
        <v>0</v>
      </c>
      <c r="G47" s="74">
        <f t="shared" si="9"/>
        <v>0</v>
      </c>
      <c r="H47" s="74">
        <f t="shared" si="9"/>
        <v>0</v>
      </c>
      <c r="I47" s="74">
        <f t="shared" si="9"/>
        <v>0</v>
      </c>
      <c r="J47" s="74">
        <f t="shared" si="9"/>
        <v>0</v>
      </c>
      <c r="K47" s="74">
        <f t="shared" si="9"/>
        <v>0</v>
      </c>
      <c r="L47" s="74">
        <f t="shared" si="9"/>
        <v>0</v>
      </c>
      <c r="M47" s="357">
        <f t="shared" si="8"/>
        <v>0</v>
      </c>
      <c r="N47" s="74">
        <f t="shared" si="9"/>
        <v>0</v>
      </c>
      <c r="O47" s="74">
        <f t="shared" si="9"/>
        <v>0</v>
      </c>
    </row>
    <row r="48" spans="1:15" x14ac:dyDescent="0.2">
      <c r="A48" s="82" t="s">
        <v>166</v>
      </c>
      <c r="B48" s="83">
        <f>SUM(B40:B47)</f>
        <v>0.16800000000000001</v>
      </c>
      <c r="C48" s="215"/>
      <c r="D48" s="84">
        <f>SUM(D40:D47)</f>
        <v>0</v>
      </c>
      <c r="E48" s="84">
        <f t="shared" ref="E48:O48" si="10">SUM(E40:E47)</f>
        <v>0</v>
      </c>
      <c r="F48" s="84">
        <f t="shared" si="10"/>
        <v>0</v>
      </c>
      <c r="G48" s="84">
        <f t="shared" si="10"/>
        <v>0</v>
      </c>
      <c r="H48" s="84">
        <f t="shared" si="10"/>
        <v>0</v>
      </c>
      <c r="I48" s="84">
        <f t="shared" si="10"/>
        <v>0</v>
      </c>
      <c r="J48" s="84">
        <f t="shared" si="10"/>
        <v>0</v>
      </c>
      <c r="K48" s="84">
        <f t="shared" si="10"/>
        <v>0</v>
      </c>
      <c r="L48" s="84">
        <f t="shared" si="10"/>
        <v>0</v>
      </c>
      <c r="M48" s="360">
        <f>SUM(M40:M47)</f>
        <v>0</v>
      </c>
      <c r="N48" s="84">
        <f t="shared" si="10"/>
        <v>0</v>
      </c>
      <c r="O48" s="84">
        <f t="shared" si="10"/>
        <v>0</v>
      </c>
    </row>
    <row r="49" spans="1:15" x14ac:dyDescent="0.2">
      <c r="A49" s="81" t="s">
        <v>176</v>
      </c>
      <c r="B49" s="16" t="s">
        <v>177</v>
      </c>
      <c r="C49" s="216"/>
      <c r="D49" s="71" t="s">
        <v>154</v>
      </c>
      <c r="E49" s="71" t="s">
        <v>154</v>
      </c>
      <c r="F49" s="71" t="s">
        <v>154</v>
      </c>
      <c r="G49" s="71" t="s">
        <v>154</v>
      </c>
      <c r="H49" s="71" t="s">
        <v>154</v>
      </c>
      <c r="I49" s="71" t="s">
        <v>154</v>
      </c>
      <c r="J49" s="71" t="s">
        <v>154</v>
      </c>
      <c r="K49" s="71" t="s">
        <v>154</v>
      </c>
      <c r="L49" s="71" t="s">
        <v>154</v>
      </c>
      <c r="M49" s="356" t="s">
        <v>154</v>
      </c>
      <c r="N49" s="71" t="s">
        <v>154</v>
      </c>
      <c r="O49" s="71" t="s">
        <v>154</v>
      </c>
    </row>
    <row r="50" spans="1:15" x14ac:dyDescent="0.2">
      <c r="A50" s="14" t="s">
        <v>178</v>
      </c>
      <c r="B50" s="73"/>
      <c r="C50" s="216"/>
      <c r="D50" s="86">
        <f>D17</f>
        <v>0</v>
      </c>
      <c r="E50" s="86">
        <f t="shared" ref="E50:O50" si="11">E17</f>
        <v>0</v>
      </c>
      <c r="F50" s="86">
        <f t="shared" si="11"/>
        <v>0</v>
      </c>
      <c r="G50" s="86">
        <f t="shared" si="11"/>
        <v>0</v>
      </c>
      <c r="H50" s="86">
        <f t="shared" si="11"/>
        <v>0</v>
      </c>
      <c r="I50" s="86">
        <f t="shared" si="11"/>
        <v>0</v>
      </c>
      <c r="J50" s="86">
        <f t="shared" si="11"/>
        <v>0</v>
      </c>
      <c r="K50" s="86">
        <f t="shared" si="11"/>
        <v>0</v>
      </c>
      <c r="L50" s="86">
        <f t="shared" si="11"/>
        <v>0</v>
      </c>
      <c r="M50" s="362">
        <f>M17</f>
        <v>0</v>
      </c>
      <c r="N50" s="86">
        <f t="shared" si="11"/>
        <v>0</v>
      </c>
      <c r="O50" s="86">
        <f t="shared" si="11"/>
        <v>0</v>
      </c>
    </row>
    <row r="51" spans="1:15" x14ac:dyDescent="0.2">
      <c r="A51" s="14" t="s">
        <v>179</v>
      </c>
      <c r="B51" s="73"/>
      <c r="C51" s="216"/>
      <c r="D51" s="86">
        <f>D18</f>
        <v>0</v>
      </c>
      <c r="E51" s="86">
        <f t="shared" ref="E51:O51" si="12">E18</f>
        <v>0</v>
      </c>
      <c r="F51" s="86">
        <f t="shared" si="12"/>
        <v>0</v>
      </c>
      <c r="G51" s="86">
        <f t="shared" si="12"/>
        <v>0</v>
      </c>
      <c r="H51" s="86">
        <f t="shared" si="12"/>
        <v>0</v>
      </c>
      <c r="I51" s="86">
        <f t="shared" si="12"/>
        <v>0</v>
      </c>
      <c r="J51" s="86">
        <f t="shared" si="12"/>
        <v>0</v>
      </c>
      <c r="K51" s="86">
        <f t="shared" si="12"/>
        <v>0</v>
      </c>
      <c r="L51" s="86">
        <f t="shared" si="12"/>
        <v>0</v>
      </c>
      <c r="M51" s="362">
        <f>M18</f>
        <v>0</v>
      </c>
      <c r="N51" s="86">
        <f t="shared" si="12"/>
        <v>0</v>
      </c>
      <c r="O51" s="86">
        <f t="shared" si="12"/>
        <v>0</v>
      </c>
    </row>
    <row r="52" spans="1:15" x14ac:dyDescent="0.2">
      <c r="A52" s="14" t="s">
        <v>180</v>
      </c>
      <c r="B52" s="73"/>
      <c r="C52" s="216"/>
      <c r="D52" s="86">
        <f>D19</f>
        <v>0</v>
      </c>
      <c r="E52" s="86">
        <f t="shared" ref="E52:O52" si="13">E19</f>
        <v>0</v>
      </c>
      <c r="F52" s="86">
        <f t="shared" si="13"/>
        <v>0</v>
      </c>
      <c r="G52" s="86">
        <f t="shared" si="13"/>
        <v>0</v>
      </c>
      <c r="H52" s="86">
        <f t="shared" si="13"/>
        <v>0</v>
      </c>
      <c r="I52" s="86">
        <f t="shared" si="13"/>
        <v>0</v>
      </c>
      <c r="J52" s="86">
        <f t="shared" si="13"/>
        <v>0</v>
      </c>
      <c r="K52" s="86">
        <f t="shared" si="13"/>
        <v>0</v>
      </c>
      <c r="L52" s="86">
        <f t="shared" si="13"/>
        <v>0</v>
      </c>
      <c r="M52" s="362">
        <f>M19</f>
        <v>0</v>
      </c>
      <c r="N52" s="86">
        <f t="shared" si="13"/>
        <v>0</v>
      </c>
      <c r="O52" s="86">
        <f t="shared" si="13"/>
        <v>0</v>
      </c>
    </row>
    <row r="53" spans="1:15" x14ac:dyDescent="0.2">
      <c r="A53" s="14" t="s">
        <v>181</v>
      </c>
      <c r="B53" s="73"/>
      <c r="C53" s="216"/>
      <c r="D53" s="86">
        <f>D20</f>
        <v>0</v>
      </c>
      <c r="E53" s="86">
        <f t="shared" ref="E53:O53" si="14">E20</f>
        <v>0</v>
      </c>
      <c r="F53" s="86">
        <f t="shared" si="14"/>
        <v>0</v>
      </c>
      <c r="G53" s="86">
        <f t="shared" si="14"/>
        <v>0</v>
      </c>
      <c r="H53" s="86">
        <f t="shared" si="14"/>
        <v>0</v>
      </c>
      <c r="I53" s="86">
        <f t="shared" si="14"/>
        <v>0</v>
      </c>
      <c r="J53" s="86">
        <f t="shared" si="14"/>
        <v>0</v>
      </c>
      <c r="K53" s="86">
        <f t="shared" si="14"/>
        <v>0</v>
      </c>
      <c r="L53" s="86">
        <f t="shared" si="14"/>
        <v>0</v>
      </c>
      <c r="M53" s="362">
        <f>M20</f>
        <v>0</v>
      </c>
      <c r="N53" s="86">
        <f t="shared" si="14"/>
        <v>0</v>
      </c>
      <c r="O53" s="86">
        <f t="shared" si="14"/>
        <v>0</v>
      </c>
    </row>
    <row r="54" spans="1:15" x14ac:dyDescent="0.2">
      <c r="A54" s="14" t="s">
        <v>182</v>
      </c>
      <c r="B54" s="73"/>
      <c r="C54" s="216"/>
      <c r="D54" s="86">
        <f>D21</f>
        <v>0</v>
      </c>
      <c r="E54" s="86">
        <f t="shared" ref="E54:O54" si="15">E21</f>
        <v>0</v>
      </c>
      <c r="F54" s="86">
        <f t="shared" si="15"/>
        <v>0</v>
      </c>
      <c r="G54" s="86">
        <f t="shared" si="15"/>
        <v>0</v>
      </c>
      <c r="H54" s="86">
        <f t="shared" si="15"/>
        <v>0</v>
      </c>
      <c r="I54" s="86">
        <f t="shared" si="15"/>
        <v>0</v>
      </c>
      <c r="J54" s="86">
        <f t="shared" si="15"/>
        <v>0</v>
      </c>
      <c r="K54" s="86">
        <f t="shared" si="15"/>
        <v>0</v>
      </c>
      <c r="L54" s="86">
        <f t="shared" si="15"/>
        <v>0</v>
      </c>
      <c r="M54" s="362">
        <f>M21</f>
        <v>0</v>
      </c>
      <c r="N54" s="86">
        <f t="shared" si="15"/>
        <v>0</v>
      </c>
      <c r="O54" s="86">
        <f t="shared" si="15"/>
        <v>0</v>
      </c>
    </row>
    <row r="55" spans="1:15" x14ac:dyDescent="0.2">
      <c r="A55" s="82" t="s">
        <v>166</v>
      </c>
      <c r="B55" s="87"/>
      <c r="C55" s="215"/>
      <c r="D55" s="84">
        <f>SUM(D50:D54)</f>
        <v>0</v>
      </c>
      <c r="E55" s="84">
        <f t="shared" ref="E55:O55" si="16">SUM(E50:E54)</f>
        <v>0</v>
      </c>
      <c r="F55" s="84">
        <f t="shared" si="16"/>
        <v>0</v>
      </c>
      <c r="G55" s="84">
        <f t="shared" si="16"/>
        <v>0</v>
      </c>
      <c r="H55" s="84">
        <f t="shared" si="16"/>
        <v>0</v>
      </c>
      <c r="I55" s="84">
        <f t="shared" si="16"/>
        <v>0</v>
      </c>
      <c r="J55" s="84">
        <f t="shared" si="16"/>
        <v>0</v>
      </c>
      <c r="K55" s="84">
        <f t="shared" si="16"/>
        <v>0</v>
      </c>
      <c r="L55" s="84">
        <f t="shared" si="16"/>
        <v>0</v>
      </c>
      <c r="M55" s="360">
        <f>SUM(M50:M54)</f>
        <v>0</v>
      </c>
      <c r="N55" s="84">
        <f t="shared" si="16"/>
        <v>0</v>
      </c>
      <c r="O55" s="84">
        <f t="shared" si="16"/>
        <v>0</v>
      </c>
    </row>
    <row r="56" spans="1:15" ht="22.5" x14ac:dyDescent="0.2">
      <c r="A56" s="66" t="s">
        <v>183</v>
      </c>
      <c r="B56" s="67"/>
      <c r="C56" s="216"/>
      <c r="D56" s="64" t="s">
        <v>154</v>
      </c>
      <c r="E56" s="64" t="s">
        <v>154</v>
      </c>
      <c r="F56" s="64" t="s">
        <v>154</v>
      </c>
      <c r="G56" s="64" t="s">
        <v>154</v>
      </c>
      <c r="H56" s="64" t="s">
        <v>154</v>
      </c>
      <c r="I56" s="64" t="s">
        <v>154</v>
      </c>
      <c r="J56" s="64" t="s">
        <v>154</v>
      </c>
      <c r="K56" s="64" t="s">
        <v>154</v>
      </c>
      <c r="L56" s="64" t="s">
        <v>154</v>
      </c>
      <c r="M56" s="363" t="s">
        <v>154</v>
      </c>
      <c r="N56" s="64" t="s">
        <v>154</v>
      </c>
      <c r="O56" s="64" t="s">
        <v>154</v>
      </c>
    </row>
    <row r="57" spans="1:15" ht="22.5" x14ac:dyDescent="0.2">
      <c r="A57" s="14" t="s">
        <v>163</v>
      </c>
      <c r="B57" s="73"/>
      <c r="C57" s="216"/>
      <c r="D57" s="74">
        <f>D38</f>
        <v>0</v>
      </c>
      <c r="E57" s="74">
        <f t="shared" ref="E57:O57" si="17">E38</f>
        <v>0</v>
      </c>
      <c r="F57" s="74">
        <f t="shared" si="17"/>
        <v>0</v>
      </c>
      <c r="G57" s="74">
        <f t="shared" si="17"/>
        <v>0</v>
      </c>
      <c r="H57" s="74">
        <f t="shared" si="17"/>
        <v>0</v>
      </c>
      <c r="I57" s="74">
        <f t="shared" si="17"/>
        <v>0</v>
      </c>
      <c r="J57" s="74">
        <f t="shared" si="17"/>
        <v>0</v>
      </c>
      <c r="K57" s="74">
        <f t="shared" si="17"/>
        <v>0</v>
      </c>
      <c r="L57" s="74">
        <f t="shared" si="17"/>
        <v>0</v>
      </c>
      <c r="M57" s="357">
        <f>M38</f>
        <v>0</v>
      </c>
      <c r="N57" s="74">
        <f t="shared" si="17"/>
        <v>0</v>
      </c>
      <c r="O57" s="74">
        <f t="shared" si="17"/>
        <v>0</v>
      </c>
    </row>
    <row r="58" spans="1:15" x14ac:dyDescent="0.2">
      <c r="A58" s="14" t="s">
        <v>184</v>
      </c>
      <c r="B58" s="73"/>
      <c r="C58" s="216"/>
      <c r="D58" s="74">
        <f>D48</f>
        <v>0</v>
      </c>
      <c r="E58" s="74">
        <f t="shared" ref="E58:O58" si="18">E48</f>
        <v>0</v>
      </c>
      <c r="F58" s="74">
        <f t="shared" si="18"/>
        <v>0</v>
      </c>
      <c r="G58" s="74">
        <f t="shared" si="18"/>
        <v>0</v>
      </c>
      <c r="H58" s="74">
        <f t="shared" si="18"/>
        <v>0</v>
      </c>
      <c r="I58" s="74">
        <f t="shared" si="18"/>
        <v>0</v>
      </c>
      <c r="J58" s="74">
        <f t="shared" si="18"/>
        <v>0</v>
      </c>
      <c r="K58" s="74">
        <f t="shared" si="18"/>
        <v>0</v>
      </c>
      <c r="L58" s="74">
        <f t="shared" si="18"/>
        <v>0</v>
      </c>
      <c r="M58" s="357">
        <f>M48</f>
        <v>0</v>
      </c>
      <c r="N58" s="74">
        <f t="shared" si="18"/>
        <v>0</v>
      </c>
      <c r="O58" s="74">
        <f t="shared" si="18"/>
        <v>0</v>
      </c>
    </row>
    <row r="59" spans="1:15" x14ac:dyDescent="0.2">
      <c r="A59" s="14" t="s">
        <v>176</v>
      </c>
      <c r="B59" s="73"/>
      <c r="C59" s="216"/>
      <c r="D59" s="74">
        <f>D55</f>
        <v>0</v>
      </c>
      <c r="E59" s="74">
        <f t="shared" ref="E59:O59" si="19">E55</f>
        <v>0</v>
      </c>
      <c r="F59" s="74">
        <f t="shared" si="19"/>
        <v>0</v>
      </c>
      <c r="G59" s="74">
        <f t="shared" si="19"/>
        <v>0</v>
      </c>
      <c r="H59" s="74">
        <f t="shared" si="19"/>
        <v>0</v>
      </c>
      <c r="I59" s="74">
        <f t="shared" si="19"/>
        <v>0</v>
      </c>
      <c r="J59" s="74">
        <f t="shared" si="19"/>
        <v>0</v>
      </c>
      <c r="K59" s="74">
        <f t="shared" si="19"/>
        <v>0</v>
      </c>
      <c r="L59" s="74">
        <f t="shared" si="19"/>
        <v>0</v>
      </c>
      <c r="M59" s="357">
        <f>M55</f>
        <v>0</v>
      </c>
      <c r="N59" s="74">
        <f t="shared" si="19"/>
        <v>0</v>
      </c>
      <c r="O59" s="74">
        <f t="shared" si="19"/>
        <v>0</v>
      </c>
    </row>
    <row r="60" spans="1:15" ht="15" x14ac:dyDescent="0.25">
      <c r="A60" s="88" t="s">
        <v>161</v>
      </c>
      <c r="B60" s="89"/>
      <c r="C60" s="215"/>
      <c r="D60" s="80">
        <f>SUM(D57:D59)</f>
        <v>0</v>
      </c>
      <c r="E60" s="80">
        <f t="shared" ref="E60:O60" si="20">SUM(E57:E59)</f>
        <v>0</v>
      </c>
      <c r="F60" s="80">
        <f t="shared" si="20"/>
        <v>0</v>
      </c>
      <c r="G60" s="80">
        <f t="shared" si="20"/>
        <v>0</v>
      </c>
      <c r="H60" s="80">
        <f t="shared" si="20"/>
        <v>0</v>
      </c>
      <c r="I60" s="80">
        <f t="shared" si="20"/>
        <v>0</v>
      </c>
      <c r="J60" s="80">
        <f t="shared" si="20"/>
        <v>0</v>
      </c>
      <c r="K60" s="80">
        <f t="shared" si="20"/>
        <v>0</v>
      </c>
      <c r="L60" s="80">
        <f t="shared" si="20"/>
        <v>0</v>
      </c>
      <c r="M60" s="359">
        <f>SUM(M57:M59)</f>
        <v>0</v>
      </c>
      <c r="N60" s="80">
        <f t="shared" si="20"/>
        <v>0</v>
      </c>
      <c r="O60" s="80">
        <f t="shared" si="20"/>
        <v>0</v>
      </c>
    </row>
    <row r="61" spans="1:15" x14ac:dyDescent="0.2">
      <c r="A61"/>
      <c r="B61"/>
      <c r="C61" s="216"/>
      <c r="D61" s="63"/>
      <c r="E61" s="63"/>
      <c r="F61" s="63"/>
      <c r="G61" s="63"/>
      <c r="H61" s="63"/>
      <c r="I61" s="63"/>
      <c r="J61" s="63"/>
      <c r="K61" s="63"/>
      <c r="L61" s="63"/>
      <c r="M61" s="157"/>
      <c r="N61" s="63"/>
      <c r="O61" s="63"/>
    </row>
    <row r="62" spans="1:15" x14ac:dyDescent="0.2">
      <c r="A62" s="66" t="s">
        <v>185</v>
      </c>
      <c r="B62" s="67"/>
      <c r="C62" s="216"/>
      <c r="D62" s="68"/>
      <c r="E62" s="69"/>
      <c r="F62" s="69"/>
      <c r="G62" s="69"/>
      <c r="H62" s="69"/>
      <c r="I62" s="69"/>
      <c r="J62" s="69"/>
      <c r="K62" s="69"/>
      <c r="L62" s="69"/>
      <c r="M62" s="355"/>
      <c r="N62" s="69"/>
      <c r="O62" s="69"/>
    </row>
    <row r="63" spans="1:15" x14ac:dyDescent="0.2">
      <c r="A63" s="81" t="s">
        <v>186</v>
      </c>
      <c r="B63" s="16" t="s">
        <v>153</v>
      </c>
      <c r="C63" s="216"/>
      <c r="D63" s="71" t="s">
        <v>154</v>
      </c>
      <c r="E63" s="71" t="s">
        <v>154</v>
      </c>
      <c r="F63" s="71" t="s">
        <v>154</v>
      </c>
      <c r="G63" s="71" t="s">
        <v>154</v>
      </c>
      <c r="H63" s="71" t="s">
        <v>154</v>
      </c>
      <c r="I63" s="71" t="s">
        <v>154</v>
      </c>
      <c r="J63" s="71" t="s">
        <v>154</v>
      </c>
      <c r="K63" s="71" t="s">
        <v>154</v>
      </c>
      <c r="L63" s="71" t="s">
        <v>154</v>
      </c>
      <c r="M63" s="356" t="s">
        <v>154</v>
      </c>
      <c r="N63" s="71" t="s">
        <v>154</v>
      </c>
      <c r="O63" s="71" t="s">
        <v>154</v>
      </c>
    </row>
    <row r="64" spans="1:15" x14ac:dyDescent="0.2">
      <c r="A64" s="14" t="s">
        <v>187</v>
      </c>
      <c r="B64" s="90">
        <f>1/12*0.05</f>
        <v>4.1666666666666666E-3</v>
      </c>
      <c r="C64" s="216"/>
      <c r="D64" s="74">
        <f t="shared" ref="D64:D69" si="21">$B64*(D$32+D$38)</f>
        <v>0</v>
      </c>
      <c r="E64" s="74">
        <f t="shared" ref="E64:O69" si="22">$B64*(E$32+E$38)</f>
        <v>0</v>
      </c>
      <c r="F64" s="74">
        <f t="shared" si="22"/>
        <v>0</v>
      </c>
      <c r="G64" s="74">
        <f t="shared" si="22"/>
        <v>0</v>
      </c>
      <c r="H64" s="74">
        <f t="shared" si="22"/>
        <v>0</v>
      </c>
      <c r="I64" s="74">
        <f t="shared" si="22"/>
        <v>0</v>
      </c>
      <c r="J64" s="74">
        <f t="shared" si="22"/>
        <v>0</v>
      </c>
      <c r="K64" s="74">
        <f t="shared" si="22"/>
        <v>0</v>
      </c>
      <c r="L64" s="74">
        <f t="shared" si="22"/>
        <v>0</v>
      </c>
      <c r="M64" s="357">
        <f t="shared" ref="M64:M69" si="23">$B64*(M$32+M$38)</f>
        <v>0</v>
      </c>
      <c r="N64" s="74">
        <f t="shared" si="22"/>
        <v>0</v>
      </c>
      <c r="O64" s="74">
        <f t="shared" si="22"/>
        <v>0</v>
      </c>
    </row>
    <row r="65" spans="1:15" ht="22.5" x14ac:dyDescent="0.2">
      <c r="A65" s="14" t="s">
        <v>188</v>
      </c>
      <c r="B65" s="75">
        <f>B47*B64</f>
        <v>3.3333333333333332E-4</v>
      </c>
      <c r="C65" s="216"/>
      <c r="D65" s="74">
        <f t="shared" si="21"/>
        <v>0</v>
      </c>
      <c r="E65" s="74">
        <f t="shared" si="22"/>
        <v>0</v>
      </c>
      <c r="F65" s="74">
        <f t="shared" si="22"/>
        <v>0</v>
      </c>
      <c r="G65" s="74">
        <f t="shared" si="22"/>
        <v>0</v>
      </c>
      <c r="H65" s="74">
        <f t="shared" si="22"/>
        <v>0</v>
      </c>
      <c r="I65" s="74">
        <f t="shared" si="22"/>
        <v>0</v>
      </c>
      <c r="J65" s="74">
        <f t="shared" si="22"/>
        <v>0</v>
      </c>
      <c r="K65" s="74">
        <f t="shared" si="22"/>
        <v>0</v>
      </c>
      <c r="L65" s="74">
        <f t="shared" si="22"/>
        <v>0</v>
      </c>
      <c r="M65" s="357">
        <f t="shared" si="23"/>
        <v>0</v>
      </c>
      <c r="N65" s="74">
        <f t="shared" si="22"/>
        <v>0</v>
      </c>
      <c r="O65" s="74">
        <f t="shared" si="22"/>
        <v>0</v>
      </c>
    </row>
    <row r="66" spans="1:15" ht="165" customHeight="1" x14ac:dyDescent="0.2">
      <c r="A66" s="14" t="s">
        <v>189</v>
      </c>
      <c r="B66" s="73"/>
      <c r="C66" s="216"/>
      <c r="D66" s="74">
        <f t="shared" si="21"/>
        <v>0</v>
      </c>
      <c r="E66" s="74">
        <f t="shared" si="22"/>
        <v>0</v>
      </c>
      <c r="F66" s="74">
        <f t="shared" si="22"/>
        <v>0</v>
      </c>
      <c r="G66" s="74">
        <f t="shared" si="22"/>
        <v>0</v>
      </c>
      <c r="H66" s="74">
        <f t="shared" si="22"/>
        <v>0</v>
      </c>
      <c r="I66" s="74">
        <f t="shared" si="22"/>
        <v>0</v>
      </c>
      <c r="J66" s="74">
        <f t="shared" si="22"/>
        <v>0</v>
      </c>
      <c r="K66" s="74">
        <f t="shared" si="22"/>
        <v>0</v>
      </c>
      <c r="L66" s="74">
        <f t="shared" si="22"/>
        <v>0</v>
      </c>
      <c r="M66" s="357">
        <f t="shared" si="23"/>
        <v>0</v>
      </c>
      <c r="N66" s="74">
        <f t="shared" si="22"/>
        <v>0</v>
      </c>
      <c r="O66" s="74">
        <f t="shared" si="22"/>
        <v>0</v>
      </c>
    </row>
    <row r="67" spans="1:15" ht="102.75" customHeight="1" x14ac:dyDescent="0.2">
      <c r="A67" s="14" t="s">
        <v>190</v>
      </c>
      <c r="B67" s="90">
        <f>1/30*7/12</f>
        <v>1.9444444444444445E-2</v>
      </c>
      <c r="C67" s="216"/>
      <c r="D67" s="74">
        <f t="shared" si="21"/>
        <v>0</v>
      </c>
      <c r="E67" s="74">
        <f t="shared" si="22"/>
        <v>0</v>
      </c>
      <c r="F67" s="74">
        <f t="shared" si="22"/>
        <v>0</v>
      </c>
      <c r="G67" s="74">
        <f t="shared" si="22"/>
        <v>0</v>
      </c>
      <c r="H67" s="74">
        <f t="shared" si="22"/>
        <v>0</v>
      </c>
      <c r="I67" s="74">
        <f t="shared" si="22"/>
        <v>0</v>
      </c>
      <c r="J67" s="74">
        <f t="shared" si="22"/>
        <v>0</v>
      </c>
      <c r="K67" s="74">
        <f t="shared" si="22"/>
        <v>0</v>
      </c>
      <c r="L67" s="74">
        <f t="shared" si="22"/>
        <v>0</v>
      </c>
      <c r="M67" s="357">
        <f t="shared" si="23"/>
        <v>0</v>
      </c>
      <c r="N67" s="74">
        <f t="shared" si="22"/>
        <v>0</v>
      </c>
      <c r="O67" s="74">
        <f t="shared" si="22"/>
        <v>0</v>
      </c>
    </row>
    <row r="68" spans="1:15" ht="33.75" x14ac:dyDescent="0.2">
      <c r="A68" s="14" t="s">
        <v>191</v>
      </c>
      <c r="B68" s="75">
        <f>B48*B67</f>
        <v>3.2666666666666669E-3</v>
      </c>
      <c r="C68" s="216"/>
      <c r="D68" s="74">
        <f t="shared" si="21"/>
        <v>0</v>
      </c>
      <c r="E68" s="74">
        <f t="shared" si="22"/>
        <v>0</v>
      </c>
      <c r="F68" s="74">
        <f t="shared" si="22"/>
        <v>0</v>
      </c>
      <c r="G68" s="74">
        <f t="shared" si="22"/>
        <v>0</v>
      </c>
      <c r="H68" s="74">
        <f t="shared" si="22"/>
        <v>0</v>
      </c>
      <c r="I68" s="74">
        <f t="shared" si="22"/>
        <v>0</v>
      </c>
      <c r="J68" s="74">
        <f t="shared" si="22"/>
        <v>0</v>
      </c>
      <c r="K68" s="74">
        <f t="shared" si="22"/>
        <v>0</v>
      </c>
      <c r="L68" s="74">
        <f t="shared" si="22"/>
        <v>0</v>
      </c>
      <c r="M68" s="357">
        <f t="shared" si="23"/>
        <v>0</v>
      </c>
      <c r="N68" s="74">
        <f t="shared" si="22"/>
        <v>0</v>
      </c>
      <c r="O68" s="74">
        <f t="shared" si="22"/>
        <v>0</v>
      </c>
    </row>
    <row r="69" spans="1:15" ht="22.5" x14ac:dyDescent="0.2">
      <c r="A69" s="14" t="s">
        <v>192</v>
      </c>
      <c r="B69" s="91">
        <f>0.08*0.4*0.9*(1+1/12+1/12+1/3*1/12)</f>
        <v>3.4399999999999993E-2</v>
      </c>
      <c r="C69" s="216"/>
      <c r="D69" s="74">
        <f t="shared" si="21"/>
        <v>0</v>
      </c>
      <c r="E69" s="74">
        <f t="shared" si="22"/>
        <v>0</v>
      </c>
      <c r="F69" s="74">
        <f t="shared" si="22"/>
        <v>0</v>
      </c>
      <c r="G69" s="74">
        <f t="shared" si="22"/>
        <v>0</v>
      </c>
      <c r="H69" s="74">
        <f t="shared" si="22"/>
        <v>0</v>
      </c>
      <c r="I69" s="74">
        <f t="shared" si="22"/>
        <v>0</v>
      </c>
      <c r="J69" s="74">
        <f t="shared" si="22"/>
        <v>0</v>
      </c>
      <c r="K69" s="74">
        <f t="shared" si="22"/>
        <v>0</v>
      </c>
      <c r="L69" s="74">
        <f t="shared" si="22"/>
        <v>0</v>
      </c>
      <c r="M69" s="357">
        <f t="shared" si="23"/>
        <v>0</v>
      </c>
      <c r="N69" s="74">
        <f t="shared" si="22"/>
        <v>0</v>
      </c>
      <c r="O69" s="74">
        <f t="shared" si="22"/>
        <v>0</v>
      </c>
    </row>
    <row r="70" spans="1:15" x14ac:dyDescent="0.2">
      <c r="A70" s="78" t="s">
        <v>161</v>
      </c>
      <c r="B70" s="92">
        <f>SUM(B64:B69)</f>
        <v>6.1611111111111103E-2</v>
      </c>
      <c r="C70" s="215"/>
      <c r="D70" s="80">
        <f>SUM(D64:D69)</f>
        <v>0</v>
      </c>
      <c r="E70" s="80">
        <f t="shared" ref="E70:O70" si="24">SUM(E64:E69)</f>
        <v>0</v>
      </c>
      <c r="F70" s="80">
        <f t="shared" si="24"/>
        <v>0</v>
      </c>
      <c r="G70" s="80">
        <f t="shared" si="24"/>
        <v>0</v>
      </c>
      <c r="H70" s="80">
        <f t="shared" si="24"/>
        <v>0</v>
      </c>
      <c r="I70" s="80">
        <f t="shared" si="24"/>
        <v>0</v>
      </c>
      <c r="J70" s="80">
        <f t="shared" si="24"/>
        <v>0</v>
      </c>
      <c r="K70" s="80">
        <f t="shared" si="24"/>
        <v>0</v>
      </c>
      <c r="L70" s="80">
        <f t="shared" si="24"/>
        <v>0</v>
      </c>
      <c r="M70" s="359">
        <f>SUM(M64:M69)</f>
        <v>0</v>
      </c>
      <c r="N70" s="80">
        <f t="shared" si="24"/>
        <v>0</v>
      </c>
      <c r="O70" s="80">
        <f t="shared" si="24"/>
        <v>0</v>
      </c>
    </row>
    <row r="71" spans="1:15" x14ac:dyDescent="0.2">
      <c r="A71"/>
      <c r="B71"/>
      <c r="C71" s="216"/>
      <c r="D71" s="63"/>
      <c r="E71" s="63"/>
      <c r="F71" s="63"/>
      <c r="G71" s="63"/>
      <c r="H71" s="63"/>
      <c r="I71" s="63"/>
      <c r="J71" s="63"/>
      <c r="K71" s="63"/>
      <c r="L71" s="63"/>
      <c r="M71" s="157"/>
      <c r="N71" s="63"/>
      <c r="O71" s="63"/>
    </row>
    <row r="72" spans="1:15" ht="30" customHeight="1" x14ac:dyDescent="0.2">
      <c r="A72" s="66" t="s">
        <v>193</v>
      </c>
      <c r="B72" s="67"/>
      <c r="C72" s="216"/>
      <c r="D72" s="68"/>
      <c r="E72" s="69"/>
      <c r="F72" s="69"/>
      <c r="G72" s="69"/>
      <c r="H72" s="69"/>
      <c r="I72" s="69"/>
      <c r="J72" s="69"/>
      <c r="K72" s="69"/>
      <c r="L72" s="69"/>
      <c r="M72" s="355"/>
      <c r="N72" s="69"/>
      <c r="O72" s="69"/>
    </row>
    <row r="73" spans="1:15" x14ac:dyDescent="0.2">
      <c r="A73" s="81" t="s">
        <v>194</v>
      </c>
      <c r="B73" s="16" t="s">
        <v>153</v>
      </c>
      <c r="C73" s="216"/>
      <c r="D73" s="71" t="s">
        <v>154</v>
      </c>
      <c r="E73" s="71" t="s">
        <v>154</v>
      </c>
      <c r="F73" s="71" t="s">
        <v>154</v>
      </c>
      <c r="G73" s="71" t="s">
        <v>154</v>
      </c>
      <c r="H73" s="71" t="s">
        <v>154</v>
      </c>
      <c r="I73" s="71" t="s">
        <v>154</v>
      </c>
      <c r="J73" s="71" t="s">
        <v>154</v>
      </c>
      <c r="K73" s="71" t="s">
        <v>154</v>
      </c>
      <c r="L73" s="71" t="s">
        <v>154</v>
      </c>
      <c r="M73" s="356" t="s">
        <v>154</v>
      </c>
      <c r="N73" s="71" t="s">
        <v>154</v>
      </c>
      <c r="O73" s="71" t="s">
        <v>154</v>
      </c>
    </row>
    <row r="74" spans="1:15" ht="22.5" x14ac:dyDescent="0.2">
      <c r="A74" s="14" t="s">
        <v>195</v>
      </c>
      <c r="B74" s="93">
        <f>1/12</f>
        <v>8.3333333333333329E-2</v>
      </c>
      <c r="C74" s="216"/>
      <c r="D74" s="74">
        <f t="shared" ref="D74:E77" si="25">$B74*(D$32+D$60+D$70)</f>
        <v>0</v>
      </c>
      <c r="E74" s="74">
        <f t="shared" si="25"/>
        <v>0</v>
      </c>
      <c r="F74" s="74">
        <f t="shared" ref="F74:O77" si="26">$B74*(F$32+F$60+F$70)</f>
        <v>0</v>
      </c>
      <c r="G74" s="74">
        <f t="shared" si="26"/>
        <v>0</v>
      </c>
      <c r="H74" s="74">
        <f t="shared" si="26"/>
        <v>0</v>
      </c>
      <c r="I74" s="74">
        <f t="shared" si="26"/>
        <v>0</v>
      </c>
      <c r="J74" s="74">
        <f t="shared" si="26"/>
        <v>0</v>
      </c>
      <c r="K74" s="74">
        <f t="shared" si="26"/>
        <v>0</v>
      </c>
      <c r="L74" s="74">
        <f t="shared" si="26"/>
        <v>0</v>
      </c>
      <c r="M74" s="357">
        <f>$B74*(M$32+M$60+M$70)</f>
        <v>0</v>
      </c>
      <c r="N74" s="74">
        <f t="shared" si="26"/>
        <v>0</v>
      </c>
      <c r="O74" s="74">
        <f t="shared" si="26"/>
        <v>0</v>
      </c>
    </row>
    <row r="75" spans="1:15" ht="22.5" x14ac:dyDescent="0.2">
      <c r="A75" s="14" t="s">
        <v>196</v>
      </c>
      <c r="B75" s="90">
        <f>4.886/30.4375/12</f>
        <v>1.3377138945927446E-2</v>
      </c>
      <c r="C75" s="216"/>
      <c r="D75" s="74">
        <f t="shared" si="25"/>
        <v>0</v>
      </c>
      <c r="E75" s="74">
        <f t="shared" si="25"/>
        <v>0</v>
      </c>
      <c r="F75" s="74">
        <f t="shared" si="26"/>
        <v>0</v>
      </c>
      <c r="G75" s="74">
        <f t="shared" si="26"/>
        <v>0</v>
      </c>
      <c r="H75" s="74">
        <f t="shared" si="26"/>
        <v>0</v>
      </c>
      <c r="I75" s="74">
        <f t="shared" si="26"/>
        <v>0</v>
      </c>
      <c r="J75" s="74">
        <f t="shared" si="26"/>
        <v>0</v>
      </c>
      <c r="K75" s="74">
        <f t="shared" si="26"/>
        <v>0</v>
      </c>
      <c r="L75" s="74">
        <f t="shared" si="26"/>
        <v>0</v>
      </c>
      <c r="M75" s="357">
        <f>$B75*(M$32+M$60+M$70)</f>
        <v>0</v>
      </c>
      <c r="N75" s="74">
        <f t="shared" si="26"/>
        <v>0</v>
      </c>
      <c r="O75" s="74">
        <f t="shared" si="26"/>
        <v>0</v>
      </c>
    </row>
    <row r="76" spans="1:15" ht="22.5" x14ac:dyDescent="0.2">
      <c r="A76" s="14" t="s">
        <v>197</v>
      </c>
      <c r="B76" s="90">
        <f>5/30.4375/12*0.015*0.95</f>
        <v>1.9507186858316218E-4</v>
      </c>
      <c r="C76" s="216"/>
      <c r="D76" s="74">
        <f t="shared" si="25"/>
        <v>0</v>
      </c>
      <c r="E76" s="74">
        <f t="shared" si="25"/>
        <v>0</v>
      </c>
      <c r="F76" s="74">
        <f t="shared" si="26"/>
        <v>0</v>
      </c>
      <c r="G76" s="74">
        <f t="shared" si="26"/>
        <v>0</v>
      </c>
      <c r="H76" s="74">
        <f t="shared" si="26"/>
        <v>0</v>
      </c>
      <c r="I76" s="74">
        <f t="shared" si="26"/>
        <v>0</v>
      </c>
      <c r="J76" s="74">
        <f t="shared" si="26"/>
        <v>0</v>
      </c>
      <c r="K76" s="74">
        <f t="shared" si="26"/>
        <v>0</v>
      </c>
      <c r="L76" s="74">
        <f t="shared" si="26"/>
        <v>0</v>
      </c>
      <c r="M76" s="357">
        <f>$B76*(M$32+M$60+M$70)</f>
        <v>0</v>
      </c>
      <c r="N76" s="74">
        <f t="shared" si="26"/>
        <v>0</v>
      </c>
      <c r="O76" s="74">
        <f t="shared" si="26"/>
        <v>0</v>
      </c>
    </row>
    <row r="77" spans="1:15" ht="22.5" x14ac:dyDescent="0.2">
      <c r="A77" s="14" t="s">
        <v>198</v>
      </c>
      <c r="B77" s="90">
        <f>0.9545/30.4375/12</f>
        <v>2.613278576317591E-3</v>
      </c>
      <c r="C77" s="216"/>
      <c r="D77" s="74">
        <f t="shared" si="25"/>
        <v>0</v>
      </c>
      <c r="E77" s="74">
        <f t="shared" si="25"/>
        <v>0</v>
      </c>
      <c r="F77" s="74">
        <f t="shared" si="26"/>
        <v>0</v>
      </c>
      <c r="G77" s="74">
        <f t="shared" si="26"/>
        <v>0</v>
      </c>
      <c r="H77" s="74">
        <f t="shared" si="26"/>
        <v>0</v>
      </c>
      <c r="I77" s="74">
        <f t="shared" si="26"/>
        <v>0</v>
      </c>
      <c r="J77" s="74">
        <f t="shared" si="26"/>
        <v>0</v>
      </c>
      <c r="K77" s="74">
        <f t="shared" si="26"/>
        <v>0</v>
      </c>
      <c r="L77" s="74">
        <f t="shared" si="26"/>
        <v>0</v>
      </c>
      <c r="M77" s="357">
        <f>$B77*(M$32+M$60+M$70)</f>
        <v>0</v>
      </c>
      <c r="N77" s="74">
        <f t="shared" si="26"/>
        <v>0</v>
      </c>
      <c r="O77" s="74">
        <f t="shared" si="26"/>
        <v>0</v>
      </c>
    </row>
    <row r="78" spans="1:15" ht="22.5" x14ac:dyDescent="0.2">
      <c r="A78" s="14" t="s">
        <v>199</v>
      </c>
      <c r="B78" s="90">
        <f>120/30.4375*0.05*0.0032</f>
        <v>6.3080082135523615E-4</v>
      </c>
      <c r="C78" s="216"/>
      <c r="D78" s="74">
        <f>$B78*(D$32+D$32+D$32/3+D$48+D$55-D$50-D$51)</f>
        <v>0</v>
      </c>
      <c r="E78" s="74">
        <f>$B78*(E$32+E$32+E$32/3+E$48+E$55-E$50-E$51)</f>
        <v>0</v>
      </c>
      <c r="F78" s="74">
        <f t="shared" ref="F78:O78" si="27">$B78*(F$32+F$32+F$32/3+F$48+F$55-F$50-F$51)</f>
        <v>0</v>
      </c>
      <c r="G78" s="74">
        <f t="shared" si="27"/>
        <v>0</v>
      </c>
      <c r="H78" s="74">
        <f t="shared" si="27"/>
        <v>0</v>
      </c>
      <c r="I78" s="74">
        <f t="shared" si="27"/>
        <v>0</v>
      </c>
      <c r="J78" s="74">
        <f t="shared" si="27"/>
        <v>0</v>
      </c>
      <c r="K78" s="74">
        <f t="shared" si="27"/>
        <v>0</v>
      </c>
      <c r="L78" s="74">
        <f t="shared" si="27"/>
        <v>0</v>
      </c>
      <c r="M78" s="357">
        <f>$B78*(M$32+M$32+M$32/3+M$48+M$55-M$50-M$51)</f>
        <v>0</v>
      </c>
      <c r="N78" s="74">
        <f t="shared" si="27"/>
        <v>0</v>
      </c>
      <c r="O78" s="74">
        <f t="shared" si="27"/>
        <v>0</v>
      </c>
    </row>
    <row r="79" spans="1:15" x14ac:dyDescent="0.2">
      <c r="A79" s="82" t="s">
        <v>166</v>
      </c>
      <c r="B79" s="83"/>
      <c r="C79" s="215"/>
      <c r="D79" s="84">
        <f>SUM(D74:D78)</f>
        <v>0</v>
      </c>
      <c r="E79" s="84">
        <f>SUM(E74:E78)</f>
        <v>0</v>
      </c>
      <c r="F79" s="84">
        <f t="shared" ref="F79:O79" si="28">SUM(F74:F78)</f>
        <v>0</v>
      </c>
      <c r="G79" s="84">
        <f t="shared" si="28"/>
        <v>0</v>
      </c>
      <c r="H79" s="84">
        <f t="shared" si="28"/>
        <v>0</v>
      </c>
      <c r="I79" s="84">
        <f t="shared" si="28"/>
        <v>0</v>
      </c>
      <c r="J79" s="84">
        <f t="shared" si="28"/>
        <v>0</v>
      </c>
      <c r="K79" s="84">
        <f t="shared" si="28"/>
        <v>0</v>
      </c>
      <c r="L79" s="84">
        <f t="shared" si="28"/>
        <v>0</v>
      </c>
      <c r="M79" s="360">
        <f>SUM(M74:M78)</f>
        <v>0</v>
      </c>
      <c r="N79" s="84">
        <f t="shared" si="28"/>
        <v>0</v>
      </c>
      <c r="O79" s="84">
        <f t="shared" si="28"/>
        <v>0</v>
      </c>
    </row>
    <row r="80" spans="1:15" x14ac:dyDescent="0.2">
      <c r="A80" s="81" t="s">
        <v>200</v>
      </c>
      <c r="B80" s="16" t="s">
        <v>153</v>
      </c>
      <c r="C80" s="216"/>
      <c r="D80" s="71" t="s">
        <v>154</v>
      </c>
      <c r="E80" s="71" t="s">
        <v>154</v>
      </c>
      <c r="F80" s="71" t="s">
        <v>154</v>
      </c>
      <c r="G80" s="71" t="s">
        <v>154</v>
      </c>
      <c r="H80" s="71" t="s">
        <v>154</v>
      </c>
      <c r="I80" s="71" t="s">
        <v>154</v>
      </c>
      <c r="J80" s="71" t="s">
        <v>154</v>
      </c>
      <c r="K80" s="71" t="s">
        <v>154</v>
      </c>
      <c r="L80" s="71" t="s">
        <v>154</v>
      </c>
      <c r="M80" s="356" t="s">
        <v>154</v>
      </c>
      <c r="N80" s="71" t="s">
        <v>154</v>
      </c>
      <c r="O80" s="71" t="s">
        <v>154</v>
      </c>
    </row>
    <row r="81" spans="1:15" ht="36.75" x14ac:dyDescent="0.2">
      <c r="A81" s="14" t="s">
        <v>201</v>
      </c>
      <c r="B81" s="73"/>
      <c r="C81" s="216"/>
      <c r="D81" s="94"/>
      <c r="E81" s="94"/>
      <c r="F81" s="94"/>
      <c r="G81" s="94"/>
      <c r="H81" s="94"/>
      <c r="I81" s="94"/>
      <c r="J81" s="94"/>
      <c r="K81" s="94"/>
      <c r="L81" s="94"/>
      <c r="M81" s="155"/>
      <c r="N81" s="94"/>
      <c r="O81" s="94"/>
    </row>
    <row r="82" spans="1:15" x14ac:dyDescent="0.2">
      <c r="A82" s="82" t="s">
        <v>166</v>
      </c>
      <c r="B82" s="87"/>
      <c r="C82" s="215"/>
      <c r="D82" s="84">
        <f>SUM(D81)</f>
        <v>0</v>
      </c>
      <c r="E82" s="84">
        <f t="shared" ref="E82:O82" si="29">SUM(E81)</f>
        <v>0</v>
      </c>
      <c r="F82" s="84">
        <f t="shared" si="29"/>
        <v>0</v>
      </c>
      <c r="G82" s="84">
        <f t="shared" si="29"/>
        <v>0</v>
      </c>
      <c r="H82" s="84">
        <f t="shared" si="29"/>
        <v>0</v>
      </c>
      <c r="I82" s="84">
        <f t="shared" si="29"/>
        <v>0</v>
      </c>
      <c r="J82" s="84">
        <f t="shared" si="29"/>
        <v>0</v>
      </c>
      <c r="K82" s="84">
        <f t="shared" si="29"/>
        <v>0</v>
      </c>
      <c r="L82" s="84">
        <f t="shared" si="29"/>
        <v>0</v>
      </c>
      <c r="M82" s="360">
        <f>SUM(M81)</f>
        <v>0</v>
      </c>
      <c r="N82" s="84">
        <f t="shared" si="29"/>
        <v>0</v>
      </c>
      <c r="O82" s="84">
        <f t="shared" si="29"/>
        <v>0</v>
      </c>
    </row>
    <row r="83" spans="1:15" ht="22.5" x14ac:dyDescent="0.2">
      <c r="A83" s="66" t="s">
        <v>202</v>
      </c>
      <c r="B83" s="67"/>
      <c r="C83" s="216"/>
      <c r="D83" s="64" t="s">
        <v>154</v>
      </c>
      <c r="E83" s="64" t="s">
        <v>154</v>
      </c>
      <c r="F83" s="64" t="s">
        <v>154</v>
      </c>
      <c r="G83" s="64" t="s">
        <v>154</v>
      </c>
      <c r="H83" s="64" t="s">
        <v>154</v>
      </c>
      <c r="I83" s="64" t="s">
        <v>154</v>
      </c>
      <c r="J83" s="64" t="s">
        <v>154</v>
      </c>
      <c r="K83" s="64" t="s">
        <v>154</v>
      </c>
      <c r="L83" s="64" t="s">
        <v>154</v>
      </c>
      <c r="M83" s="363" t="s">
        <v>154</v>
      </c>
      <c r="N83" s="64" t="s">
        <v>154</v>
      </c>
      <c r="O83" s="64" t="s">
        <v>154</v>
      </c>
    </row>
    <row r="84" spans="1:15" x14ac:dyDescent="0.2">
      <c r="A84" s="14" t="s">
        <v>203</v>
      </c>
      <c r="B84" s="73"/>
      <c r="C84" s="216"/>
      <c r="D84" s="74">
        <f>D79</f>
        <v>0</v>
      </c>
      <c r="E84" s="74">
        <f t="shared" ref="E84:O84" si="30">E79</f>
        <v>0</v>
      </c>
      <c r="F84" s="74">
        <f t="shared" si="30"/>
        <v>0</v>
      </c>
      <c r="G84" s="74">
        <f t="shared" si="30"/>
        <v>0</v>
      </c>
      <c r="H84" s="74">
        <f t="shared" si="30"/>
        <v>0</v>
      </c>
      <c r="I84" s="74">
        <f t="shared" si="30"/>
        <v>0</v>
      </c>
      <c r="J84" s="74">
        <f t="shared" si="30"/>
        <v>0</v>
      </c>
      <c r="K84" s="74">
        <f t="shared" si="30"/>
        <v>0</v>
      </c>
      <c r="L84" s="74">
        <f t="shared" si="30"/>
        <v>0</v>
      </c>
      <c r="M84" s="357">
        <f>M79</f>
        <v>0</v>
      </c>
      <c r="N84" s="74">
        <f t="shared" si="30"/>
        <v>0</v>
      </c>
      <c r="O84" s="74">
        <f t="shared" si="30"/>
        <v>0</v>
      </c>
    </row>
    <row r="85" spans="1:15" x14ac:dyDescent="0.2">
      <c r="A85" s="14" t="s">
        <v>204</v>
      </c>
      <c r="B85" s="73"/>
      <c r="C85" s="216"/>
      <c r="D85" s="74">
        <f>D82</f>
        <v>0</v>
      </c>
      <c r="E85" s="74">
        <f t="shared" ref="E85:O85" si="31">E82</f>
        <v>0</v>
      </c>
      <c r="F85" s="74">
        <f t="shared" si="31"/>
        <v>0</v>
      </c>
      <c r="G85" s="74">
        <f t="shared" si="31"/>
        <v>0</v>
      </c>
      <c r="H85" s="74">
        <f t="shared" si="31"/>
        <v>0</v>
      </c>
      <c r="I85" s="74">
        <f t="shared" si="31"/>
        <v>0</v>
      </c>
      <c r="J85" s="74">
        <f t="shared" si="31"/>
        <v>0</v>
      </c>
      <c r="K85" s="74">
        <f t="shared" si="31"/>
        <v>0</v>
      </c>
      <c r="L85" s="74">
        <f t="shared" si="31"/>
        <v>0</v>
      </c>
      <c r="M85" s="357">
        <f>M82</f>
        <v>0</v>
      </c>
      <c r="N85" s="74">
        <f t="shared" si="31"/>
        <v>0</v>
      </c>
      <c r="O85" s="74">
        <f t="shared" si="31"/>
        <v>0</v>
      </c>
    </row>
    <row r="86" spans="1:15" x14ac:dyDescent="0.2">
      <c r="A86" s="78" t="s">
        <v>161</v>
      </c>
      <c r="B86" s="78"/>
      <c r="C86" s="217"/>
      <c r="D86" s="80">
        <f>SUM(D84:D85)</f>
        <v>0</v>
      </c>
      <c r="E86" s="80">
        <f t="shared" ref="E86:O86" si="32">SUM(E84:E85)</f>
        <v>0</v>
      </c>
      <c r="F86" s="80">
        <f t="shared" si="32"/>
        <v>0</v>
      </c>
      <c r="G86" s="80">
        <f t="shared" si="32"/>
        <v>0</v>
      </c>
      <c r="H86" s="80">
        <f t="shared" si="32"/>
        <v>0</v>
      </c>
      <c r="I86" s="80">
        <f t="shared" si="32"/>
        <v>0</v>
      </c>
      <c r="J86" s="80">
        <f t="shared" si="32"/>
        <v>0</v>
      </c>
      <c r="K86" s="80">
        <f t="shared" si="32"/>
        <v>0</v>
      </c>
      <c r="L86" s="80">
        <f t="shared" si="32"/>
        <v>0</v>
      </c>
      <c r="M86" s="359">
        <f>SUM(M84:M85)</f>
        <v>0</v>
      </c>
      <c r="N86" s="80">
        <f t="shared" si="32"/>
        <v>0</v>
      </c>
      <c r="O86" s="80">
        <f t="shared" si="32"/>
        <v>0</v>
      </c>
    </row>
    <row r="87" spans="1:15" x14ac:dyDescent="0.2">
      <c r="A87"/>
      <c r="B87"/>
      <c r="C87" s="216"/>
      <c r="D87" s="63"/>
      <c r="E87" s="63"/>
      <c r="F87" s="63"/>
      <c r="G87" s="63"/>
      <c r="H87" s="63"/>
      <c r="I87" s="63"/>
      <c r="J87" s="63"/>
      <c r="K87" s="63"/>
      <c r="L87" s="63"/>
      <c r="M87" s="157"/>
      <c r="N87" s="63"/>
      <c r="O87" s="63"/>
    </row>
    <row r="88" spans="1:15" ht="18.75" customHeight="1" x14ac:dyDescent="0.2">
      <c r="A88" s="66" t="s">
        <v>205</v>
      </c>
      <c r="B88" s="67"/>
      <c r="C88" s="216"/>
      <c r="D88" s="68"/>
      <c r="E88" s="69"/>
      <c r="F88" s="69"/>
      <c r="G88" s="69"/>
      <c r="H88" s="69"/>
      <c r="I88" s="69"/>
      <c r="J88" s="69"/>
      <c r="K88" s="69"/>
      <c r="L88" s="69"/>
      <c r="M88" s="355"/>
      <c r="N88" s="69"/>
      <c r="O88" s="69"/>
    </row>
    <row r="89" spans="1:15" x14ac:dyDescent="0.2">
      <c r="A89" s="81" t="s">
        <v>206</v>
      </c>
      <c r="B89" s="16" t="s">
        <v>177</v>
      </c>
      <c r="C89" s="216"/>
      <c r="D89" s="71" t="s">
        <v>154</v>
      </c>
      <c r="E89" s="71" t="s">
        <v>154</v>
      </c>
      <c r="F89" s="71" t="s">
        <v>154</v>
      </c>
      <c r="G89" s="71" t="s">
        <v>154</v>
      </c>
      <c r="H89" s="71" t="s">
        <v>154</v>
      </c>
      <c r="I89" s="71" t="s">
        <v>154</v>
      </c>
      <c r="J89" s="71" t="s">
        <v>154</v>
      </c>
      <c r="K89" s="71" t="s">
        <v>154</v>
      </c>
      <c r="L89" s="71" t="s">
        <v>154</v>
      </c>
      <c r="M89" s="356" t="s">
        <v>154</v>
      </c>
      <c r="N89" s="71" t="s">
        <v>154</v>
      </c>
      <c r="O89" s="71" t="s">
        <v>154</v>
      </c>
    </row>
    <row r="90" spans="1:15" x14ac:dyDescent="0.2">
      <c r="A90" s="14" t="s">
        <v>207</v>
      </c>
      <c r="B90" s="73"/>
      <c r="C90" s="216"/>
      <c r="D90" s="95">
        <f>VALUE('III-A.2 - Uniforme, EPI e Equip'!$E7)</f>
        <v>0</v>
      </c>
      <c r="E90" s="95">
        <f>VALUE('III-A.2 - Uniforme, EPI e Equip'!$E7)</f>
        <v>0</v>
      </c>
      <c r="F90" s="95">
        <f>VALUE('III-A.2 - Uniforme, EPI e Equip'!$E7)</f>
        <v>0</v>
      </c>
      <c r="G90" s="95">
        <f>VALUE('III-A.2 - Uniforme, EPI e Equip'!$E11)</f>
        <v>0</v>
      </c>
      <c r="H90" s="95">
        <f>VALUE('III-A.2 - Uniforme, EPI e Equip'!$E11)</f>
        <v>0</v>
      </c>
      <c r="I90" s="95">
        <f>VALUE('III-A.2 - Uniforme, EPI e Equip'!$E11)</f>
        <v>0</v>
      </c>
      <c r="J90" s="96">
        <f>VALUE('III-A.2 - Uniforme, EPI e Equip'!$E15)</f>
        <v>0</v>
      </c>
      <c r="K90" s="96">
        <f>VALUE('III-A.2 - Uniforme, EPI e Equip'!$E15)</f>
        <v>0</v>
      </c>
      <c r="L90" s="96">
        <f>VALUE('III-A.2 - Uniforme, EPI e Equip'!$E15)</f>
        <v>0</v>
      </c>
      <c r="M90" s="364">
        <f>VALUE('III-A.2 - Uniforme, EPI e Equip'!$E27)</f>
        <v>0</v>
      </c>
      <c r="N90" s="95">
        <f>VALUE('III-A.2 - Uniforme, EPI e Equip'!$E19)</f>
        <v>0</v>
      </c>
      <c r="O90" s="95">
        <f>VALUE('III-A.2 - Uniforme, EPI e Equip'!$E19)</f>
        <v>0</v>
      </c>
    </row>
    <row r="91" spans="1:15" ht="57.75" customHeight="1" x14ac:dyDescent="0.2">
      <c r="A91" s="14" t="s">
        <v>208</v>
      </c>
      <c r="B91" s="73"/>
      <c r="C91" s="216"/>
      <c r="D91" s="95"/>
      <c r="E91" s="95"/>
      <c r="F91" s="95"/>
      <c r="G91" s="95"/>
      <c r="H91" s="95"/>
      <c r="I91" s="95"/>
      <c r="J91" s="95"/>
      <c r="K91" s="95"/>
      <c r="L91" s="95"/>
      <c r="M91" s="364"/>
      <c r="N91" s="95"/>
      <c r="O91" s="95"/>
    </row>
    <row r="92" spans="1:15" ht="23.25" customHeight="1" x14ac:dyDescent="0.2">
      <c r="A92" s="14" t="s">
        <v>209</v>
      </c>
      <c r="B92" s="73"/>
      <c r="C92" s="216"/>
      <c r="D92" s="95">
        <f>VALUE('III-A.2 - Uniforme, EPI e Equip'!$E34)</f>
        <v>0</v>
      </c>
      <c r="E92" s="95">
        <f>VALUE('III-A.2 - Uniforme, EPI e Equip'!$E34)</f>
        <v>0</v>
      </c>
      <c r="F92" s="95">
        <f>VALUE('III-A.2 - Uniforme, EPI e Equip'!$E34)</f>
        <v>0</v>
      </c>
      <c r="G92" s="95">
        <f>VALUE('III-A.2 - Uniforme, EPI e Equip'!$E38)</f>
        <v>0</v>
      </c>
      <c r="H92" s="95">
        <f>VALUE('III-A.2 - Uniforme, EPI e Equip'!$E38)</f>
        <v>0</v>
      </c>
      <c r="I92" s="95">
        <f>VALUE('III-A.2 - Uniforme, EPI e Equip'!$E38)</f>
        <v>0</v>
      </c>
      <c r="J92" s="95">
        <f>VALUE('III-A.2 - Uniforme, EPI e Equip'!$E42)</f>
        <v>0</v>
      </c>
      <c r="K92" s="95">
        <f>VALUE('III-A.2 - Uniforme, EPI e Equip'!$E42)</f>
        <v>0</v>
      </c>
      <c r="L92" s="95">
        <f>VALUE('III-A.2 - Uniforme, EPI e Equip'!$E42)</f>
        <v>0</v>
      </c>
      <c r="M92" s="364">
        <f>VALUE('III-A.2 - Uniforme, EPI e Equip'!$E54)</f>
        <v>0</v>
      </c>
      <c r="N92" s="95">
        <f>VALUE('III-A.2 - Uniforme, EPI e Equip'!$E46)</f>
        <v>0</v>
      </c>
      <c r="O92" s="95">
        <f>VALUE('III-A.2 - Uniforme, EPI e Equip'!$E46)</f>
        <v>0</v>
      </c>
    </row>
    <row r="93" spans="1:15" x14ac:dyDescent="0.2">
      <c r="A93" s="78" t="s">
        <v>161</v>
      </c>
      <c r="B93" s="79"/>
      <c r="C93" s="215"/>
      <c r="D93" s="80">
        <f>SUM(D90:D92)</f>
        <v>0</v>
      </c>
      <c r="E93" s="80">
        <f t="shared" ref="E93:O93" si="33">SUM(E90:E92)</f>
        <v>0</v>
      </c>
      <c r="F93" s="80">
        <f t="shared" si="33"/>
        <v>0</v>
      </c>
      <c r="G93" s="80">
        <f t="shared" si="33"/>
        <v>0</v>
      </c>
      <c r="H93" s="80">
        <f t="shared" si="33"/>
        <v>0</v>
      </c>
      <c r="I93" s="80">
        <f t="shared" si="33"/>
        <v>0</v>
      </c>
      <c r="J93" s="80">
        <f t="shared" si="33"/>
        <v>0</v>
      </c>
      <c r="K93" s="80">
        <f t="shared" si="33"/>
        <v>0</v>
      </c>
      <c r="L93" s="80">
        <f t="shared" si="33"/>
        <v>0</v>
      </c>
      <c r="M93" s="359">
        <f>SUM(M90:M92)</f>
        <v>0</v>
      </c>
      <c r="N93" s="80">
        <f t="shared" si="33"/>
        <v>0</v>
      </c>
      <c r="O93" s="80">
        <f t="shared" si="33"/>
        <v>0</v>
      </c>
    </row>
    <row r="94" spans="1:15" x14ac:dyDescent="0.2">
      <c r="A94"/>
      <c r="B94"/>
      <c r="C94" s="216"/>
      <c r="D94" s="63"/>
      <c r="E94" s="63"/>
      <c r="F94" s="63"/>
      <c r="G94" s="63"/>
      <c r="H94" s="63"/>
      <c r="I94" s="63"/>
      <c r="J94" s="63"/>
      <c r="K94" s="63"/>
      <c r="L94" s="63"/>
      <c r="M94" s="157"/>
      <c r="N94" s="63"/>
      <c r="O94" s="63"/>
    </row>
    <row r="95" spans="1:15" ht="18.75" customHeight="1" x14ac:dyDescent="0.2">
      <c r="A95" s="66" t="s">
        <v>210</v>
      </c>
      <c r="B95" s="67"/>
      <c r="C95" s="216"/>
      <c r="D95" s="68"/>
      <c r="E95" s="69"/>
      <c r="F95" s="69"/>
      <c r="G95" s="69"/>
      <c r="H95" s="69"/>
      <c r="I95" s="69"/>
      <c r="J95" s="69"/>
      <c r="K95" s="69"/>
      <c r="L95" s="69"/>
      <c r="M95" s="355"/>
      <c r="N95" s="69"/>
      <c r="O95" s="69"/>
    </row>
    <row r="96" spans="1:15" x14ac:dyDescent="0.2">
      <c r="A96" s="81" t="s">
        <v>211</v>
      </c>
      <c r="B96" s="16" t="s">
        <v>153</v>
      </c>
      <c r="C96" s="216"/>
      <c r="D96" s="71" t="s">
        <v>154</v>
      </c>
      <c r="E96" s="71" t="s">
        <v>154</v>
      </c>
      <c r="F96" s="71" t="s">
        <v>154</v>
      </c>
      <c r="G96" s="71" t="s">
        <v>154</v>
      </c>
      <c r="H96" s="71" t="s">
        <v>154</v>
      </c>
      <c r="I96" s="71" t="s">
        <v>154</v>
      </c>
      <c r="J96" s="71" t="s">
        <v>154</v>
      </c>
      <c r="K96" s="71" t="s">
        <v>154</v>
      </c>
      <c r="L96" s="71" t="s">
        <v>154</v>
      </c>
      <c r="M96" s="356" t="s">
        <v>154</v>
      </c>
      <c r="N96" s="71" t="s">
        <v>154</v>
      </c>
      <c r="O96" s="71" t="s">
        <v>154</v>
      </c>
    </row>
    <row r="97" spans="1:15" x14ac:dyDescent="0.2">
      <c r="A97" s="14" t="s">
        <v>212</v>
      </c>
      <c r="B97" s="73"/>
      <c r="C97" s="216"/>
      <c r="D97" s="97"/>
      <c r="E97" s="97"/>
      <c r="F97" s="97"/>
      <c r="G97" s="97"/>
      <c r="H97" s="97"/>
      <c r="I97" s="97"/>
      <c r="J97" s="97"/>
      <c r="K97" s="97"/>
      <c r="L97" s="97"/>
      <c r="M97" s="365"/>
      <c r="N97" s="97"/>
      <c r="O97" s="97"/>
    </row>
    <row r="98" spans="1:15" x14ac:dyDescent="0.2">
      <c r="A98" s="14" t="s">
        <v>213</v>
      </c>
      <c r="B98" s="75">
        <f>'V - BDI'!C5</f>
        <v>0</v>
      </c>
      <c r="C98" s="216"/>
      <c r="D98" s="97"/>
      <c r="E98" s="97"/>
      <c r="F98" s="97"/>
      <c r="G98" s="97"/>
      <c r="H98" s="97"/>
      <c r="I98" s="97"/>
      <c r="J98" s="97"/>
      <c r="K98" s="97"/>
      <c r="L98" s="97"/>
      <c r="M98" s="365"/>
      <c r="N98" s="97"/>
      <c r="O98" s="97"/>
    </row>
    <row r="99" spans="1:15" x14ac:dyDescent="0.2">
      <c r="A99" s="14" t="s">
        <v>214</v>
      </c>
      <c r="B99" s="75">
        <f>'V - BDI'!C6</f>
        <v>0</v>
      </c>
      <c r="C99" s="216"/>
      <c r="D99" s="97"/>
      <c r="E99" s="97"/>
      <c r="F99" s="97"/>
      <c r="G99" s="97"/>
      <c r="H99" s="97"/>
      <c r="I99" s="97"/>
      <c r="J99" s="97"/>
      <c r="K99" s="97"/>
      <c r="L99" s="97"/>
      <c r="M99" s="365"/>
      <c r="N99" s="97"/>
      <c r="O99" s="97"/>
    </row>
    <row r="100" spans="1:15" x14ac:dyDescent="0.2">
      <c r="A100" s="14" t="s">
        <v>215</v>
      </c>
      <c r="B100" s="75">
        <f>'V - BDI'!C7</f>
        <v>0</v>
      </c>
      <c r="C100" s="216"/>
      <c r="D100" s="97"/>
      <c r="E100" s="97"/>
      <c r="F100" s="97"/>
      <c r="G100" s="97"/>
      <c r="H100" s="97"/>
      <c r="I100" s="97"/>
      <c r="J100" s="97"/>
      <c r="K100" s="97"/>
      <c r="L100" s="97"/>
      <c r="M100" s="365"/>
      <c r="N100" s="97"/>
      <c r="O100" s="97"/>
    </row>
    <row r="101" spans="1:15" x14ac:dyDescent="0.2">
      <c r="A101" s="14" t="s">
        <v>216</v>
      </c>
      <c r="B101" s="75">
        <f>'V - BDI'!C8</f>
        <v>0</v>
      </c>
      <c r="C101" s="216"/>
      <c r="D101" s="97"/>
      <c r="E101" s="97"/>
      <c r="F101" s="97"/>
      <c r="G101" s="97"/>
      <c r="H101" s="97"/>
      <c r="I101" s="97"/>
      <c r="J101" s="97"/>
      <c r="K101" s="97"/>
      <c r="L101" s="97"/>
      <c r="M101" s="365"/>
      <c r="N101" s="97"/>
      <c r="O101" s="97"/>
    </row>
    <row r="102" spans="1:15" x14ac:dyDescent="0.2">
      <c r="A102" s="14" t="s">
        <v>217</v>
      </c>
      <c r="B102" s="73"/>
      <c r="C102" s="216"/>
      <c r="D102" s="97"/>
      <c r="E102" s="97"/>
      <c r="F102" s="97"/>
      <c r="G102" s="97"/>
      <c r="H102" s="97"/>
      <c r="I102" s="97"/>
      <c r="J102" s="97"/>
      <c r="K102" s="97"/>
      <c r="L102" s="97"/>
      <c r="M102" s="365"/>
      <c r="N102" s="97"/>
      <c r="O102" s="97"/>
    </row>
    <row r="103" spans="1:15" x14ac:dyDescent="0.2">
      <c r="A103" s="14" t="s">
        <v>218</v>
      </c>
      <c r="B103" s="73"/>
      <c r="C103" s="216"/>
      <c r="D103" s="97"/>
      <c r="E103" s="97"/>
      <c r="F103" s="97"/>
      <c r="G103" s="97"/>
      <c r="H103" s="97"/>
      <c r="I103" s="97"/>
      <c r="J103" s="97"/>
      <c r="K103" s="97"/>
      <c r="L103" s="97"/>
      <c r="M103" s="365"/>
      <c r="N103" s="97"/>
      <c r="O103" s="97"/>
    </row>
    <row r="104" spans="1:15" x14ac:dyDescent="0.2">
      <c r="A104" s="14" t="s">
        <v>219</v>
      </c>
      <c r="B104" s="75">
        <f>'V - BDI'!C11</f>
        <v>0</v>
      </c>
      <c r="C104" s="216"/>
      <c r="D104" s="97"/>
      <c r="E104" s="97"/>
      <c r="F104" s="97"/>
      <c r="G104" s="97"/>
      <c r="H104" s="97"/>
      <c r="I104" s="97"/>
      <c r="J104" s="97"/>
      <c r="K104" s="97"/>
      <c r="L104" s="97"/>
      <c r="M104" s="365"/>
      <c r="N104" s="97"/>
      <c r="O104" s="97"/>
    </row>
    <row r="105" spans="1:15" x14ac:dyDescent="0.2">
      <c r="A105" s="14" t="s">
        <v>220</v>
      </c>
      <c r="B105" s="75">
        <f>'V - BDI'!C12</f>
        <v>0</v>
      </c>
      <c r="C105" s="216"/>
      <c r="D105" s="97"/>
      <c r="E105" s="97"/>
      <c r="F105" s="97"/>
      <c r="G105" s="97"/>
      <c r="H105" s="97"/>
      <c r="I105" s="97"/>
      <c r="J105" s="97"/>
      <c r="K105" s="97"/>
      <c r="L105" s="97"/>
      <c r="M105" s="365"/>
      <c r="N105" s="97"/>
      <c r="O105" s="97"/>
    </row>
    <row r="106" spans="1:15" ht="39.75" x14ac:dyDescent="0.2">
      <c r="A106" s="14" t="s">
        <v>221</v>
      </c>
      <c r="B106" s="75">
        <f>'V - BDI'!C13</f>
        <v>4.4999999999999998E-2</v>
      </c>
      <c r="C106" s="216"/>
      <c r="D106" s="97"/>
      <c r="E106" s="97"/>
      <c r="F106" s="97"/>
      <c r="G106" s="97"/>
      <c r="H106" s="97"/>
      <c r="I106" s="97"/>
      <c r="J106" s="97"/>
      <c r="K106" s="97"/>
      <c r="L106" s="97"/>
      <c r="M106" s="365"/>
      <c r="N106" s="97"/>
      <c r="O106" s="97"/>
    </row>
    <row r="107" spans="1:15" x14ac:dyDescent="0.2">
      <c r="A107" s="14" t="s">
        <v>222</v>
      </c>
      <c r="B107" s="75">
        <f>'V - BDI'!C14</f>
        <v>0</v>
      </c>
      <c r="C107" s="216"/>
      <c r="D107" s="97"/>
      <c r="E107" s="97"/>
      <c r="F107" s="97"/>
      <c r="G107" s="97"/>
      <c r="H107" s="97"/>
      <c r="I107" s="97"/>
      <c r="J107" s="97"/>
      <c r="K107" s="97"/>
      <c r="L107" s="97"/>
      <c r="M107" s="365"/>
      <c r="N107" s="97"/>
      <c r="O107" s="97"/>
    </row>
    <row r="108" spans="1:15" x14ac:dyDescent="0.2">
      <c r="A108" s="14" t="s">
        <v>223</v>
      </c>
      <c r="B108" s="73"/>
      <c r="C108" s="216"/>
      <c r="D108" s="97"/>
      <c r="E108" s="97"/>
      <c r="F108" s="97"/>
      <c r="G108" s="97"/>
      <c r="H108" s="97"/>
      <c r="I108" s="97"/>
      <c r="J108" s="97"/>
      <c r="K108" s="97"/>
      <c r="L108" s="97"/>
      <c r="M108" s="365"/>
      <c r="N108" s="97"/>
      <c r="O108" s="97"/>
    </row>
    <row r="109" spans="1:15" x14ac:dyDescent="0.2">
      <c r="A109" s="14" t="s">
        <v>224</v>
      </c>
      <c r="B109" s="75">
        <f>'V - BDI'!C16</f>
        <v>0</v>
      </c>
      <c r="C109" s="216"/>
      <c r="D109" s="97"/>
      <c r="E109" s="97"/>
      <c r="F109" s="97"/>
      <c r="G109" s="97"/>
      <c r="H109" s="97"/>
      <c r="I109" s="97"/>
      <c r="J109" s="97"/>
      <c r="K109" s="97"/>
      <c r="L109" s="97"/>
      <c r="M109" s="365"/>
      <c r="N109" s="97"/>
      <c r="O109" s="97"/>
    </row>
    <row r="110" spans="1:15" ht="80.25" customHeight="1" x14ac:dyDescent="0.2">
      <c r="A110" s="98" t="s">
        <v>225</v>
      </c>
      <c r="B110" s="99">
        <f>'V - BDI'!C18</f>
        <v>4.7120418848167533E-2</v>
      </c>
      <c r="C110" s="215"/>
      <c r="D110" s="100">
        <f>$B$110*D121</f>
        <v>0</v>
      </c>
      <c r="E110" s="100">
        <f t="shared" ref="E110:F110" si="34">$B$110*E121</f>
        <v>0</v>
      </c>
      <c r="F110" s="100">
        <f t="shared" si="34"/>
        <v>0</v>
      </c>
      <c r="G110" s="100">
        <f>$B$110*G121</f>
        <v>0</v>
      </c>
      <c r="H110" s="100">
        <f t="shared" ref="H110:I110" si="35">$B$110*H121</f>
        <v>0</v>
      </c>
      <c r="I110" s="100">
        <f t="shared" si="35"/>
        <v>0</v>
      </c>
      <c r="J110" s="100">
        <f>$B$110*J121</f>
        <v>0</v>
      </c>
      <c r="K110" s="100">
        <f t="shared" ref="K110:L110" si="36">$B$110*K121</f>
        <v>0</v>
      </c>
      <c r="L110" s="100">
        <f t="shared" si="36"/>
        <v>0</v>
      </c>
      <c r="M110" s="366">
        <f>$B$110*M121</f>
        <v>0</v>
      </c>
      <c r="N110" s="100">
        <f>$B$110*N121</f>
        <v>0</v>
      </c>
      <c r="O110" s="100">
        <f>$B$110*O121</f>
        <v>0</v>
      </c>
    </row>
    <row r="111" spans="1:15" x14ac:dyDescent="0.2">
      <c r="A111"/>
      <c r="B111"/>
      <c r="C111" s="215"/>
      <c r="D111" s="63"/>
      <c r="E111" s="63"/>
      <c r="F111" s="63"/>
      <c r="G111" s="63"/>
      <c r="H111" s="63"/>
      <c r="I111" s="63"/>
      <c r="J111" s="63"/>
      <c r="K111" s="63"/>
      <c r="L111" s="63"/>
      <c r="M111" s="157"/>
      <c r="N111" s="63"/>
      <c r="O111" s="63"/>
    </row>
    <row r="112" spans="1:15" x14ac:dyDescent="0.2">
      <c r="A112"/>
      <c r="B112"/>
      <c r="C112" s="215"/>
      <c r="D112" s="63"/>
      <c r="E112" s="63"/>
      <c r="F112" s="63"/>
      <c r="G112" s="63"/>
      <c r="H112" s="63"/>
      <c r="I112" s="63"/>
      <c r="J112" s="63"/>
      <c r="K112" s="63"/>
      <c r="L112" s="63"/>
      <c r="M112" s="157"/>
      <c r="N112" s="63"/>
      <c r="O112" s="63"/>
    </row>
    <row r="113" spans="1:15" ht="123.75" x14ac:dyDescent="0.2">
      <c r="A113" s="101" t="s">
        <v>226</v>
      </c>
      <c r="B113" s="102"/>
      <c r="C113" s="215"/>
      <c r="D113" s="64" t="str">
        <f>D12</f>
        <v>Oficial de Manutenção Predial I (Eletricista/Instalador-Reparador de Reders Telefônicas e de comunicação de dados) - CBO 5143-25 – Jornada 44h semanais</v>
      </c>
      <c r="E113" s="64">
        <f t="shared" ref="E113:O113" si="37">E12</f>
        <v>0</v>
      </c>
      <c r="F113" s="64">
        <f t="shared" si="37"/>
        <v>0</v>
      </c>
      <c r="G113" s="64" t="str">
        <f t="shared" si="37"/>
        <v>Oficial de Manutenção Predial II  (Pedreiro/Bombeiro Hidráulico) - CBO 5143-25 – Jornada 44h semanais</v>
      </c>
      <c r="H113" s="64">
        <f t="shared" si="37"/>
        <v>0</v>
      </c>
      <c r="I113" s="64">
        <f t="shared" si="37"/>
        <v>0</v>
      </c>
      <c r="J113" s="64" t="str">
        <f t="shared" si="37"/>
        <v>Auxiliar de Manutenção Predial - auxiliar de eletricista/auxiliar hidráulica/auxiliar de pedreiro) - CBO 5143-10 – Jornada de 44h semanais</v>
      </c>
      <c r="K113" s="64">
        <f t="shared" si="37"/>
        <v>0</v>
      </c>
      <c r="L113" s="64">
        <f t="shared" si="37"/>
        <v>0</v>
      </c>
      <c r="M113" s="363" t="str">
        <f>M12</f>
        <v>Encarregado de Manutenção – Jornada 44h semanais</v>
      </c>
      <c r="N113" s="64" t="str">
        <f t="shared" si="37"/>
        <v>Engenheiro Civil - Jornada 30 h semanais</v>
      </c>
      <c r="O113" s="64" t="str">
        <f t="shared" si="37"/>
        <v>Engenheiro Eletricista - Jornada 30h semanais</v>
      </c>
    </row>
    <row r="114" spans="1:15" ht="22.5" x14ac:dyDescent="0.2">
      <c r="A114" s="218"/>
      <c r="B114" s="219"/>
      <c r="C114" s="215"/>
      <c r="D114" s="64" t="str">
        <f>D13</f>
        <v>Boa Vista/RR</v>
      </c>
      <c r="E114" s="64" t="str">
        <f t="shared" ref="E114:O114" si="38">E13</f>
        <v>Apenas posto em BAV</v>
      </c>
      <c r="F114" s="64" t="str">
        <f t="shared" si="38"/>
        <v>Apenas posto em BAV</v>
      </c>
      <c r="G114" s="64" t="str">
        <f t="shared" si="38"/>
        <v>Boa Vista/RR</v>
      </c>
      <c r="H114" s="64" t="str">
        <f t="shared" si="38"/>
        <v>Apenas posto em BAV</v>
      </c>
      <c r="I114" s="64" t="str">
        <f t="shared" si="38"/>
        <v>Apenas posto em BAV</v>
      </c>
      <c r="J114" s="64" t="str">
        <f t="shared" si="38"/>
        <v>Boa Vista/RR</v>
      </c>
      <c r="K114" s="64" t="str">
        <f t="shared" si="38"/>
        <v>Apenas posto em BAV</v>
      </c>
      <c r="L114" s="64" t="str">
        <f t="shared" si="38"/>
        <v>Apenas posto em BAV</v>
      </c>
      <c r="M114" s="363" t="str">
        <f>M13</f>
        <v>NÃO ADOTADO</v>
      </c>
      <c r="N114" s="64" t="str">
        <f t="shared" si="38"/>
        <v>Boa Vista/RR</v>
      </c>
      <c r="O114" s="64" t="str">
        <f t="shared" si="38"/>
        <v>Boa Vista/RR</v>
      </c>
    </row>
    <row r="115" spans="1:15" ht="23.25" customHeight="1" x14ac:dyDescent="0.2">
      <c r="A115" s="103"/>
      <c r="B115" s="104"/>
      <c r="C115" s="215"/>
      <c r="D115" s="85" t="s">
        <v>154</v>
      </c>
      <c r="E115" s="85" t="s">
        <v>154</v>
      </c>
      <c r="F115" s="85" t="s">
        <v>154</v>
      </c>
      <c r="G115" s="85" t="s">
        <v>154</v>
      </c>
      <c r="H115" s="85" t="s">
        <v>154</v>
      </c>
      <c r="I115" s="85" t="s">
        <v>154</v>
      </c>
      <c r="J115" s="85" t="s">
        <v>154</v>
      </c>
      <c r="K115" s="85" t="s">
        <v>154</v>
      </c>
      <c r="L115" s="85" t="s">
        <v>154</v>
      </c>
      <c r="M115" s="361" t="s">
        <v>154</v>
      </c>
      <c r="N115" s="85" t="s">
        <v>154</v>
      </c>
      <c r="O115" s="85" t="s">
        <v>154</v>
      </c>
    </row>
    <row r="116" spans="1:15" ht="29.85" customHeight="1" x14ac:dyDescent="0.2">
      <c r="A116" s="105" t="s">
        <v>151</v>
      </c>
      <c r="B116" s="106"/>
      <c r="C116" s="215"/>
      <c r="D116" s="107">
        <f>D32</f>
        <v>0</v>
      </c>
      <c r="E116" s="107">
        <f t="shared" ref="E116:O116" si="39">E32</f>
        <v>0</v>
      </c>
      <c r="F116" s="107">
        <f t="shared" si="39"/>
        <v>0</v>
      </c>
      <c r="G116" s="107">
        <f t="shared" si="39"/>
        <v>0</v>
      </c>
      <c r="H116" s="107">
        <f t="shared" si="39"/>
        <v>0</v>
      </c>
      <c r="I116" s="107">
        <f t="shared" si="39"/>
        <v>0</v>
      </c>
      <c r="J116" s="107">
        <f t="shared" si="39"/>
        <v>0</v>
      </c>
      <c r="K116" s="107">
        <f t="shared" si="39"/>
        <v>0</v>
      </c>
      <c r="L116" s="107">
        <f t="shared" si="39"/>
        <v>0</v>
      </c>
      <c r="M116" s="156">
        <f>M32</f>
        <v>0</v>
      </c>
      <c r="N116" s="107">
        <f t="shared" si="39"/>
        <v>0</v>
      </c>
      <c r="O116" s="107">
        <f t="shared" si="39"/>
        <v>0</v>
      </c>
    </row>
    <row r="117" spans="1:15" ht="29.85" customHeight="1" x14ac:dyDescent="0.2">
      <c r="A117" s="105" t="s">
        <v>162</v>
      </c>
      <c r="B117" s="106"/>
      <c r="C117" s="215"/>
      <c r="D117" s="107">
        <f>D60</f>
        <v>0</v>
      </c>
      <c r="E117" s="107">
        <f t="shared" ref="E117:O117" si="40">E60</f>
        <v>0</v>
      </c>
      <c r="F117" s="107">
        <f t="shared" si="40"/>
        <v>0</v>
      </c>
      <c r="G117" s="107">
        <f t="shared" si="40"/>
        <v>0</v>
      </c>
      <c r="H117" s="107">
        <f t="shared" si="40"/>
        <v>0</v>
      </c>
      <c r="I117" s="107">
        <f t="shared" si="40"/>
        <v>0</v>
      </c>
      <c r="J117" s="107">
        <f t="shared" si="40"/>
        <v>0</v>
      </c>
      <c r="K117" s="107">
        <f t="shared" si="40"/>
        <v>0</v>
      </c>
      <c r="L117" s="107">
        <f t="shared" si="40"/>
        <v>0</v>
      </c>
      <c r="M117" s="156">
        <f>M60</f>
        <v>0</v>
      </c>
      <c r="N117" s="107">
        <f t="shared" si="40"/>
        <v>0</v>
      </c>
      <c r="O117" s="107">
        <f t="shared" si="40"/>
        <v>0</v>
      </c>
    </row>
    <row r="118" spans="1:15" ht="29.85" customHeight="1" x14ac:dyDescent="0.2">
      <c r="A118" s="105" t="s">
        <v>185</v>
      </c>
      <c r="B118" s="106"/>
      <c r="C118" s="215"/>
      <c r="D118" s="107">
        <f>D70</f>
        <v>0</v>
      </c>
      <c r="E118" s="107">
        <f t="shared" ref="E118:O118" si="41">E70</f>
        <v>0</v>
      </c>
      <c r="F118" s="107">
        <f t="shared" si="41"/>
        <v>0</v>
      </c>
      <c r="G118" s="107">
        <f t="shared" si="41"/>
        <v>0</v>
      </c>
      <c r="H118" s="107">
        <f t="shared" si="41"/>
        <v>0</v>
      </c>
      <c r="I118" s="107">
        <f t="shared" si="41"/>
        <v>0</v>
      </c>
      <c r="J118" s="107">
        <f t="shared" si="41"/>
        <v>0</v>
      </c>
      <c r="K118" s="107">
        <f t="shared" si="41"/>
        <v>0</v>
      </c>
      <c r="L118" s="107">
        <f t="shared" si="41"/>
        <v>0</v>
      </c>
      <c r="M118" s="156">
        <f>M70</f>
        <v>0</v>
      </c>
      <c r="N118" s="107">
        <f t="shared" si="41"/>
        <v>0</v>
      </c>
      <c r="O118" s="107">
        <f t="shared" si="41"/>
        <v>0</v>
      </c>
    </row>
    <row r="119" spans="1:15" ht="29.85" customHeight="1" x14ac:dyDescent="0.2">
      <c r="A119" s="105" t="s">
        <v>193</v>
      </c>
      <c r="B119" s="106"/>
      <c r="C119" s="215"/>
      <c r="D119" s="107">
        <f>D79</f>
        <v>0</v>
      </c>
      <c r="E119" s="107">
        <f t="shared" ref="E119:O119" si="42">E79</f>
        <v>0</v>
      </c>
      <c r="F119" s="107">
        <f t="shared" si="42"/>
        <v>0</v>
      </c>
      <c r="G119" s="107">
        <f t="shared" si="42"/>
        <v>0</v>
      </c>
      <c r="H119" s="107">
        <f t="shared" si="42"/>
        <v>0</v>
      </c>
      <c r="I119" s="107">
        <f t="shared" si="42"/>
        <v>0</v>
      </c>
      <c r="J119" s="107">
        <f t="shared" si="42"/>
        <v>0</v>
      </c>
      <c r="K119" s="107">
        <f t="shared" si="42"/>
        <v>0</v>
      </c>
      <c r="L119" s="107">
        <f t="shared" si="42"/>
        <v>0</v>
      </c>
      <c r="M119" s="156">
        <f>M79</f>
        <v>0</v>
      </c>
      <c r="N119" s="107">
        <f t="shared" si="42"/>
        <v>0</v>
      </c>
      <c r="O119" s="107">
        <f t="shared" si="42"/>
        <v>0</v>
      </c>
    </row>
    <row r="120" spans="1:15" ht="29.85" customHeight="1" x14ac:dyDescent="0.2">
      <c r="A120" s="105" t="s">
        <v>205</v>
      </c>
      <c r="B120" s="106"/>
      <c r="C120" s="215"/>
      <c r="D120" s="107">
        <f>D93</f>
        <v>0</v>
      </c>
      <c r="E120" s="107">
        <f t="shared" ref="E120:O120" si="43">E93</f>
        <v>0</v>
      </c>
      <c r="F120" s="107">
        <f t="shared" si="43"/>
        <v>0</v>
      </c>
      <c r="G120" s="107">
        <f t="shared" si="43"/>
        <v>0</v>
      </c>
      <c r="H120" s="107">
        <f t="shared" si="43"/>
        <v>0</v>
      </c>
      <c r="I120" s="107">
        <f t="shared" si="43"/>
        <v>0</v>
      </c>
      <c r="J120" s="107">
        <f t="shared" si="43"/>
        <v>0</v>
      </c>
      <c r="K120" s="107">
        <f t="shared" si="43"/>
        <v>0</v>
      </c>
      <c r="L120" s="107">
        <f t="shared" si="43"/>
        <v>0</v>
      </c>
      <c r="M120" s="156">
        <f>M93</f>
        <v>0</v>
      </c>
      <c r="N120" s="107">
        <f t="shared" si="43"/>
        <v>0</v>
      </c>
      <c r="O120" s="107">
        <f t="shared" si="43"/>
        <v>0</v>
      </c>
    </row>
    <row r="121" spans="1:15" ht="29.85" customHeight="1" x14ac:dyDescent="0.2">
      <c r="A121" s="105" t="s">
        <v>227</v>
      </c>
      <c r="B121" s="106"/>
      <c r="C121" s="215"/>
      <c r="D121" s="107">
        <f>SUM(D116:D120)</f>
        <v>0</v>
      </c>
      <c r="E121" s="107">
        <f t="shared" ref="E121:O121" si="44">SUM(E116:E120)</f>
        <v>0</v>
      </c>
      <c r="F121" s="107">
        <f t="shared" si="44"/>
        <v>0</v>
      </c>
      <c r="G121" s="107">
        <f t="shared" si="44"/>
        <v>0</v>
      </c>
      <c r="H121" s="107">
        <f t="shared" si="44"/>
        <v>0</v>
      </c>
      <c r="I121" s="107">
        <f t="shared" si="44"/>
        <v>0</v>
      </c>
      <c r="J121" s="107">
        <f t="shared" si="44"/>
        <v>0</v>
      </c>
      <c r="K121" s="107">
        <f t="shared" si="44"/>
        <v>0</v>
      </c>
      <c r="L121" s="107">
        <f t="shared" si="44"/>
        <v>0</v>
      </c>
      <c r="M121" s="156">
        <f>SUM(M116:M120)</f>
        <v>0</v>
      </c>
      <c r="N121" s="107">
        <f t="shared" si="44"/>
        <v>0</v>
      </c>
      <c r="O121" s="107">
        <f t="shared" si="44"/>
        <v>0</v>
      </c>
    </row>
    <row r="122" spans="1:15" ht="29.85" customHeight="1" x14ac:dyDescent="0.2">
      <c r="A122" s="105" t="s">
        <v>228</v>
      </c>
      <c r="B122" s="106"/>
      <c r="C122" s="215"/>
      <c r="D122" s="107">
        <f>D110</f>
        <v>0</v>
      </c>
      <c r="E122" s="107">
        <f t="shared" ref="E122:O122" si="45">E110</f>
        <v>0</v>
      </c>
      <c r="F122" s="107">
        <f t="shared" si="45"/>
        <v>0</v>
      </c>
      <c r="G122" s="107">
        <f t="shared" si="45"/>
        <v>0</v>
      </c>
      <c r="H122" s="107">
        <f t="shared" si="45"/>
        <v>0</v>
      </c>
      <c r="I122" s="107">
        <f t="shared" si="45"/>
        <v>0</v>
      </c>
      <c r="J122" s="107">
        <f t="shared" si="45"/>
        <v>0</v>
      </c>
      <c r="K122" s="107">
        <f t="shared" si="45"/>
        <v>0</v>
      </c>
      <c r="L122" s="107">
        <f t="shared" si="45"/>
        <v>0</v>
      </c>
      <c r="M122" s="156">
        <f>M110</f>
        <v>0</v>
      </c>
      <c r="N122" s="107">
        <f t="shared" si="45"/>
        <v>0</v>
      </c>
      <c r="O122" s="107">
        <f t="shared" si="45"/>
        <v>0</v>
      </c>
    </row>
    <row r="123" spans="1:15" ht="29.85" customHeight="1" x14ac:dyDescent="0.2">
      <c r="A123" s="108" t="s">
        <v>229</v>
      </c>
      <c r="B123" s="109"/>
      <c r="C123" s="215"/>
      <c r="D123" s="110">
        <f>SUM(D121:D122)</f>
        <v>0</v>
      </c>
      <c r="E123" s="110">
        <f t="shared" ref="E123:O123" si="46">SUM(E121:E122)</f>
        <v>0</v>
      </c>
      <c r="F123" s="110">
        <f t="shared" si="46"/>
        <v>0</v>
      </c>
      <c r="G123" s="110">
        <f t="shared" si="46"/>
        <v>0</v>
      </c>
      <c r="H123" s="110">
        <f t="shared" si="46"/>
        <v>0</v>
      </c>
      <c r="I123" s="110">
        <f t="shared" si="46"/>
        <v>0</v>
      </c>
      <c r="J123" s="110">
        <f t="shared" si="46"/>
        <v>0</v>
      </c>
      <c r="K123" s="110">
        <f t="shared" si="46"/>
        <v>0</v>
      </c>
      <c r="L123" s="110">
        <f t="shared" si="46"/>
        <v>0</v>
      </c>
      <c r="M123" s="367">
        <f>SUM(M121:M122)</f>
        <v>0</v>
      </c>
      <c r="N123" s="110">
        <f t="shared" si="46"/>
        <v>0</v>
      </c>
      <c r="O123" s="110">
        <f t="shared" si="46"/>
        <v>0</v>
      </c>
    </row>
  </sheetData>
  <mergeCells count="40">
    <mergeCell ref="D10:G10"/>
    <mergeCell ref="H8:K8"/>
    <mergeCell ref="H9:K9"/>
    <mergeCell ref="H10:K10"/>
    <mergeCell ref="H4:K4"/>
    <mergeCell ref="H5:K5"/>
    <mergeCell ref="H6:K6"/>
    <mergeCell ref="H7:K7"/>
    <mergeCell ref="H3:O3"/>
    <mergeCell ref="A1:O1"/>
    <mergeCell ref="A16:A21"/>
    <mergeCell ref="P15:R15"/>
    <mergeCell ref="A13:B13"/>
    <mergeCell ref="A14:B14"/>
    <mergeCell ref="A15:B15"/>
    <mergeCell ref="A2:O2"/>
    <mergeCell ref="A3:C3"/>
    <mergeCell ref="A4:C4"/>
    <mergeCell ref="D3:G3"/>
    <mergeCell ref="D4:G4"/>
    <mergeCell ref="D5:G5"/>
    <mergeCell ref="D6:G6"/>
    <mergeCell ref="D7:G7"/>
    <mergeCell ref="L4:O4"/>
    <mergeCell ref="L5:O5"/>
    <mergeCell ref="L6:O6"/>
    <mergeCell ref="L7:O7"/>
    <mergeCell ref="A22:B22"/>
    <mergeCell ref="A12:B12"/>
    <mergeCell ref="A5:C5"/>
    <mergeCell ref="A6:C6"/>
    <mergeCell ref="A7:C7"/>
    <mergeCell ref="A8:C8"/>
    <mergeCell ref="A9:C9"/>
    <mergeCell ref="A10:C10"/>
    <mergeCell ref="L8:O8"/>
    <mergeCell ref="L9:O9"/>
    <mergeCell ref="L10:O10"/>
    <mergeCell ref="D8:G8"/>
    <mergeCell ref="D9:G9"/>
  </mergeCells>
  <printOptions horizontalCentered="1"/>
  <pageMargins left="0.39370078740157483" right="0.39370078740157483" top="0.59055118110236227" bottom="0.39370078740157483" header="0" footer="0"/>
  <pageSetup paperSize="9" scale="50" firstPageNumber="0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5CE66-67F5-4A64-81D2-72CF9C9E73D8}">
  <sheetPr>
    <tabColor theme="9" tint="0.39997558519241921"/>
    <pageSetUpPr fitToPage="1"/>
  </sheetPr>
  <dimension ref="A1:E28"/>
  <sheetViews>
    <sheetView view="pageBreakPreview" zoomScaleNormal="100" zoomScaleSheetLayoutView="100" workbookViewId="0">
      <selection activeCell="D27" sqref="D27"/>
    </sheetView>
  </sheetViews>
  <sheetFormatPr defaultRowHeight="14.25" x14ac:dyDescent="0.2"/>
  <cols>
    <col min="1" max="1" width="40.625" customWidth="1"/>
    <col min="2" max="2" width="24.375" customWidth="1"/>
    <col min="3" max="3" width="23.75" customWidth="1"/>
    <col min="4" max="4" width="24" customWidth="1"/>
    <col min="5" max="5" width="17.625" style="342" customWidth="1"/>
  </cols>
  <sheetData>
    <row r="1" spans="1:5" ht="120" customHeight="1" x14ac:dyDescent="0.2">
      <c r="A1" s="450" t="s">
        <v>230</v>
      </c>
      <c r="B1" s="450"/>
      <c r="C1" s="451"/>
      <c r="D1" s="451"/>
    </row>
    <row r="2" spans="1:5" ht="24" customHeight="1" x14ac:dyDescent="0.2">
      <c r="A2" s="452" t="s">
        <v>138</v>
      </c>
      <c r="B2" s="453"/>
      <c r="C2" s="453"/>
      <c r="D2" s="454"/>
    </row>
    <row r="3" spans="1:5" ht="15" x14ac:dyDescent="0.2">
      <c r="A3" s="205" t="s">
        <v>231</v>
      </c>
      <c r="B3" s="205" t="s">
        <v>232</v>
      </c>
      <c r="C3" s="205" t="s">
        <v>233</v>
      </c>
      <c r="D3" s="205" t="s">
        <v>177</v>
      </c>
    </row>
    <row r="4" spans="1:5" ht="57" x14ac:dyDescent="0.2">
      <c r="A4" s="532" t="s">
        <v>234</v>
      </c>
      <c r="B4" s="340"/>
      <c r="C4" s="529" t="s">
        <v>131</v>
      </c>
      <c r="D4" s="341"/>
    </row>
    <row r="5" spans="1:5" ht="57" hidden="1" x14ac:dyDescent="0.2">
      <c r="A5" s="532" t="s">
        <v>234</v>
      </c>
      <c r="B5" s="340"/>
      <c r="C5" s="529"/>
      <c r="D5" s="341"/>
    </row>
    <row r="6" spans="1:5" ht="57" hidden="1" x14ac:dyDescent="0.2">
      <c r="A6" s="532" t="s">
        <v>234</v>
      </c>
      <c r="B6" s="340"/>
      <c r="C6" s="529"/>
      <c r="D6" s="341"/>
    </row>
    <row r="7" spans="1:5" ht="42.75" x14ac:dyDescent="0.2">
      <c r="A7" s="532" t="s">
        <v>235</v>
      </c>
      <c r="B7" s="340"/>
      <c r="C7" s="529" t="s">
        <v>131</v>
      </c>
      <c r="D7" s="341"/>
      <c r="E7" s="346"/>
    </row>
    <row r="8" spans="1:5" ht="42.75" hidden="1" x14ac:dyDescent="0.2">
      <c r="A8" s="532" t="s">
        <v>235</v>
      </c>
      <c r="B8" s="340"/>
      <c r="C8" s="529"/>
      <c r="D8" s="341"/>
      <c r="E8" s="344"/>
    </row>
    <row r="9" spans="1:5" hidden="1" x14ac:dyDescent="0.2">
      <c r="A9" s="533" t="s">
        <v>131</v>
      </c>
      <c r="B9" s="340"/>
      <c r="C9" s="529"/>
      <c r="D9" s="341"/>
    </row>
    <row r="10" spans="1:5" ht="42.75" x14ac:dyDescent="0.2">
      <c r="A10" s="532" t="s">
        <v>236</v>
      </c>
      <c r="B10" s="340"/>
      <c r="C10" s="529" t="s">
        <v>131</v>
      </c>
      <c r="D10" s="341"/>
    </row>
    <row r="11" spans="1:5" ht="42.75" hidden="1" x14ac:dyDescent="0.2">
      <c r="A11" s="532" t="s">
        <v>236</v>
      </c>
      <c r="B11" s="340"/>
      <c r="C11" s="529"/>
      <c r="D11" s="341"/>
    </row>
    <row r="12" spans="1:5" ht="42.75" hidden="1" x14ac:dyDescent="0.2">
      <c r="A12" s="532" t="s">
        <v>236</v>
      </c>
      <c r="B12" s="340"/>
      <c r="C12" s="529"/>
      <c r="D12" s="341"/>
    </row>
    <row r="13" spans="1:5" x14ac:dyDescent="0.2">
      <c r="A13" s="534" t="s">
        <v>237</v>
      </c>
      <c r="B13" s="340"/>
      <c r="C13" s="529" t="s">
        <v>131</v>
      </c>
      <c r="D13" s="341"/>
    </row>
    <row r="14" spans="1:5" x14ac:dyDescent="0.2">
      <c r="A14" s="534" t="s">
        <v>238</v>
      </c>
      <c r="B14" s="340"/>
      <c r="C14" s="529" t="s">
        <v>131</v>
      </c>
      <c r="D14" s="341"/>
    </row>
    <row r="15" spans="1:5" ht="28.5" x14ac:dyDescent="0.2">
      <c r="A15" s="534" t="s">
        <v>133</v>
      </c>
      <c r="B15" s="340"/>
      <c r="C15" s="529" t="s">
        <v>131</v>
      </c>
      <c r="D15" s="341"/>
    </row>
    <row r="16" spans="1:5" ht="15" x14ac:dyDescent="0.2">
      <c r="A16" s="452" t="s">
        <v>239</v>
      </c>
      <c r="B16" s="453"/>
      <c r="C16" s="453"/>
      <c r="D16" s="454"/>
    </row>
    <row r="17" spans="1:5" ht="15" x14ac:dyDescent="0.2">
      <c r="A17" s="205" t="s">
        <v>240</v>
      </c>
      <c r="B17" s="205" t="s">
        <v>241</v>
      </c>
      <c r="C17" s="205" t="s">
        <v>233</v>
      </c>
      <c r="D17" s="205" t="s">
        <v>177</v>
      </c>
    </row>
    <row r="18" spans="1:5" x14ac:dyDescent="0.2">
      <c r="A18" s="535" t="s">
        <v>242</v>
      </c>
      <c r="B18" s="201"/>
      <c r="C18" s="530" t="s">
        <v>243</v>
      </c>
      <c r="D18" s="341"/>
    </row>
    <row r="19" spans="1:5" x14ac:dyDescent="0.2">
      <c r="A19" s="535"/>
      <c r="B19" s="201"/>
      <c r="C19" s="530"/>
      <c r="D19" s="203"/>
    </row>
    <row r="20" spans="1:5" hidden="1" x14ac:dyDescent="0.2">
      <c r="A20" s="202"/>
      <c r="B20" s="201"/>
      <c r="C20" s="204"/>
      <c r="D20" s="203"/>
    </row>
    <row r="21" spans="1:5" ht="15" x14ac:dyDescent="0.2">
      <c r="A21" s="452" t="s">
        <v>244</v>
      </c>
      <c r="B21" s="453"/>
      <c r="C21" s="453"/>
      <c r="D21" s="454"/>
    </row>
    <row r="22" spans="1:5" ht="15" x14ac:dyDescent="0.2">
      <c r="A22" s="205" t="s">
        <v>245</v>
      </c>
      <c r="B22" s="205" t="s">
        <v>246</v>
      </c>
      <c r="C22" s="205" t="s">
        <v>233</v>
      </c>
      <c r="D22" s="205" t="s">
        <v>177</v>
      </c>
    </row>
    <row r="23" spans="1:5" ht="55.9" customHeight="1" x14ac:dyDescent="0.2">
      <c r="A23" s="531" t="s">
        <v>247</v>
      </c>
      <c r="B23" s="537"/>
      <c r="C23" s="530" t="s">
        <v>131</v>
      </c>
      <c r="D23" s="539"/>
      <c r="E23" s="343"/>
    </row>
    <row r="24" spans="1:5" x14ac:dyDescent="0.2">
      <c r="A24" s="531" t="s">
        <v>248</v>
      </c>
      <c r="B24" s="538"/>
      <c r="C24" s="530"/>
      <c r="D24" s="540"/>
    </row>
    <row r="25" spans="1:5" ht="15" x14ac:dyDescent="0.2">
      <c r="A25" s="455" t="s">
        <v>249</v>
      </c>
      <c r="B25" s="456"/>
      <c r="C25" s="456"/>
      <c r="D25" s="457"/>
    </row>
    <row r="26" spans="1:5" ht="15" x14ac:dyDescent="0.2">
      <c r="A26" s="536" t="s">
        <v>245</v>
      </c>
      <c r="B26" s="205" t="s">
        <v>241</v>
      </c>
      <c r="C26" s="205" t="s">
        <v>250</v>
      </c>
      <c r="D26" s="205" t="s">
        <v>177</v>
      </c>
    </row>
    <row r="27" spans="1:5" x14ac:dyDescent="0.2">
      <c r="A27" s="531" t="s">
        <v>251</v>
      </c>
      <c r="B27" s="201"/>
      <c r="C27" s="529">
        <v>40864</v>
      </c>
      <c r="D27" s="352"/>
      <c r="E27" s="345"/>
    </row>
    <row r="28" spans="1:5" x14ac:dyDescent="0.2">
      <c r="A28" s="531" t="s">
        <v>252</v>
      </c>
      <c r="B28" s="201"/>
      <c r="C28" s="531"/>
      <c r="D28" s="220"/>
    </row>
  </sheetData>
  <mergeCells count="5">
    <mergeCell ref="A1:D1"/>
    <mergeCell ref="A2:D2"/>
    <mergeCell ref="A16:D16"/>
    <mergeCell ref="A21:D21"/>
    <mergeCell ref="A25:D25"/>
  </mergeCells>
  <printOptions horizontalCentered="1"/>
  <pageMargins left="0.39370078740157483" right="0.39370078740157483" top="0.59055118110236227" bottom="0.39370078740157483" header="0" footer="0"/>
  <pageSetup paperSize="9" scale="7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39997558519241921"/>
  </sheetPr>
  <dimension ref="A1:AMK64"/>
  <sheetViews>
    <sheetView view="pageBreakPreview" topLeftCell="A44" zoomScale="115" zoomScaleNormal="100" zoomScalePageLayoutView="115" workbookViewId="0">
      <selection activeCell="A34" sqref="A34:A43"/>
    </sheetView>
  </sheetViews>
  <sheetFormatPr defaultRowHeight="14.25" x14ac:dyDescent="0.2"/>
  <cols>
    <col min="1" max="1" width="44" style="111"/>
    <col min="2" max="2" width="22.75" style="111"/>
    <col min="3" max="3" width="0" style="111" hidden="1" customWidth="1"/>
    <col min="4" max="1025" width="10.875" style="111"/>
  </cols>
  <sheetData>
    <row r="1" spans="1:2" ht="129.75" customHeight="1" x14ac:dyDescent="0.2">
      <c r="A1" s="461" t="s">
        <v>253</v>
      </c>
      <c r="B1" s="461"/>
    </row>
    <row r="2" spans="1:2" x14ac:dyDescent="0.2">
      <c r="A2"/>
      <c r="B2"/>
    </row>
    <row r="3" spans="1:2" ht="34.5" customHeight="1" x14ac:dyDescent="0.2">
      <c r="A3" s="458" t="s">
        <v>254</v>
      </c>
      <c r="B3" s="458"/>
    </row>
    <row r="4" spans="1:2" x14ac:dyDescent="0.2">
      <c r="A4"/>
      <c r="B4"/>
    </row>
    <row r="5" spans="1:2" ht="14.25" customHeight="1" x14ac:dyDescent="0.2">
      <c r="A5" s="459" t="s">
        <v>255</v>
      </c>
      <c r="B5" s="459"/>
    </row>
    <row r="6" spans="1:2" x14ac:dyDescent="0.2">
      <c r="A6" s="541" t="s">
        <v>256</v>
      </c>
      <c r="B6" s="3">
        <v>22</v>
      </c>
    </row>
    <row r="7" spans="1:2" x14ac:dyDescent="0.2">
      <c r="A7" s="541" t="s">
        <v>257</v>
      </c>
      <c r="B7" s="286">
        <v>1320</v>
      </c>
    </row>
    <row r="8" spans="1:2" x14ac:dyDescent="0.2">
      <c r="A8"/>
      <c r="B8"/>
    </row>
    <row r="9" spans="1:2" ht="14.25" customHeight="1" x14ac:dyDescent="0.2">
      <c r="A9" s="459" t="s">
        <v>258</v>
      </c>
      <c r="B9" s="459"/>
    </row>
    <row r="10" spans="1:2" ht="25.5" x14ac:dyDescent="0.2">
      <c r="A10" s="542" t="s">
        <v>259</v>
      </c>
      <c r="B10" s="112">
        <v>0.06</v>
      </c>
    </row>
    <row r="11" spans="1:2" x14ac:dyDescent="0.2">
      <c r="A11"/>
      <c r="B11"/>
    </row>
    <row r="12" spans="1:2" ht="14.25" customHeight="1" x14ac:dyDescent="0.2">
      <c r="A12" s="459" t="s">
        <v>260</v>
      </c>
      <c r="B12" s="459"/>
    </row>
    <row r="13" spans="1:2" ht="32.25" customHeight="1" x14ac:dyDescent="0.2">
      <c r="A13" s="543" t="s">
        <v>261</v>
      </c>
      <c r="B13" s="543"/>
    </row>
    <row r="14" spans="1:2" x14ac:dyDescent="0.2">
      <c r="A14"/>
      <c r="B14"/>
    </row>
    <row r="15" spans="1:2" ht="14.25" customHeight="1" x14ac:dyDescent="0.2">
      <c r="A15" s="459" t="s">
        <v>262</v>
      </c>
      <c r="B15" s="459"/>
    </row>
    <row r="16" spans="1:2" x14ac:dyDescent="0.2">
      <c r="A16" s="541" t="s">
        <v>263</v>
      </c>
      <c r="B16" s="112">
        <v>0.03</v>
      </c>
    </row>
    <row r="17" spans="1:2" x14ac:dyDescent="0.2">
      <c r="A17" s="541" t="s">
        <v>264</v>
      </c>
      <c r="B17" s="113">
        <v>1</v>
      </c>
    </row>
    <row r="18" spans="1:2" x14ac:dyDescent="0.2">
      <c r="A18"/>
      <c r="B18"/>
    </row>
    <row r="19" spans="1:2" ht="14.25" customHeight="1" x14ac:dyDescent="0.2">
      <c r="A19" s="459" t="s">
        <v>265</v>
      </c>
      <c r="B19" s="459"/>
    </row>
    <row r="20" spans="1:2" ht="38.25" x14ac:dyDescent="0.2">
      <c r="A20" s="544" t="s">
        <v>266</v>
      </c>
      <c r="B20" s="112">
        <v>0.05</v>
      </c>
    </row>
    <row r="21" spans="1:2" x14ac:dyDescent="0.2">
      <c r="A21" s="544" t="s">
        <v>267</v>
      </c>
      <c r="B21" s="3" t="s">
        <v>268</v>
      </c>
    </row>
    <row r="22" spans="1:2" x14ac:dyDescent="0.2">
      <c r="A22"/>
      <c r="B22"/>
    </row>
    <row r="23" spans="1:2" ht="14.25" customHeight="1" x14ac:dyDescent="0.2">
      <c r="A23" s="459" t="s">
        <v>265</v>
      </c>
      <c r="B23" s="459"/>
    </row>
    <row r="24" spans="1:2" ht="18.600000000000001" customHeight="1" x14ac:dyDescent="0.2">
      <c r="A24" s="460" t="s">
        <v>269</v>
      </c>
      <c r="B24" s="460"/>
    </row>
    <row r="25" spans="1:2" ht="31.5" customHeight="1" x14ac:dyDescent="0.2">
      <c r="A25" s="458" t="s">
        <v>270</v>
      </c>
      <c r="B25" s="458"/>
    </row>
    <row r="26" spans="1:2" ht="37.5" customHeight="1" x14ac:dyDescent="0.2">
      <c r="A26" s="458" t="s">
        <v>271</v>
      </c>
      <c r="B26" s="458"/>
    </row>
    <row r="27" spans="1:2" x14ac:dyDescent="0.2">
      <c r="A27"/>
      <c r="B27"/>
    </row>
    <row r="28" spans="1:2" ht="14.25" customHeight="1" x14ac:dyDescent="0.2">
      <c r="A28" s="459" t="s">
        <v>272</v>
      </c>
      <c r="B28" s="459"/>
    </row>
    <row r="29" spans="1:2" ht="14.25" customHeight="1" x14ac:dyDescent="0.2">
      <c r="A29" s="460" t="s">
        <v>273</v>
      </c>
      <c r="B29" s="460"/>
    </row>
    <row r="30" spans="1:2" ht="16.5" customHeight="1" x14ac:dyDescent="0.2">
      <c r="A30" s="458" t="s">
        <v>274</v>
      </c>
      <c r="B30" s="458"/>
    </row>
    <row r="31" spans="1:2" x14ac:dyDescent="0.2">
      <c r="A31"/>
      <c r="B31"/>
    </row>
    <row r="32" spans="1:2" ht="14.25" customHeight="1" x14ac:dyDescent="0.2">
      <c r="A32" s="459" t="s">
        <v>275</v>
      </c>
      <c r="B32" s="459"/>
    </row>
    <row r="33" spans="1:2" ht="18.2" customHeight="1" x14ac:dyDescent="0.2">
      <c r="A33" s="460" t="s">
        <v>276</v>
      </c>
      <c r="B33" s="460"/>
    </row>
    <row r="34" spans="1:2" x14ac:dyDescent="0.2">
      <c r="A34" s="544" t="s">
        <v>277</v>
      </c>
      <c r="B34" s="114">
        <v>30.4375</v>
      </c>
    </row>
    <row r="35" spans="1:2" x14ac:dyDescent="0.2">
      <c r="A35" s="544" t="s">
        <v>278</v>
      </c>
      <c r="B35" s="114">
        <v>1</v>
      </c>
    </row>
    <row r="36" spans="1:2" x14ac:dyDescent="0.2">
      <c r="A36" s="544" t="s">
        <v>279</v>
      </c>
      <c r="B36" s="114">
        <v>3.4521000000000002</v>
      </c>
    </row>
    <row r="37" spans="1:2" x14ac:dyDescent="0.2">
      <c r="A37" s="544" t="s">
        <v>280</v>
      </c>
      <c r="B37" s="114">
        <v>0.3044</v>
      </c>
    </row>
    <row r="38" spans="1:2" x14ac:dyDescent="0.2">
      <c r="A38" s="544" t="s">
        <v>281</v>
      </c>
      <c r="B38" s="114">
        <v>4.2700000000000002E-2</v>
      </c>
    </row>
    <row r="39" spans="1:2" x14ac:dyDescent="0.2">
      <c r="A39" s="544" t="s">
        <v>282</v>
      </c>
      <c r="B39" s="114">
        <v>3.6999999999999998E-2</v>
      </c>
    </row>
    <row r="40" spans="1:2" x14ac:dyDescent="0.2">
      <c r="A40" s="544" t="s">
        <v>283</v>
      </c>
      <c r="B40" s="114">
        <v>0.02</v>
      </c>
    </row>
    <row r="41" spans="1:2" x14ac:dyDescent="0.2">
      <c r="A41" s="544" t="s">
        <v>284</v>
      </c>
      <c r="B41" s="114">
        <v>4.0000000000000001E-3</v>
      </c>
    </row>
    <row r="42" spans="1:2" x14ac:dyDescent="0.2">
      <c r="A42" s="544" t="s">
        <v>285</v>
      </c>
      <c r="B42" s="114">
        <v>1.4E-3</v>
      </c>
    </row>
    <row r="43" spans="1:2" x14ac:dyDescent="0.2">
      <c r="A43" s="544" t="s">
        <v>286</v>
      </c>
      <c r="B43" s="114">
        <v>4.8616000000000001</v>
      </c>
    </row>
    <row r="44" spans="1:2" x14ac:dyDescent="0.2">
      <c r="A44"/>
      <c r="B44"/>
    </row>
    <row r="45" spans="1:2" ht="14.25" customHeight="1" x14ac:dyDescent="0.2">
      <c r="A45" s="459" t="s">
        <v>287</v>
      </c>
      <c r="B45" s="459"/>
    </row>
    <row r="46" spans="1:2" ht="21.95" customHeight="1" x14ac:dyDescent="0.2">
      <c r="A46" s="460" t="s">
        <v>288</v>
      </c>
      <c r="B46" s="460"/>
    </row>
    <row r="47" spans="1:2" ht="25.5" x14ac:dyDescent="0.2">
      <c r="A47" s="4" t="s">
        <v>289</v>
      </c>
      <c r="B47" s="115">
        <v>0.95</v>
      </c>
    </row>
    <row r="48" spans="1:2" ht="25.5" x14ac:dyDescent="0.2">
      <c r="A48" s="4" t="s">
        <v>290</v>
      </c>
      <c r="B48" s="115">
        <v>1.4999999999999999E-2</v>
      </c>
    </row>
    <row r="49" spans="1:3" x14ac:dyDescent="0.2">
      <c r="A49"/>
      <c r="B49"/>
      <c r="C49"/>
    </row>
    <row r="50" spans="1:3" ht="14.25" customHeight="1" x14ac:dyDescent="0.2">
      <c r="A50" s="459" t="s">
        <v>291</v>
      </c>
      <c r="B50" s="459"/>
      <c r="C50"/>
    </row>
    <row r="51" spans="1:3" ht="19.149999999999999" customHeight="1" x14ac:dyDescent="0.2">
      <c r="A51" s="460" t="s">
        <v>292</v>
      </c>
      <c r="B51" s="460"/>
      <c r="C51"/>
    </row>
    <row r="52" spans="1:3" x14ac:dyDescent="0.2">
      <c r="A52" s="4" t="s">
        <v>293</v>
      </c>
      <c r="B52" s="3">
        <v>0.85450000000000004</v>
      </c>
      <c r="C52"/>
    </row>
    <row r="53" spans="1:3" x14ac:dyDescent="0.2">
      <c r="A53" s="4" t="s">
        <v>277</v>
      </c>
      <c r="B53" s="3">
        <v>30.4375</v>
      </c>
      <c r="C53" s="111">
        <v>20.64</v>
      </c>
    </row>
    <row r="54" spans="1:3" x14ac:dyDescent="0.2">
      <c r="A54"/>
      <c r="B54"/>
    </row>
    <row r="55" spans="1:3" ht="14.25" customHeight="1" x14ac:dyDescent="0.2">
      <c r="A55" s="459" t="s">
        <v>294</v>
      </c>
      <c r="B55" s="459"/>
    </row>
    <row r="56" spans="1:3" ht="25.5" x14ac:dyDescent="0.2">
      <c r="A56" s="4" t="s">
        <v>295</v>
      </c>
      <c r="B56" s="115">
        <v>0.05</v>
      </c>
    </row>
    <row r="57" spans="1:3" ht="25.5" x14ac:dyDescent="0.2">
      <c r="A57" s="4" t="s">
        <v>296</v>
      </c>
      <c r="B57" s="3">
        <v>3.2000000000000002E-3</v>
      </c>
    </row>
    <row r="58" spans="1:3" x14ac:dyDescent="0.2">
      <c r="A58"/>
      <c r="B58"/>
    </row>
    <row r="59" spans="1:3" ht="14.25" customHeight="1" x14ac:dyDescent="0.2">
      <c r="A59" s="459" t="s">
        <v>297</v>
      </c>
      <c r="B59" s="459"/>
    </row>
    <row r="60" spans="1:3" ht="38.25" customHeight="1" x14ac:dyDescent="0.2">
      <c r="A60" s="458" t="s">
        <v>298</v>
      </c>
      <c r="B60" s="458"/>
    </row>
    <row r="61" spans="1:3" ht="42" customHeight="1" x14ac:dyDescent="0.2">
      <c r="A61" s="458" t="s">
        <v>299</v>
      </c>
      <c r="B61" s="458"/>
    </row>
    <row r="62" spans="1:3" x14ac:dyDescent="0.2">
      <c r="A62"/>
      <c r="B62"/>
    </row>
    <row r="63" spans="1:3" ht="14.25" customHeight="1" x14ac:dyDescent="0.2">
      <c r="A63" s="459" t="s">
        <v>210</v>
      </c>
      <c r="B63" s="459"/>
    </row>
    <row r="64" spans="1:3" ht="133.5" customHeight="1" x14ac:dyDescent="0.2">
      <c r="A64" s="458" t="s">
        <v>300</v>
      </c>
      <c r="B64" s="458"/>
    </row>
  </sheetData>
  <mergeCells count="27">
    <mergeCell ref="A1:B1"/>
    <mergeCell ref="A3:B3"/>
    <mergeCell ref="A5:B5"/>
    <mergeCell ref="A12:B12"/>
    <mergeCell ref="A13:B13"/>
    <mergeCell ref="A9:B9"/>
    <mergeCell ref="A15:B15"/>
    <mergeCell ref="A19:B19"/>
    <mergeCell ref="A23:B23"/>
    <mergeCell ref="A24:B24"/>
    <mergeCell ref="A25:B25"/>
    <mergeCell ref="A26:B26"/>
    <mergeCell ref="A28:B28"/>
    <mergeCell ref="A29:B29"/>
    <mergeCell ref="A30:B30"/>
    <mergeCell ref="A32:B32"/>
    <mergeCell ref="A33:B33"/>
    <mergeCell ref="A45:B45"/>
    <mergeCell ref="A46:B46"/>
    <mergeCell ref="A50:B50"/>
    <mergeCell ref="A51:B51"/>
    <mergeCell ref="A64:B64"/>
    <mergeCell ref="A55:B55"/>
    <mergeCell ref="A59:B59"/>
    <mergeCell ref="A60:B60"/>
    <mergeCell ref="A61:B61"/>
    <mergeCell ref="A63:B63"/>
  </mergeCells>
  <printOptions horizontalCentered="1"/>
  <pageMargins left="0.39370078740157483" right="0.39370078740157483" top="0.59055118110236227" bottom="0.39370078740157483" header="0" footer="0"/>
  <pageSetup paperSize="9" firstPageNumber="0" fitToHeight="2" orientation="portrait" r:id="rId1"/>
  <rowBreaks count="1" manualBreakCount="1">
    <brk id="31" max="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  <pageSetUpPr fitToPage="1"/>
  </sheetPr>
  <dimension ref="A1:AMK54"/>
  <sheetViews>
    <sheetView view="pageBreakPreview" topLeftCell="A31" zoomScaleNormal="100" workbookViewId="0">
      <selection activeCell="G46" sqref="G46:H46"/>
    </sheetView>
  </sheetViews>
  <sheetFormatPr defaultRowHeight="14.25" x14ac:dyDescent="0.2"/>
  <cols>
    <col min="1" max="2" width="10.875" style="62"/>
    <col min="3" max="3" width="42.25" style="62"/>
    <col min="4" max="4" width="10.875" style="62"/>
    <col min="5" max="5" width="13.5" style="62"/>
    <col min="6" max="1025" width="10.875" style="62"/>
  </cols>
  <sheetData>
    <row r="1" spans="1:5" ht="96.75" customHeight="1" x14ac:dyDescent="0.2">
      <c r="A1" s="406" t="s">
        <v>301</v>
      </c>
      <c r="B1" s="406"/>
      <c r="C1" s="406"/>
      <c r="D1" s="406"/>
      <c r="E1" s="406"/>
    </row>
    <row r="2" spans="1:5" x14ac:dyDescent="0.2">
      <c r="A2"/>
      <c r="B2"/>
      <c r="C2"/>
      <c r="D2"/>
      <c r="E2"/>
    </row>
    <row r="3" spans="1:5" ht="17.45" customHeight="1" x14ac:dyDescent="0.2">
      <c r="A3" s="462" t="s">
        <v>302</v>
      </c>
      <c r="B3" s="462"/>
      <c r="C3" s="462"/>
      <c r="D3" s="462"/>
      <c r="E3" s="462"/>
    </row>
    <row r="4" spans="1:5" x14ac:dyDescent="0.2">
      <c r="A4"/>
      <c r="B4"/>
      <c r="C4"/>
      <c r="D4"/>
      <c r="E4"/>
    </row>
    <row r="5" spans="1:5" s="13" customFormat="1" ht="27.4" customHeight="1" x14ac:dyDescent="0.2">
      <c r="A5" s="462" t="s">
        <v>303</v>
      </c>
      <c r="B5" s="462"/>
      <c r="C5" s="462"/>
      <c r="D5" s="462"/>
      <c r="E5" s="462"/>
    </row>
    <row r="6" spans="1:5" ht="22.5" x14ac:dyDescent="0.2">
      <c r="A6" s="1" t="s">
        <v>304</v>
      </c>
      <c r="B6" s="1" t="s">
        <v>95</v>
      </c>
      <c r="C6" s="1" t="s">
        <v>96</v>
      </c>
      <c r="D6" s="1" t="s">
        <v>97</v>
      </c>
      <c r="E6" s="1" t="s">
        <v>305</v>
      </c>
    </row>
    <row r="7" spans="1:5" ht="22.5" x14ac:dyDescent="0.2">
      <c r="A7" s="545" t="s">
        <v>306</v>
      </c>
      <c r="B7" s="545">
        <v>43496</v>
      </c>
      <c r="C7" s="545" t="s">
        <v>307</v>
      </c>
      <c r="D7" s="545" t="s">
        <v>308</v>
      </c>
      <c r="E7" s="116"/>
    </row>
    <row r="8" spans="1:5" x14ac:dyDescent="0.2">
      <c r="A8"/>
      <c r="B8"/>
      <c r="C8"/>
      <c r="D8"/>
      <c r="E8"/>
    </row>
    <row r="9" spans="1:5" ht="14.25" customHeight="1" x14ac:dyDescent="0.2">
      <c r="A9" s="462" t="s">
        <v>309</v>
      </c>
      <c r="B9" s="462"/>
      <c r="C9" s="462"/>
      <c r="D9" s="462"/>
      <c r="E9" s="462"/>
    </row>
    <row r="10" spans="1:5" ht="19.149999999999999" customHeight="1" x14ac:dyDescent="0.2">
      <c r="A10" s="1" t="s">
        <v>304</v>
      </c>
      <c r="B10" s="1" t="s">
        <v>95</v>
      </c>
      <c r="C10" s="1" t="s">
        <v>96</v>
      </c>
      <c r="D10" s="1" t="s">
        <v>97</v>
      </c>
      <c r="E10" s="1" t="s">
        <v>305</v>
      </c>
    </row>
    <row r="11" spans="1:5" ht="22.5" x14ac:dyDescent="0.2">
      <c r="A11" s="545" t="s">
        <v>306</v>
      </c>
      <c r="B11" s="545">
        <v>43501</v>
      </c>
      <c r="C11" s="545" t="s">
        <v>310</v>
      </c>
      <c r="D11" s="545" t="s">
        <v>308</v>
      </c>
      <c r="E11" s="116"/>
    </row>
    <row r="12" spans="1:5" x14ac:dyDescent="0.2">
      <c r="A12"/>
      <c r="B12"/>
      <c r="C12"/>
      <c r="D12"/>
      <c r="E12"/>
    </row>
    <row r="13" spans="1:5" ht="25.7" customHeight="1" x14ac:dyDescent="0.2">
      <c r="A13" s="462" t="s">
        <v>311</v>
      </c>
      <c r="B13" s="462"/>
      <c r="C13" s="462"/>
      <c r="D13" s="462"/>
      <c r="E13" s="462"/>
    </row>
    <row r="14" spans="1:5" ht="22.5" x14ac:dyDescent="0.2">
      <c r="A14" s="1" t="s">
        <v>304</v>
      </c>
      <c r="B14" s="1" t="s">
        <v>95</v>
      </c>
      <c r="C14" s="1" t="s">
        <v>96</v>
      </c>
      <c r="D14" s="1" t="s">
        <v>97</v>
      </c>
      <c r="E14" s="1" t="s">
        <v>305</v>
      </c>
    </row>
    <row r="15" spans="1:5" ht="22.5" x14ac:dyDescent="0.2">
      <c r="A15" s="545" t="s">
        <v>306</v>
      </c>
      <c r="B15" s="545">
        <v>43496</v>
      </c>
      <c r="C15" s="545" t="s">
        <v>307</v>
      </c>
      <c r="D15" s="545" t="s">
        <v>308</v>
      </c>
      <c r="E15" s="116"/>
    </row>
    <row r="17" spans="1:5" ht="14.25" customHeight="1" x14ac:dyDescent="0.2">
      <c r="A17" s="462" t="s">
        <v>831</v>
      </c>
      <c r="B17" s="462"/>
      <c r="C17" s="462"/>
      <c r="D17" s="462"/>
      <c r="E17" s="462"/>
    </row>
    <row r="18" spans="1:5" ht="22.5" x14ac:dyDescent="0.2">
      <c r="A18" s="1" t="s">
        <v>304</v>
      </c>
      <c r="B18" s="1" t="s">
        <v>95</v>
      </c>
      <c r="C18" s="1" t="s">
        <v>96</v>
      </c>
      <c r="D18" s="1" t="s">
        <v>97</v>
      </c>
      <c r="E18" s="1" t="s">
        <v>305</v>
      </c>
    </row>
    <row r="19" spans="1:5" ht="22.5" x14ac:dyDescent="0.2">
      <c r="A19" s="545" t="s">
        <v>306</v>
      </c>
      <c r="B19" s="545">
        <v>43498</v>
      </c>
      <c r="C19" s="545" t="s">
        <v>312</v>
      </c>
      <c r="D19" s="545" t="s">
        <v>313</v>
      </c>
      <c r="E19" s="116"/>
    </row>
    <row r="20" spans="1:5" x14ac:dyDescent="0.2">
      <c r="A20"/>
      <c r="B20"/>
      <c r="C20"/>
      <c r="D20"/>
      <c r="E20"/>
    </row>
    <row r="21" spans="1:5" ht="14.25" customHeight="1" x14ac:dyDescent="0.2">
      <c r="A21" s="462" t="s">
        <v>830</v>
      </c>
      <c r="B21" s="462"/>
      <c r="C21" s="462"/>
      <c r="D21" s="462"/>
      <c r="E21" s="462"/>
    </row>
    <row r="22" spans="1:5" ht="22.5" x14ac:dyDescent="0.2">
      <c r="A22" s="1" t="s">
        <v>304</v>
      </c>
      <c r="B22" s="1" t="s">
        <v>95</v>
      </c>
      <c r="C22" s="1" t="s">
        <v>96</v>
      </c>
      <c r="D22" s="1" t="s">
        <v>97</v>
      </c>
      <c r="E22" s="1" t="s">
        <v>305</v>
      </c>
    </row>
    <row r="23" spans="1:5" ht="22.5" x14ac:dyDescent="0.2">
      <c r="A23" s="545" t="s">
        <v>306</v>
      </c>
      <c r="B23" s="545">
        <v>43498</v>
      </c>
      <c r="C23" s="545" t="s">
        <v>312</v>
      </c>
      <c r="D23" s="545" t="s">
        <v>313</v>
      </c>
      <c r="E23" s="116"/>
    </row>
    <row r="24" spans="1:5" x14ac:dyDescent="0.2">
      <c r="A24"/>
      <c r="B24"/>
      <c r="C24"/>
      <c r="D24"/>
      <c r="E24"/>
    </row>
    <row r="25" spans="1:5" ht="14.25" customHeight="1" x14ac:dyDescent="0.2">
      <c r="A25" s="463" t="s">
        <v>314</v>
      </c>
      <c r="B25" s="463"/>
      <c r="C25" s="463"/>
      <c r="D25" s="463"/>
      <c r="E25" s="463"/>
    </row>
    <row r="26" spans="1:5" ht="22.5" x14ac:dyDescent="0.2">
      <c r="A26" s="1" t="s">
        <v>304</v>
      </c>
      <c r="B26" s="1" t="s">
        <v>95</v>
      </c>
      <c r="C26" s="1" t="s">
        <v>96</v>
      </c>
      <c r="D26" s="1" t="s">
        <v>97</v>
      </c>
      <c r="E26" s="1" t="s">
        <v>305</v>
      </c>
    </row>
    <row r="27" spans="1:5" ht="22.5" x14ac:dyDescent="0.2">
      <c r="A27" s="545" t="s">
        <v>306</v>
      </c>
      <c r="B27" s="545">
        <v>43499</v>
      </c>
      <c r="C27" s="545" t="s">
        <v>315</v>
      </c>
      <c r="D27" s="545" t="s">
        <v>313</v>
      </c>
      <c r="E27" s="116"/>
    </row>
    <row r="28" spans="1:5" x14ac:dyDescent="0.2">
      <c r="A28"/>
      <c r="B28"/>
      <c r="C28"/>
      <c r="D28"/>
      <c r="E28"/>
    </row>
    <row r="29" spans="1:5" x14ac:dyDescent="0.2">
      <c r="A29"/>
      <c r="B29"/>
      <c r="C29"/>
      <c r="D29"/>
      <c r="E29"/>
    </row>
    <row r="30" spans="1:5" ht="23.45" customHeight="1" x14ac:dyDescent="0.2">
      <c r="A30" s="462" t="s">
        <v>316</v>
      </c>
      <c r="B30" s="462"/>
      <c r="C30" s="462"/>
      <c r="D30" s="462"/>
      <c r="E30" s="462"/>
    </row>
    <row r="31" spans="1:5" x14ac:dyDescent="0.2">
      <c r="A31"/>
      <c r="B31"/>
      <c r="C31"/>
      <c r="D31"/>
      <c r="E31"/>
    </row>
    <row r="32" spans="1:5" ht="35.25" customHeight="1" x14ac:dyDescent="0.2">
      <c r="A32" s="462" t="s">
        <v>317</v>
      </c>
      <c r="B32" s="462"/>
      <c r="C32" s="462"/>
      <c r="D32" s="462"/>
      <c r="E32" s="462"/>
    </row>
    <row r="33" spans="1:5" ht="22.5" x14ac:dyDescent="0.2">
      <c r="A33" s="1" t="s">
        <v>304</v>
      </c>
      <c r="B33" s="1" t="s">
        <v>95</v>
      </c>
      <c r="C33" s="1" t="s">
        <v>96</v>
      </c>
      <c r="D33" s="1" t="s">
        <v>97</v>
      </c>
      <c r="E33" s="1" t="s">
        <v>305</v>
      </c>
    </row>
    <row r="34" spans="1:5" ht="22.5" x14ac:dyDescent="0.2">
      <c r="A34" s="545" t="s">
        <v>306</v>
      </c>
      <c r="B34" s="545">
        <v>43472</v>
      </c>
      <c r="C34" s="545" t="s">
        <v>318</v>
      </c>
      <c r="D34" s="545" t="s">
        <v>308</v>
      </c>
      <c r="E34" s="116"/>
    </row>
    <row r="35" spans="1:5" x14ac:dyDescent="0.2">
      <c r="A35"/>
      <c r="B35"/>
      <c r="C35"/>
      <c r="D35"/>
      <c r="E35"/>
    </row>
    <row r="36" spans="1:5" ht="14.25" customHeight="1" x14ac:dyDescent="0.2">
      <c r="A36" s="462" t="s">
        <v>319</v>
      </c>
      <c r="B36" s="462"/>
      <c r="C36" s="462"/>
      <c r="D36" s="462"/>
      <c r="E36" s="462"/>
    </row>
    <row r="37" spans="1:5" ht="22.5" x14ac:dyDescent="0.2">
      <c r="A37" s="1" t="s">
        <v>304</v>
      </c>
      <c r="B37" s="1" t="s">
        <v>320</v>
      </c>
      <c r="C37" s="1" t="s">
        <v>96</v>
      </c>
      <c r="D37" s="1" t="s">
        <v>321</v>
      </c>
      <c r="E37" s="1" t="s">
        <v>305</v>
      </c>
    </row>
    <row r="38" spans="1:5" ht="22.5" x14ac:dyDescent="0.2">
      <c r="A38" s="545" t="s">
        <v>306</v>
      </c>
      <c r="B38" s="545">
        <v>43477</v>
      </c>
      <c r="C38" s="545" t="s">
        <v>322</v>
      </c>
      <c r="D38" s="545" t="s">
        <v>308</v>
      </c>
      <c r="E38" s="116"/>
    </row>
    <row r="39" spans="1:5" x14ac:dyDescent="0.2">
      <c r="A39"/>
      <c r="B39"/>
      <c r="C39"/>
      <c r="D39"/>
      <c r="E39"/>
    </row>
    <row r="40" spans="1:5" ht="14.25" customHeight="1" x14ac:dyDescent="0.2">
      <c r="A40" s="462" t="s">
        <v>323</v>
      </c>
      <c r="B40" s="462"/>
      <c r="C40" s="462"/>
      <c r="D40" s="462"/>
      <c r="E40" s="462"/>
    </row>
    <row r="41" spans="1:5" ht="22.5" x14ac:dyDescent="0.2">
      <c r="A41" s="1" t="s">
        <v>304</v>
      </c>
      <c r="B41" s="1" t="s">
        <v>320</v>
      </c>
      <c r="C41" s="1" t="s">
        <v>96</v>
      </c>
      <c r="D41" s="1" t="s">
        <v>321</v>
      </c>
      <c r="E41" s="1" t="s">
        <v>305</v>
      </c>
    </row>
    <row r="42" spans="1:5" ht="22.5" x14ac:dyDescent="0.2">
      <c r="A42" s="545" t="s">
        <v>306</v>
      </c>
      <c r="B42" s="545">
        <v>43472</v>
      </c>
      <c r="C42" s="545" t="s">
        <v>318</v>
      </c>
      <c r="D42" s="545" t="s">
        <v>308</v>
      </c>
      <c r="E42" s="116"/>
    </row>
    <row r="43" spans="1:5" x14ac:dyDescent="0.2">
      <c r="A43"/>
      <c r="B43"/>
      <c r="C43"/>
      <c r="D43"/>
      <c r="E43"/>
    </row>
    <row r="44" spans="1:5" ht="15.95" customHeight="1" x14ac:dyDescent="0.2">
      <c r="A44" s="462" t="s">
        <v>831</v>
      </c>
      <c r="B44" s="462"/>
      <c r="C44" s="462"/>
      <c r="D44" s="462"/>
      <c r="E44" s="462"/>
    </row>
    <row r="45" spans="1:5" ht="22.5" x14ac:dyDescent="0.2">
      <c r="A45" s="1" t="s">
        <v>304</v>
      </c>
      <c r="B45" s="1" t="s">
        <v>320</v>
      </c>
      <c r="C45" s="1" t="s">
        <v>96</v>
      </c>
      <c r="D45" s="1" t="s">
        <v>321</v>
      </c>
      <c r="E45" s="1" t="s">
        <v>305</v>
      </c>
    </row>
    <row r="46" spans="1:5" ht="22.5" x14ac:dyDescent="0.2">
      <c r="A46" s="545" t="s">
        <v>306</v>
      </c>
      <c r="B46" s="545">
        <v>43474</v>
      </c>
      <c r="C46" s="545" t="s">
        <v>324</v>
      </c>
      <c r="D46" s="545" t="s">
        <v>313</v>
      </c>
      <c r="E46" s="116"/>
    </row>
    <row r="47" spans="1:5" x14ac:dyDescent="0.2">
      <c r="A47"/>
      <c r="B47"/>
      <c r="C47"/>
      <c r="D47"/>
      <c r="E47"/>
    </row>
    <row r="48" spans="1:5" ht="17.45" customHeight="1" x14ac:dyDescent="0.2">
      <c r="A48" s="462" t="s">
        <v>830</v>
      </c>
      <c r="B48" s="462"/>
      <c r="C48" s="462"/>
      <c r="D48" s="462"/>
      <c r="E48" s="462"/>
    </row>
    <row r="49" spans="1:5" ht="22.5" x14ac:dyDescent="0.2">
      <c r="A49" s="1" t="s">
        <v>304</v>
      </c>
      <c r="B49" s="1" t="s">
        <v>320</v>
      </c>
      <c r="C49" s="1" t="s">
        <v>96</v>
      </c>
      <c r="D49" s="1" t="s">
        <v>321</v>
      </c>
      <c r="E49" s="1" t="s">
        <v>305</v>
      </c>
    </row>
    <row r="50" spans="1:5" ht="22.5" x14ac:dyDescent="0.2">
      <c r="A50" s="545" t="s">
        <v>306</v>
      </c>
      <c r="B50" s="545">
        <v>43474</v>
      </c>
      <c r="C50" s="545" t="s">
        <v>324</v>
      </c>
      <c r="D50" s="545" t="s">
        <v>313</v>
      </c>
      <c r="E50" s="116"/>
    </row>
    <row r="51" spans="1:5" x14ac:dyDescent="0.2">
      <c r="A51"/>
      <c r="B51"/>
      <c r="C51"/>
      <c r="D51"/>
      <c r="E51"/>
    </row>
    <row r="52" spans="1:5" ht="18.600000000000001" customHeight="1" x14ac:dyDescent="0.2">
      <c r="A52" s="462" t="s">
        <v>314</v>
      </c>
      <c r="B52" s="462"/>
      <c r="C52" s="462"/>
      <c r="D52" s="462"/>
      <c r="E52" s="462"/>
    </row>
    <row r="53" spans="1:5" ht="22.5" x14ac:dyDescent="0.2">
      <c r="A53" s="1" t="s">
        <v>304</v>
      </c>
      <c r="B53" s="1" t="s">
        <v>320</v>
      </c>
      <c r="C53" s="1" t="s">
        <v>96</v>
      </c>
      <c r="D53" s="1" t="s">
        <v>321</v>
      </c>
      <c r="E53" s="1" t="s">
        <v>305</v>
      </c>
    </row>
    <row r="54" spans="1:5" ht="22.5" x14ac:dyDescent="0.2">
      <c r="A54" s="545" t="s">
        <v>306</v>
      </c>
      <c r="B54" s="545">
        <v>43475</v>
      </c>
      <c r="C54" s="545" t="s">
        <v>325</v>
      </c>
      <c r="D54" s="545" t="s">
        <v>313</v>
      </c>
      <c r="E54" s="116"/>
    </row>
  </sheetData>
  <mergeCells count="15">
    <mergeCell ref="A1:E1"/>
    <mergeCell ref="A3:E3"/>
    <mergeCell ref="A5:E5"/>
    <mergeCell ref="A9:E9"/>
    <mergeCell ref="A13:E13"/>
    <mergeCell ref="A17:E17"/>
    <mergeCell ref="A21:E21"/>
    <mergeCell ref="A25:E25"/>
    <mergeCell ref="A30:E30"/>
    <mergeCell ref="A32:E32"/>
    <mergeCell ref="A36:E36"/>
    <mergeCell ref="A40:E40"/>
    <mergeCell ref="A44:E44"/>
    <mergeCell ref="A48:E48"/>
    <mergeCell ref="A52:E52"/>
  </mergeCells>
  <printOptions horizontalCentered="1"/>
  <pageMargins left="0.39370078740157483" right="0.39370078740157483" top="0.59055118110236227" bottom="0.39370078740157483" header="0" footer="0"/>
  <pageSetup paperSize="9" scale="71" firstPageNumber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39997558519241921"/>
  </sheetPr>
  <dimension ref="A1:ALW44"/>
  <sheetViews>
    <sheetView view="pageBreakPreview" zoomScaleNormal="100" zoomScaleSheetLayoutView="100" zoomScalePageLayoutView="85" workbookViewId="0">
      <selection activeCell="G10" sqref="G10"/>
    </sheetView>
  </sheetViews>
  <sheetFormatPr defaultRowHeight="14.25" x14ac:dyDescent="0.2"/>
  <cols>
    <col min="1" max="1" width="8.625" style="25"/>
    <col min="2" max="2" width="9.625" style="25" customWidth="1"/>
    <col min="3" max="3" width="24.75" style="62"/>
    <col min="4" max="4" width="19.5" style="25"/>
    <col min="5" max="5" width="24.25" style="25"/>
    <col min="6" max="6" width="10.875" style="25"/>
    <col min="7" max="7" width="12.75" style="25"/>
    <col min="8" max="8" width="13.125" style="25"/>
    <col min="9" max="9" width="12" style="25" bestFit="1" customWidth="1"/>
    <col min="10" max="10" width="14.375" style="25"/>
    <col min="11" max="13" width="36.5" style="25" customWidth="1"/>
    <col min="14" max="1011" width="10.875" style="25"/>
  </cols>
  <sheetData>
    <row r="1" spans="1:11" ht="75" customHeight="1" x14ac:dyDescent="0.2">
      <c r="A1" s="466" t="s">
        <v>839</v>
      </c>
      <c r="B1" s="467"/>
      <c r="C1" s="467"/>
      <c r="D1" s="467"/>
      <c r="E1" s="467"/>
      <c r="F1" s="467"/>
      <c r="G1" s="467"/>
      <c r="H1" s="467"/>
      <c r="I1" s="467"/>
      <c r="J1" s="467"/>
      <c r="K1"/>
    </row>
    <row r="2" spans="1:11" x14ac:dyDescent="0.2">
      <c r="A2"/>
      <c r="B2"/>
      <c r="C2" s="122"/>
      <c r="D2"/>
      <c r="E2"/>
      <c r="F2"/>
      <c r="G2"/>
      <c r="H2"/>
      <c r="I2"/>
      <c r="J2"/>
      <c r="K2"/>
    </row>
    <row r="3" spans="1:11" x14ac:dyDescent="0.2">
      <c r="A3"/>
      <c r="B3"/>
      <c r="C3"/>
      <c r="D3"/>
      <c r="E3"/>
      <c r="F3"/>
      <c r="G3"/>
      <c r="H3"/>
      <c r="I3"/>
      <c r="J3"/>
    </row>
    <row r="4" spans="1:11" x14ac:dyDescent="0.2">
      <c r="A4" s="464" t="s">
        <v>355</v>
      </c>
      <c r="B4" s="464"/>
      <c r="C4" s="464"/>
      <c r="D4" s="464"/>
      <c r="E4" s="464"/>
      <c r="F4" s="464"/>
      <c r="G4" s="464"/>
      <c r="H4" s="464"/>
      <c r="I4" s="464"/>
      <c r="J4" s="464"/>
    </row>
    <row r="5" spans="1:11" ht="22.5" x14ac:dyDescent="0.2">
      <c r="A5" s="12" t="s">
        <v>328</v>
      </c>
      <c r="B5" s="465" t="s">
        <v>350</v>
      </c>
      <c r="C5" s="465"/>
      <c r="D5" s="465"/>
      <c r="E5" s="12" t="s">
        <v>97</v>
      </c>
      <c r="F5" s="12" t="s">
        <v>356</v>
      </c>
      <c r="G5" s="12" t="s">
        <v>331</v>
      </c>
      <c r="H5" s="12" t="s">
        <v>357</v>
      </c>
      <c r="I5" s="12" t="s">
        <v>358</v>
      </c>
      <c r="J5" s="12" t="s">
        <v>359</v>
      </c>
    </row>
    <row r="6" spans="1:11" x14ac:dyDescent="0.2">
      <c r="A6" s="513" t="s">
        <v>360</v>
      </c>
      <c r="B6" s="546" t="s">
        <v>361</v>
      </c>
      <c r="C6" s="546"/>
      <c r="D6" s="546"/>
      <c r="E6" s="513" t="s">
        <v>354</v>
      </c>
      <c r="F6" s="547">
        <v>12</v>
      </c>
      <c r="G6" s="129"/>
      <c r="H6" s="550">
        <f>G6*F6</f>
        <v>0</v>
      </c>
      <c r="I6" s="551">
        <f>'V - BDI'!C18</f>
        <v>4.7120418848167533E-2</v>
      </c>
      <c r="J6" s="552">
        <f>H6*(I6+1)</f>
        <v>0</v>
      </c>
    </row>
    <row r="7" spans="1:11" x14ac:dyDescent="0.2">
      <c r="A7" s="513" t="s">
        <v>362</v>
      </c>
      <c r="B7" s="546" t="s">
        <v>363</v>
      </c>
      <c r="C7" s="546"/>
      <c r="D7" s="546"/>
      <c r="E7" s="513" t="s">
        <v>354</v>
      </c>
      <c r="F7" s="513">
        <v>3</v>
      </c>
      <c r="G7" s="129"/>
      <c r="H7" s="550">
        <f>G7*F7</f>
        <v>0</v>
      </c>
      <c r="I7" s="551">
        <f>'V - BDI'!C18</f>
        <v>4.7120418848167533E-2</v>
      </c>
      <c r="J7" s="552">
        <f>H7*(I7+1)</f>
        <v>0</v>
      </c>
    </row>
    <row r="8" spans="1:11" x14ac:dyDescent="0.2">
      <c r="A8" s="513" t="s">
        <v>364</v>
      </c>
      <c r="B8" s="546" t="s">
        <v>351</v>
      </c>
      <c r="C8" s="546"/>
      <c r="D8" s="546"/>
      <c r="E8" s="513" t="s">
        <v>345</v>
      </c>
      <c r="F8" s="548">
        <v>11.466666666666667</v>
      </c>
      <c r="G8" s="129"/>
      <c r="H8" s="550">
        <f>G8*F8</f>
        <v>0</v>
      </c>
      <c r="I8" s="551">
        <f>'V - BDI'!C18</f>
        <v>4.7120418848167533E-2</v>
      </c>
      <c r="J8" s="552">
        <f>H8*(I8+1)</f>
        <v>0</v>
      </c>
    </row>
    <row r="9" spans="1:11" x14ac:dyDescent="0.2">
      <c r="A9" s="513" t="s">
        <v>365</v>
      </c>
      <c r="B9" s="546" t="s">
        <v>366</v>
      </c>
      <c r="C9" s="546"/>
      <c r="D9" s="546"/>
      <c r="E9" s="513" t="s">
        <v>367</v>
      </c>
      <c r="F9" s="513">
        <v>1</v>
      </c>
      <c r="G9" s="350"/>
      <c r="H9" s="550">
        <f>G9*F9</f>
        <v>0</v>
      </c>
      <c r="I9" s="551">
        <f>'V - BDI'!C18</f>
        <v>4.7120418848167533E-2</v>
      </c>
      <c r="J9" s="552">
        <f>H9*(I9+1)</f>
        <v>0</v>
      </c>
    </row>
    <row r="10" spans="1:11" x14ac:dyDescent="0.2">
      <c r="A10" s="549" t="s">
        <v>840</v>
      </c>
      <c r="B10" s="546" t="str">
        <f>'II - Planilha Consolidada'!C26</f>
        <v>Sistema de Gerenciamento</v>
      </c>
      <c r="C10" s="546"/>
      <c r="D10" s="546"/>
      <c r="E10" s="513" t="s">
        <v>837</v>
      </c>
      <c r="F10" s="513">
        <v>1</v>
      </c>
      <c r="G10" s="350"/>
      <c r="H10" s="550">
        <f>G10*F10</f>
        <v>0</v>
      </c>
      <c r="I10" s="551">
        <f>'V - BDI'!C18</f>
        <v>4.7120418848167533E-2</v>
      </c>
      <c r="J10" s="552">
        <f>ROUND(H10*(I10+1),2)</f>
        <v>0</v>
      </c>
    </row>
    <row r="34" spans="11:11" x14ac:dyDescent="0.2">
      <c r="K34"/>
    </row>
    <row r="35" spans="11:11" x14ac:dyDescent="0.2">
      <c r="K35" s="25" t="s">
        <v>368</v>
      </c>
    </row>
    <row r="36" spans="11:11" x14ac:dyDescent="0.2">
      <c r="K36" s="25" t="s">
        <v>369</v>
      </c>
    </row>
    <row r="37" spans="11:11" x14ac:dyDescent="0.2">
      <c r="K37" s="25" t="s">
        <v>370</v>
      </c>
    </row>
    <row r="38" spans="11:11" x14ac:dyDescent="0.2">
      <c r="K38" s="25" t="s">
        <v>369</v>
      </c>
    </row>
    <row r="39" spans="11:11" x14ac:dyDescent="0.2">
      <c r="K39" s="25" t="s">
        <v>371</v>
      </c>
    </row>
    <row r="40" spans="11:11" x14ac:dyDescent="0.2">
      <c r="K40" s="25" t="s">
        <v>369</v>
      </c>
    </row>
    <row r="41" spans="11:11" x14ac:dyDescent="0.2">
      <c r="K41" s="25" t="s">
        <v>372</v>
      </c>
    </row>
    <row r="42" spans="11:11" x14ac:dyDescent="0.2">
      <c r="K42" s="25" t="s">
        <v>369</v>
      </c>
    </row>
    <row r="43" spans="11:11" x14ac:dyDescent="0.2">
      <c r="K43" s="25" t="s">
        <v>373</v>
      </c>
    </row>
    <row r="44" spans="11:11" x14ac:dyDescent="0.2">
      <c r="K44" s="25" t="s">
        <v>369</v>
      </c>
    </row>
  </sheetData>
  <mergeCells count="8">
    <mergeCell ref="B10:D10"/>
    <mergeCell ref="A1:J1"/>
    <mergeCell ref="B8:D8"/>
    <mergeCell ref="B9:D9"/>
    <mergeCell ref="A4:J4"/>
    <mergeCell ref="B5:D5"/>
    <mergeCell ref="B6:D6"/>
    <mergeCell ref="B7:D7"/>
  </mergeCells>
  <phoneticPr fontId="12" type="noConversion"/>
  <printOptions horizontalCentered="1"/>
  <pageMargins left="0.39370078740157483" right="0.39370078740157483" top="0.59055118110236227" bottom="0.39370078740157483" header="0" footer="0"/>
  <pageSetup paperSize="9" scale="51" firstPageNumber="0" fitToHeight="3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986AA-7EC5-485F-BD07-D6E85B9D53AB}">
  <sheetPr>
    <tabColor rgb="FFFF0000"/>
  </sheetPr>
  <dimension ref="B1:N36"/>
  <sheetViews>
    <sheetView topLeftCell="A17" workbookViewId="0">
      <selection activeCell="K80" sqref="K80"/>
    </sheetView>
  </sheetViews>
  <sheetFormatPr defaultRowHeight="14.25" x14ac:dyDescent="0.2"/>
  <cols>
    <col min="2" max="2" width="15.75" bestFit="1" customWidth="1"/>
    <col min="4" max="4" width="21.75" customWidth="1"/>
    <col min="5" max="5" width="20.25" customWidth="1"/>
    <col min="7" max="7" width="13.125" customWidth="1"/>
    <col min="8" max="8" width="15.625" customWidth="1"/>
    <col min="10" max="10" width="13.375" customWidth="1"/>
    <col min="11" max="11" width="12.875" customWidth="1"/>
    <col min="12" max="12" width="9.25" bestFit="1" customWidth="1"/>
    <col min="14" max="14" width="14.375" customWidth="1"/>
  </cols>
  <sheetData>
    <row r="1" spans="2:14" ht="15" x14ac:dyDescent="0.2">
      <c r="C1" s="472" t="s">
        <v>330</v>
      </c>
      <c r="D1" s="473"/>
      <c r="E1" s="473"/>
      <c r="F1" s="472" t="s">
        <v>374</v>
      </c>
      <c r="G1" s="473"/>
      <c r="H1" s="473"/>
      <c r="I1" s="473"/>
      <c r="J1" s="473"/>
      <c r="K1" s="473"/>
      <c r="L1" s="473"/>
      <c r="M1" s="473"/>
      <c r="N1" s="474"/>
    </row>
    <row r="2" spans="2:14" ht="45" x14ac:dyDescent="0.2">
      <c r="C2" s="323" t="s">
        <v>332</v>
      </c>
      <c r="D2" s="323" t="s">
        <v>375</v>
      </c>
      <c r="E2" s="323" t="s">
        <v>376</v>
      </c>
      <c r="F2" s="323" t="s">
        <v>377</v>
      </c>
      <c r="G2" s="323" t="s">
        <v>378</v>
      </c>
      <c r="H2" s="323" t="s">
        <v>337</v>
      </c>
      <c r="I2" s="323" t="s">
        <v>379</v>
      </c>
      <c r="J2" s="323" t="s">
        <v>326</v>
      </c>
      <c r="K2" s="323" t="s">
        <v>338</v>
      </c>
      <c r="L2" s="323" t="s">
        <v>380</v>
      </c>
      <c r="M2" s="323" t="s">
        <v>381</v>
      </c>
      <c r="N2" s="323" t="s">
        <v>382</v>
      </c>
    </row>
    <row r="3" spans="2:14" ht="15" x14ac:dyDescent="0.2">
      <c r="B3" s="468" t="s">
        <v>383</v>
      </c>
      <c r="C3" s="468">
        <v>1</v>
      </c>
      <c r="D3" s="324" t="s">
        <v>384</v>
      </c>
      <c r="E3" s="324" t="s">
        <v>385</v>
      </c>
      <c r="F3" s="325">
        <v>82.5</v>
      </c>
      <c r="G3" s="327">
        <f>1+4/60</f>
        <v>1.0666666666666667</v>
      </c>
      <c r="H3" s="328">
        <f>IF(OR("Terrestre"=L3,"aéreo"=L3,"Terrestre com Balsa"=L3),G3/8,G3/24)</f>
        <v>0.13333333333333333</v>
      </c>
      <c r="I3" s="329">
        <f>F3/G3</f>
        <v>77.34375</v>
      </c>
      <c r="J3" s="328" t="e">
        <f>SUM(#REF!)</f>
        <v>#REF!</v>
      </c>
      <c r="K3" s="328" t="e">
        <f>J3+H3</f>
        <v>#REF!</v>
      </c>
      <c r="L3" s="325" t="s">
        <v>386</v>
      </c>
      <c r="M3" s="325"/>
      <c r="N3" s="325" t="s">
        <v>387</v>
      </c>
    </row>
    <row r="4" spans="2:14" ht="15" x14ac:dyDescent="0.2">
      <c r="B4" s="469"/>
      <c r="C4" s="470"/>
      <c r="D4" s="324" t="str">
        <f>E3</f>
        <v>APS MIRACEMA</v>
      </c>
      <c r="E4" s="324" t="s">
        <v>384</v>
      </c>
      <c r="F4" s="325">
        <v>83.6</v>
      </c>
      <c r="G4" s="327">
        <f>1+7/60</f>
        <v>1.1166666666666667</v>
      </c>
      <c r="H4" s="328">
        <f t="shared" ref="H4" si="0">IF(OR("Terrestre"=L4,"aéreo"=L4,"Terrestre com Balsa"=L4),G4/8,G4/24)</f>
        <v>0.13958333333333334</v>
      </c>
      <c r="I4" s="329">
        <f t="shared" ref="I4" si="1">F4/G4</f>
        <v>74.865671641791039</v>
      </c>
      <c r="J4" s="328">
        <v>0</v>
      </c>
      <c r="K4" s="328">
        <f>J4+H4</f>
        <v>0.13958333333333334</v>
      </c>
      <c r="L4" s="325" t="s">
        <v>386</v>
      </c>
      <c r="M4" s="325"/>
      <c r="N4" s="325" t="s">
        <v>387</v>
      </c>
    </row>
    <row r="5" spans="2:14" ht="15" x14ac:dyDescent="0.2">
      <c r="B5" s="471" t="s">
        <v>388</v>
      </c>
      <c r="C5" s="471"/>
      <c r="D5" s="471"/>
      <c r="E5" s="471"/>
      <c r="F5" s="330">
        <f>SUM(F3:F4)</f>
        <v>166.1</v>
      </c>
      <c r="G5" s="331">
        <f>SUM(G3:G4)</f>
        <v>2.1833333333333336</v>
      </c>
      <c r="H5" s="332">
        <f>SUM(H3:H4)</f>
        <v>0.2729166666666667</v>
      </c>
      <c r="I5" s="333">
        <f>F5/G5</f>
        <v>76.07633587786259</v>
      </c>
      <c r="J5" s="332" t="e">
        <f>SUM(J3:J4)</f>
        <v>#REF!</v>
      </c>
      <c r="K5" s="332" t="e">
        <f>SUM(K3:K4)</f>
        <v>#REF!</v>
      </c>
      <c r="L5" s="334"/>
      <c r="M5" s="335">
        <f>SUM(M3:M4)</f>
        <v>0</v>
      </c>
      <c r="N5" s="334"/>
    </row>
    <row r="7" spans="2:14" ht="15" x14ac:dyDescent="0.2">
      <c r="C7" s="472" t="s">
        <v>330</v>
      </c>
      <c r="D7" s="473"/>
      <c r="E7" s="473"/>
      <c r="F7" s="472" t="s">
        <v>374</v>
      </c>
      <c r="G7" s="473"/>
      <c r="H7" s="473"/>
      <c r="I7" s="473"/>
      <c r="J7" s="473"/>
      <c r="K7" s="473"/>
      <c r="L7" s="473"/>
      <c r="M7" s="473"/>
      <c r="N7" s="474"/>
    </row>
    <row r="8" spans="2:14" ht="45" x14ac:dyDescent="0.2">
      <c r="C8" s="323" t="s">
        <v>332</v>
      </c>
      <c r="D8" s="323" t="s">
        <v>375</v>
      </c>
      <c r="E8" s="323" t="s">
        <v>376</v>
      </c>
      <c r="F8" s="323" t="s">
        <v>377</v>
      </c>
      <c r="G8" s="323" t="s">
        <v>378</v>
      </c>
      <c r="H8" s="323" t="s">
        <v>337</v>
      </c>
      <c r="I8" s="323" t="s">
        <v>379</v>
      </c>
      <c r="J8" s="323" t="s">
        <v>326</v>
      </c>
      <c r="K8" s="323" t="s">
        <v>338</v>
      </c>
      <c r="L8" s="323" t="s">
        <v>380</v>
      </c>
      <c r="M8" s="323" t="s">
        <v>381</v>
      </c>
      <c r="N8" s="323" t="s">
        <v>382</v>
      </c>
    </row>
    <row r="9" spans="2:14" ht="15" x14ac:dyDescent="0.2">
      <c r="B9" s="468" t="s">
        <v>389</v>
      </c>
      <c r="C9" s="468">
        <v>2</v>
      </c>
      <c r="D9" s="324" t="s">
        <v>384</v>
      </c>
      <c r="E9" s="324" t="s">
        <v>390</v>
      </c>
      <c r="F9" s="325">
        <v>68.5</v>
      </c>
      <c r="G9" s="327">
        <f>1+4/60</f>
        <v>1.0666666666666667</v>
      </c>
      <c r="H9" s="328">
        <f>IF(OR("Terrestre"=L9,"aéreo"=L9,"Terrestre com Balsa"=L9),G9/8,G9/24)</f>
        <v>0.13333333333333333</v>
      </c>
      <c r="I9" s="329">
        <f>F9/G9</f>
        <v>64.21875</v>
      </c>
      <c r="J9" s="328" t="e">
        <f>SUM(#REF!)</f>
        <v>#REF!</v>
      </c>
      <c r="K9" s="328" t="e">
        <f>J9+H9</f>
        <v>#REF!</v>
      </c>
      <c r="L9" s="325" t="s">
        <v>386</v>
      </c>
      <c r="M9" s="325"/>
      <c r="N9" s="325" t="s">
        <v>387</v>
      </c>
    </row>
    <row r="10" spans="2:14" ht="15" x14ac:dyDescent="0.2">
      <c r="B10" s="469"/>
      <c r="C10" s="470"/>
      <c r="D10" s="324" t="str">
        <f>E9</f>
        <v>APS PARAÍSO</v>
      </c>
      <c r="E10" s="324" t="s">
        <v>384</v>
      </c>
      <c r="F10" s="325">
        <v>69</v>
      </c>
      <c r="G10" s="327">
        <f>1+4/60</f>
        <v>1.0666666666666667</v>
      </c>
      <c r="H10" s="328">
        <f t="shared" ref="H10" si="2">IF(OR("Terrestre"=L10,"aéreo"=L10,"Terrestre com Balsa"=L10),G10/8,G10/24)</f>
        <v>0.13333333333333333</v>
      </c>
      <c r="I10" s="329">
        <f t="shared" ref="I10" si="3">F10/G10</f>
        <v>64.6875</v>
      </c>
      <c r="J10" s="328">
        <v>0</v>
      </c>
      <c r="K10" s="328">
        <f>J10+H10</f>
        <v>0.13333333333333333</v>
      </c>
      <c r="L10" s="325" t="s">
        <v>386</v>
      </c>
      <c r="M10" s="325"/>
      <c r="N10" s="325" t="s">
        <v>387</v>
      </c>
    </row>
    <row r="11" spans="2:14" ht="15" x14ac:dyDescent="0.2">
      <c r="B11" s="471" t="s">
        <v>388</v>
      </c>
      <c r="C11" s="471"/>
      <c r="D11" s="471"/>
      <c r="E11" s="471"/>
      <c r="F11" s="330">
        <f>SUM(F9:F10)</f>
        <v>137.5</v>
      </c>
      <c r="G11" s="331">
        <f>SUM(G9:G10)</f>
        <v>2.1333333333333333</v>
      </c>
      <c r="H11" s="332">
        <f>SUM(H9:H10)</f>
        <v>0.26666666666666666</v>
      </c>
      <c r="I11" s="333">
        <f>F11/G11</f>
        <v>64.453125</v>
      </c>
      <c r="J11" s="332" t="e">
        <f>SUM(J9:J10)</f>
        <v>#REF!</v>
      </c>
      <c r="K11" s="332" t="e">
        <f>SUM(K9:K10)</f>
        <v>#REF!</v>
      </c>
      <c r="L11" s="334"/>
      <c r="M11" s="335">
        <f>SUM(M9:M10)</f>
        <v>0</v>
      </c>
      <c r="N11" s="334"/>
    </row>
    <row r="13" spans="2:14" ht="15" x14ac:dyDescent="0.2">
      <c r="C13" s="472" t="s">
        <v>330</v>
      </c>
      <c r="D13" s="473"/>
      <c r="E13" s="473"/>
      <c r="F13" s="472" t="s">
        <v>374</v>
      </c>
      <c r="G13" s="473"/>
      <c r="H13" s="473"/>
      <c r="I13" s="473"/>
      <c r="J13" s="473"/>
      <c r="K13" s="473"/>
      <c r="L13" s="473"/>
      <c r="M13" s="473"/>
      <c r="N13" s="474"/>
    </row>
    <row r="14" spans="2:14" ht="45" x14ac:dyDescent="0.2">
      <c r="C14" s="323" t="s">
        <v>332</v>
      </c>
      <c r="D14" s="323" t="s">
        <v>375</v>
      </c>
      <c r="E14" s="323" t="s">
        <v>376</v>
      </c>
      <c r="F14" s="323" t="s">
        <v>377</v>
      </c>
      <c r="G14" s="323" t="s">
        <v>378</v>
      </c>
      <c r="H14" s="323" t="s">
        <v>337</v>
      </c>
      <c r="I14" s="323" t="s">
        <v>379</v>
      </c>
      <c r="J14" s="323" t="s">
        <v>326</v>
      </c>
      <c r="K14" s="323" t="s">
        <v>338</v>
      </c>
      <c r="L14" s="323" t="s">
        <v>380</v>
      </c>
      <c r="M14" s="323" t="s">
        <v>381</v>
      </c>
      <c r="N14" s="323" t="s">
        <v>382</v>
      </c>
    </row>
    <row r="15" spans="2:14" ht="15" x14ac:dyDescent="0.2">
      <c r="B15" s="468" t="s">
        <v>391</v>
      </c>
      <c r="C15" s="468">
        <v>3</v>
      </c>
      <c r="D15" s="324" t="s">
        <v>384</v>
      </c>
      <c r="E15" s="324" t="s">
        <v>392</v>
      </c>
      <c r="F15" s="325">
        <v>67.2</v>
      </c>
      <c r="G15" s="327">
        <f>1</f>
        <v>1</v>
      </c>
      <c r="H15" s="328">
        <f>IF(OR("Terrestre"=L15,"aéreo"=L15,"Terrestre com Balsa"=L15),G15/8,G15/24)</f>
        <v>0.125</v>
      </c>
      <c r="I15" s="329">
        <f>F15/G15</f>
        <v>67.2</v>
      </c>
      <c r="J15" s="328" t="e">
        <f>SUM(#REF!)</f>
        <v>#REF!</v>
      </c>
      <c r="K15" s="328" t="e">
        <f>J15+H15</f>
        <v>#REF!</v>
      </c>
      <c r="L15" s="325" t="s">
        <v>386</v>
      </c>
      <c r="M15" s="325"/>
      <c r="N15" s="325" t="s">
        <v>387</v>
      </c>
    </row>
    <row r="16" spans="2:14" ht="15" x14ac:dyDescent="0.2">
      <c r="B16" s="469"/>
      <c r="C16" s="470"/>
      <c r="D16" s="324" t="str">
        <f>E15</f>
        <v>APS PORTO NACIONAL</v>
      </c>
      <c r="E16" s="324" t="s">
        <v>384</v>
      </c>
      <c r="F16" s="325">
        <v>69.2</v>
      </c>
      <c r="G16" s="327">
        <f>1+1/60</f>
        <v>1.0166666666666666</v>
      </c>
      <c r="H16" s="328">
        <f t="shared" ref="H16" si="4">IF(OR("Terrestre"=L16,"aéreo"=L16,"Terrestre com Balsa"=L16),G16/8,G16/24)</f>
        <v>0.12708333333333333</v>
      </c>
      <c r="I16" s="329">
        <f t="shared" ref="I16" si="5">F16/G16</f>
        <v>68.06557377049181</v>
      </c>
      <c r="J16" s="328">
        <v>0</v>
      </c>
      <c r="K16" s="328">
        <f>J16+H16</f>
        <v>0.12708333333333333</v>
      </c>
      <c r="L16" s="325" t="s">
        <v>386</v>
      </c>
      <c r="M16" s="325"/>
      <c r="N16" s="325" t="s">
        <v>387</v>
      </c>
    </row>
    <row r="17" spans="2:14" ht="15" x14ac:dyDescent="0.2">
      <c r="B17" s="471" t="s">
        <v>388</v>
      </c>
      <c r="C17" s="471"/>
      <c r="D17" s="471"/>
      <c r="E17" s="471"/>
      <c r="F17" s="330">
        <f>SUM(F15:F16)</f>
        <v>136.4</v>
      </c>
      <c r="G17" s="331">
        <f>SUM(G15:G16)</f>
        <v>2.0166666666666666</v>
      </c>
      <c r="H17" s="332">
        <f>SUM(H15:H16)</f>
        <v>0.25208333333333333</v>
      </c>
      <c r="I17" s="333">
        <f>F17/G17</f>
        <v>67.63636363636364</v>
      </c>
      <c r="J17" s="332" t="e">
        <f>SUM(J15:J16)</f>
        <v>#REF!</v>
      </c>
      <c r="K17" s="332" t="e">
        <f>SUM(K15:K16)</f>
        <v>#REF!</v>
      </c>
      <c r="L17" s="334"/>
      <c r="M17" s="335">
        <f>SUM(M15:M16)</f>
        <v>0</v>
      </c>
      <c r="N17" s="334"/>
    </row>
    <row r="19" spans="2:14" ht="15" x14ac:dyDescent="0.2">
      <c r="C19" s="472" t="s">
        <v>330</v>
      </c>
      <c r="D19" s="473"/>
      <c r="E19" s="473"/>
      <c r="F19" s="472" t="s">
        <v>374</v>
      </c>
      <c r="G19" s="473"/>
      <c r="H19" s="473"/>
      <c r="I19" s="473"/>
      <c r="J19" s="473"/>
      <c r="K19" s="473"/>
      <c r="L19" s="473"/>
      <c r="M19" s="473"/>
      <c r="N19" s="474"/>
    </row>
    <row r="20" spans="2:14" ht="45" x14ac:dyDescent="0.2">
      <c r="C20" s="323" t="s">
        <v>332</v>
      </c>
      <c r="D20" s="323" t="s">
        <v>375</v>
      </c>
      <c r="E20" s="323" t="s">
        <v>376</v>
      </c>
      <c r="F20" s="323" t="s">
        <v>377</v>
      </c>
      <c r="G20" s="323" t="s">
        <v>378</v>
      </c>
      <c r="H20" s="323" t="s">
        <v>337</v>
      </c>
      <c r="I20" s="323" t="s">
        <v>379</v>
      </c>
      <c r="J20" s="323" t="s">
        <v>326</v>
      </c>
      <c r="K20" s="323" t="s">
        <v>338</v>
      </c>
      <c r="L20" s="323" t="s">
        <v>380</v>
      </c>
      <c r="M20" s="323" t="s">
        <v>381</v>
      </c>
      <c r="N20" s="323" t="s">
        <v>382</v>
      </c>
    </row>
    <row r="21" spans="2:14" ht="15" x14ac:dyDescent="0.2">
      <c r="B21" s="324" t="s">
        <v>393</v>
      </c>
      <c r="C21" s="470">
        <v>4</v>
      </c>
      <c r="D21" s="324" t="s">
        <v>384</v>
      </c>
      <c r="E21" s="324" t="s">
        <v>394</v>
      </c>
      <c r="F21" s="325">
        <v>420</v>
      </c>
      <c r="G21" s="327">
        <f>4+56/60</f>
        <v>4.9333333333333336</v>
      </c>
      <c r="H21" s="328">
        <f t="shared" ref="H21:H23" si="6">IF(OR("Terrestre"=L21,"aéreo"=L21,"Terrestre com Balsa"=L21),G21/8,G21/24)</f>
        <v>0.6166666666666667</v>
      </c>
      <c r="I21" s="329">
        <f t="shared" ref="I21:I23" si="7">F21/G21</f>
        <v>85.13513513513513</v>
      </c>
      <c r="J21" s="328" t="e">
        <f>SUM(#REF!)</f>
        <v>#REF!</v>
      </c>
      <c r="K21" s="328" t="e">
        <f t="shared" ref="K21:K23" si="8">J21+H21</f>
        <v>#REF!</v>
      </c>
      <c r="L21" s="325" t="s">
        <v>386</v>
      </c>
      <c r="M21" s="325"/>
      <c r="N21" s="325" t="s">
        <v>349</v>
      </c>
    </row>
    <row r="22" spans="2:14" ht="15" x14ac:dyDescent="0.2">
      <c r="B22" s="324" t="s">
        <v>395</v>
      </c>
      <c r="C22" s="470"/>
      <c r="D22" s="324" t="str">
        <f>E21</f>
        <v>APS ARRAIAS</v>
      </c>
      <c r="E22" s="324" t="s">
        <v>396</v>
      </c>
      <c r="F22" s="325">
        <v>226</v>
      </c>
      <c r="G22" s="327">
        <f>3+25/60</f>
        <v>3.4166666666666665</v>
      </c>
      <c r="H22" s="328">
        <f t="shared" si="6"/>
        <v>0.42708333333333331</v>
      </c>
      <c r="I22" s="329">
        <f t="shared" si="7"/>
        <v>66.146341463414643</v>
      </c>
      <c r="J22" s="328" t="e">
        <f>SUM(#REF!)</f>
        <v>#REF!</v>
      </c>
      <c r="K22" s="328" t="e">
        <f t="shared" si="8"/>
        <v>#REF!</v>
      </c>
      <c r="L22" s="325" t="s">
        <v>386</v>
      </c>
      <c r="M22" s="325"/>
      <c r="N22" s="325" t="s">
        <v>349</v>
      </c>
    </row>
    <row r="23" spans="2:14" ht="15" x14ac:dyDescent="0.2">
      <c r="B23" s="324"/>
      <c r="C23" s="469"/>
      <c r="D23" s="324" t="str">
        <f>E22</f>
        <v>APS DIANÓPOLIS</v>
      </c>
      <c r="E23" s="324" t="s">
        <v>384</v>
      </c>
      <c r="F23" s="325">
        <v>348</v>
      </c>
      <c r="G23" s="327">
        <f>4+13/60</f>
        <v>4.2166666666666668</v>
      </c>
      <c r="H23" s="328">
        <f t="shared" si="6"/>
        <v>0.52708333333333335</v>
      </c>
      <c r="I23" s="329">
        <f t="shared" si="7"/>
        <v>82.529644268774703</v>
      </c>
      <c r="J23" s="328">
        <v>0</v>
      </c>
      <c r="K23" s="328">
        <f t="shared" si="8"/>
        <v>0.52708333333333335</v>
      </c>
      <c r="L23" s="325" t="s">
        <v>386</v>
      </c>
      <c r="M23" s="325"/>
      <c r="N23" s="325" t="s">
        <v>349</v>
      </c>
    </row>
    <row r="24" spans="2:14" ht="15" x14ac:dyDescent="0.2">
      <c r="B24" s="471" t="s">
        <v>388</v>
      </c>
      <c r="C24" s="471"/>
      <c r="D24" s="471"/>
      <c r="E24" s="471"/>
      <c r="F24" s="330">
        <f>SUM(F21:F23)</f>
        <v>994</v>
      </c>
      <c r="G24" s="331">
        <f>SUM(G21:G23)</f>
        <v>12.566666666666666</v>
      </c>
      <c r="H24" s="332">
        <f>SUM(H21:H23)</f>
        <v>1.5708333333333333</v>
      </c>
      <c r="I24" s="333">
        <f>F24/G24</f>
        <v>79.098143236074279</v>
      </c>
      <c r="J24" s="332" t="e">
        <f>SUM(J21:J23)</f>
        <v>#REF!</v>
      </c>
      <c r="K24" s="332" t="e">
        <f>SUM(K21:K23)</f>
        <v>#REF!</v>
      </c>
      <c r="L24" s="334"/>
      <c r="M24" s="336">
        <f>SUM(M21:M23)</f>
        <v>0</v>
      </c>
      <c r="N24" s="334"/>
    </row>
    <row r="25" spans="2:14" ht="15" x14ac:dyDescent="0.2">
      <c r="B25" s="325" t="s">
        <v>397</v>
      </c>
      <c r="C25" s="475">
        <v>5</v>
      </c>
      <c r="D25" s="324" t="s">
        <v>398</v>
      </c>
      <c r="E25" s="324" t="s">
        <v>399</v>
      </c>
      <c r="F25" s="325">
        <v>196</v>
      </c>
      <c r="G25" s="327">
        <f>2+45/60</f>
        <v>2.75</v>
      </c>
      <c r="H25" s="328">
        <f t="shared" ref="H25:H32" si="9">IF(OR("Terrestre"=L25,"aéreo"=L25,"Terrestre com Balsa"=L25),G25/8,G25/24)</f>
        <v>0.34375</v>
      </c>
      <c r="I25" s="329">
        <f t="shared" ref="I25:I28" si="10">F25/G25</f>
        <v>71.272727272727266</v>
      </c>
      <c r="J25" s="328" t="e">
        <f>SUM(#REF!)</f>
        <v>#REF!</v>
      </c>
      <c r="K25" s="328" t="e">
        <f t="shared" ref="K25:K28" si="11">J25+H25</f>
        <v>#REF!</v>
      </c>
      <c r="L25" s="325" t="s">
        <v>386</v>
      </c>
      <c r="M25" s="325"/>
      <c r="N25" s="325" t="s">
        <v>349</v>
      </c>
    </row>
    <row r="26" spans="2:14" ht="15" x14ac:dyDescent="0.2">
      <c r="B26" s="325" t="s">
        <v>400</v>
      </c>
      <c r="C26" s="476"/>
      <c r="D26" s="324" t="str">
        <f>E25</f>
        <v>APS GUARAÍ</v>
      </c>
      <c r="E26" s="324" t="s">
        <v>401</v>
      </c>
      <c r="F26" s="325">
        <v>89.7</v>
      </c>
      <c r="G26" s="327">
        <f>1+15/60</f>
        <v>1.25</v>
      </c>
      <c r="H26" s="328">
        <f t="shared" si="9"/>
        <v>0.15625</v>
      </c>
      <c r="I26" s="329">
        <f t="shared" si="10"/>
        <v>71.760000000000005</v>
      </c>
      <c r="J26" s="328" t="e">
        <f>SUM(#REF!)</f>
        <v>#REF!</v>
      </c>
      <c r="K26" s="328" t="e">
        <f t="shared" si="11"/>
        <v>#REF!</v>
      </c>
      <c r="L26" s="325" t="s">
        <v>386</v>
      </c>
      <c r="M26" s="325"/>
      <c r="N26" s="325" t="s">
        <v>349</v>
      </c>
    </row>
    <row r="27" spans="2:14" ht="15" x14ac:dyDescent="0.2">
      <c r="B27" s="325" t="s">
        <v>402</v>
      </c>
      <c r="C27" s="476"/>
      <c r="D27" s="324" t="str">
        <f>E26</f>
        <v>APS COLINAS</v>
      </c>
      <c r="E27" s="324" t="s">
        <v>403</v>
      </c>
      <c r="F27" s="325">
        <v>109</v>
      </c>
      <c r="G27" s="327">
        <f>1+28/60</f>
        <v>1.4666666666666668</v>
      </c>
      <c r="H27" s="328">
        <f t="shared" si="9"/>
        <v>0.18333333333333335</v>
      </c>
      <c r="I27" s="329">
        <f t="shared" si="10"/>
        <v>74.318181818181813</v>
      </c>
      <c r="J27" s="328" t="e">
        <f>SUM(#REF!)</f>
        <v>#REF!</v>
      </c>
      <c r="K27" s="328" t="e">
        <f t="shared" si="11"/>
        <v>#REF!</v>
      </c>
      <c r="L27" s="325" t="s">
        <v>386</v>
      </c>
      <c r="M27" s="325"/>
      <c r="N27" s="325" t="s">
        <v>349</v>
      </c>
    </row>
    <row r="28" spans="2:14" ht="15" x14ac:dyDescent="0.2">
      <c r="B28" s="324"/>
      <c r="C28" s="477"/>
      <c r="D28" s="324" t="str">
        <f>E27</f>
        <v>APS ARAPOEMA</v>
      </c>
      <c r="E28" s="324" t="s">
        <v>398</v>
      </c>
      <c r="F28" s="325">
        <v>156</v>
      </c>
      <c r="G28" s="327">
        <f>2+14/60</f>
        <v>2.2333333333333334</v>
      </c>
      <c r="H28" s="328">
        <f t="shared" si="9"/>
        <v>0.27916666666666667</v>
      </c>
      <c r="I28" s="329">
        <f t="shared" si="10"/>
        <v>69.850746268656721</v>
      </c>
      <c r="J28" s="328">
        <v>0</v>
      </c>
      <c r="K28" s="328">
        <f t="shared" si="11"/>
        <v>0.27916666666666667</v>
      </c>
      <c r="L28" s="325" t="s">
        <v>386</v>
      </c>
      <c r="M28" s="325"/>
      <c r="N28" s="325"/>
    </row>
    <row r="29" spans="2:14" ht="15" x14ac:dyDescent="0.2">
      <c r="B29" s="471" t="s">
        <v>388</v>
      </c>
      <c r="C29" s="471"/>
      <c r="D29" s="471"/>
      <c r="E29" s="471"/>
      <c r="F29" s="330">
        <f>SUM(F25:F28)</f>
        <v>550.70000000000005</v>
      </c>
      <c r="G29" s="331">
        <f>SUM(G25:G28)</f>
        <v>7.7</v>
      </c>
      <c r="H29" s="332">
        <f>SUM(H25:H28)</f>
        <v>0.96250000000000002</v>
      </c>
      <c r="I29" s="333">
        <f>F29/G29</f>
        <v>71.519480519480524</v>
      </c>
      <c r="J29" s="332" t="e">
        <f>SUM(J25:J28)</f>
        <v>#REF!</v>
      </c>
      <c r="K29" s="332" t="e">
        <f>SUM(K25:K28)</f>
        <v>#REF!</v>
      </c>
      <c r="L29" s="334"/>
      <c r="M29" s="335">
        <f>SUM(M25:M28)</f>
        <v>0</v>
      </c>
      <c r="N29" s="334"/>
    </row>
    <row r="30" spans="2:14" ht="15" x14ac:dyDescent="0.2">
      <c r="B30" s="325" t="s">
        <v>404</v>
      </c>
      <c r="C30" s="475">
        <v>6</v>
      </c>
      <c r="D30" s="324" t="s">
        <v>398</v>
      </c>
      <c r="E30" s="324" t="s">
        <v>405</v>
      </c>
      <c r="F30" s="325">
        <v>236</v>
      </c>
      <c r="G30" s="327">
        <f>3+18/60</f>
        <v>3.3</v>
      </c>
      <c r="H30" s="328">
        <f t="shared" si="9"/>
        <v>0.41249999999999998</v>
      </c>
      <c r="I30" s="329">
        <f t="shared" ref="I30:I32" si="12">F30/G30</f>
        <v>71.515151515151516</v>
      </c>
      <c r="J30" s="328" t="e">
        <f>SUM(#REF!)</f>
        <v>#REF!</v>
      </c>
      <c r="K30" s="328" t="e">
        <f t="shared" ref="K30:K32" si="13">J30+H30</f>
        <v>#REF!</v>
      </c>
      <c r="L30" s="325" t="s">
        <v>386</v>
      </c>
      <c r="M30" s="325"/>
      <c r="N30" s="325" t="s">
        <v>349</v>
      </c>
    </row>
    <row r="31" spans="2:14" ht="15" x14ac:dyDescent="0.2">
      <c r="B31" s="325" t="s">
        <v>406</v>
      </c>
      <c r="C31" s="476"/>
      <c r="D31" s="324" t="str">
        <f>E30</f>
        <v>APS ARAGUATINS</v>
      </c>
      <c r="E31" s="324" t="s">
        <v>407</v>
      </c>
      <c r="F31" s="325">
        <v>151</v>
      </c>
      <c r="G31" s="327">
        <f>1+59/60</f>
        <v>1.9833333333333334</v>
      </c>
      <c r="H31" s="328">
        <f t="shared" si="9"/>
        <v>0.24791666666666667</v>
      </c>
      <c r="I31" s="329">
        <f t="shared" si="12"/>
        <v>76.134453781512605</v>
      </c>
      <c r="J31" s="328" t="e">
        <f>SUM(#REF!)</f>
        <v>#REF!</v>
      </c>
      <c r="K31" s="328" t="e">
        <f t="shared" si="13"/>
        <v>#REF!</v>
      </c>
      <c r="L31" s="325" t="s">
        <v>386</v>
      </c>
      <c r="M31" s="325"/>
      <c r="N31" s="325" t="s">
        <v>349</v>
      </c>
    </row>
    <row r="32" spans="2:14" ht="15" x14ac:dyDescent="0.2">
      <c r="B32" s="325"/>
      <c r="C32" s="477"/>
      <c r="D32" s="324" t="str">
        <f>E31</f>
        <v>APS TOCANTINÓPOLIS</v>
      </c>
      <c r="E32" s="324" t="s">
        <v>398</v>
      </c>
      <c r="F32" s="325">
        <v>149</v>
      </c>
      <c r="G32" s="327">
        <f>2+8/60</f>
        <v>2.1333333333333333</v>
      </c>
      <c r="H32" s="328">
        <f t="shared" si="9"/>
        <v>0.26666666666666666</v>
      </c>
      <c r="I32" s="329">
        <f t="shared" si="12"/>
        <v>69.84375</v>
      </c>
      <c r="J32" s="328">
        <v>0</v>
      </c>
      <c r="K32" s="328">
        <f t="shared" si="13"/>
        <v>0.26666666666666666</v>
      </c>
      <c r="L32" s="325" t="s">
        <v>386</v>
      </c>
      <c r="M32" s="325"/>
      <c r="N32" s="325"/>
    </row>
    <row r="33" spans="2:14" ht="15" x14ac:dyDescent="0.2">
      <c r="B33" s="471" t="s">
        <v>388</v>
      </c>
      <c r="C33" s="471"/>
      <c r="D33" s="471"/>
      <c r="E33" s="471"/>
      <c r="F33" s="330">
        <f>SUM(F30:F32)</f>
        <v>536</v>
      </c>
      <c r="G33" s="331">
        <f t="shared" ref="G33:H33" si="14">SUM(G30:G32)</f>
        <v>7.4166666666666661</v>
      </c>
      <c r="H33" s="332">
        <f t="shared" si="14"/>
        <v>0.92708333333333326</v>
      </c>
      <c r="I33" s="333">
        <f>F33/G33</f>
        <v>72.269662921348313</v>
      </c>
      <c r="J33" s="332" t="e">
        <f t="shared" ref="J33:K33" si="15">SUM(J30:J32)</f>
        <v>#REF!</v>
      </c>
      <c r="K33" s="332" t="e">
        <f t="shared" si="15"/>
        <v>#REF!</v>
      </c>
      <c r="L33" s="334"/>
      <c r="M33" s="335">
        <f>SUM(M30:M32)</f>
        <v>0</v>
      </c>
      <c r="N33" s="334"/>
    </row>
    <row r="34" spans="2:14" ht="15" x14ac:dyDescent="0.2">
      <c r="B34" s="324" t="s">
        <v>408</v>
      </c>
      <c r="C34" s="470">
        <v>7</v>
      </c>
      <c r="D34" s="324" t="s">
        <v>384</v>
      </c>
      <c r="E34" s="324" t="s">
        <v>409</v>
      </c>
      <c r="F34" s="325">
        <v>221</v>
      </c>
      <c r="G34" s="327">
        <f>2+59/60</f>
        <v>2.9833333333333334</v>
      </c>
      <c r="H34" s="328">
        <f t="shared" ref="H34:H35" si="16">IF(OR("Terrestre"=L34,"aéreo"=L34,"Terrestre com Balsa"=L34),G34/8,G34/24)</f>
        <v>0.37291666666666667</v>
      </c>
      <c r="I34" s="329">
        <f t="shared" ref="I34:I35" si="17">F34/G34</f>
        <v>74.07821229050279</v>
      </c>
      <c r="J34" s="328" t="e">
        <f>SUM(#REF!)</f>
        <v>#REF!</v>
      </c>
      <c r="K34" s="328" t="e">
        <f t="shared" ref="K34:K35" si="18">J34+H34</f>
        <v>#REF!</v>
      </c>
      <c r="L34" s="325" t="s">
        <v>386</v>
      </c>
      <c r="M34" s="326">
        <v>8</v>
      </c>
      <c r="N34" s="325" t="s">
        <v>349</v>
      </c>
    </row>
    <row r="35" spans="2:14" ht="15" x14ac:dyDescent="0.2">
      <c r="B35" s="324" t="s">
        <v>393</v>
      </c>
      <c r="C35" s="470"/>
      <c r="D35" s="324" t="str">
        <f>E34</f>
        <v>APS GURUPI</v>
      </c>
      <c r="E35" s="324" t="s">
        <v>384</v>
      </c>
      <c r="F35" s="325">
        <v>222</v>
      </c>
      <c r="G35" s="327">
        <f>3+5/60</f>
        <v>3.0833333333333335</v>
      </c>
      <c r="H35" s="328">
        <f t="shared" si="16"/>
        <v>0.38541666666666669</v>
      </c>
      <c r="I35" s="329">
        <f t="shared" si="17"/>
        <v>72</v>
      </c>
      <c r="J35" s="328">
        <v>0</v>
      </c>
      <c r="K35" s="328">
        <f t="shared" si="18"/>
        <v>0.38541666666666669</v>
      </c>
      <c r="L35" s="325" t="s">
        <v>386</v>
      </c>
      <c r="M35" s="325"/>
      <c r="N35" s="325" t="s">
        <v>349</v>
      </c>
    </row>
    <row r="36" spans="2:14" ht="15" x14ac:dyDescent="0.2">
      <c r="B36" s="471" t="s">
        <v>388</v>
      </c>
      <c r="C36" s="471"/>
      <c r="D36" s="471"/>
      <c r="E36" s="471"/>
      <c r="F36" s="330">
        <f>SUM(F34:F35)</f>
        <v>443</v>
      </c>
      <c r="G36" s="331">
        <f>SUM(G34:G35)</f>
        <v>6.0666666666666664</v>
      </c>
      <c r="H36" s="332">
        <f>SUM(H34:H35)</f>
        <v>0.7583333333333333</v>
      </c>
      <c r="I36" s="333">
        <f>F36/G36</f>
        <v>73.021978021978029</v>
      </c>
      <c r="J36" s="332" t="e">
        <f>SUM(J34:J35)</f>
        <v>#REF!</v>
      </c>
      <c r="K36" s="332" t="e">
        <f>SUM(K34:K35)</f>
        <v>#REF!</v>
      </c>
      <c r="L36" s="334"/>
      <c r="M36" s="336">
        <f>SUM(M34:M35)</f>
        <v>8</v>
      </c>
      <c r="N36" s="334"/>
    </row>
  </sheetData>
  <mergeCells count="25">
    <mergeCell ref="B36:E36"/>
    <mergeCell ref="B24:E24"/>
    <mergeCell ref="C25:C28"/>
    <mergeCell ref="C30:C32"/>
    <mergeCell ref="B33:E33"/>
    <mergeCell ref="C34:C35"/>
    <mergeCell ref="B29:E29"/>
    <mergeCell ref="C19:E19"/>
    <mergeCell ref="F19:N19"/>
    <mergeCell ref="C21:C23"/>
    <mergeCell ref="C13:E13"/>
    <mergeCell ref="F13:N13"/>
    <mergeCell ref="B15:B16"/>
    <mergeCell ref="C15:C16"/>
    <mergeCell ref="B17:E17"/>
    <mergeCell ref="C1:E1"/>
    <mergeCell ref="F1:N1"/>
    <mergeCell ref="B3:B4"/>
    <mergeCell ref="C3:C4"/>
    <mergeCell ref="B5:E5"/>
    <mergeCell ref="C7:E7"/>
    <mergeCell ref="F7:N7"/>
    <mergeCell ref="B9:B10"/>
    <mergeCell ref="C9:C10"/>
    <mergeCell ref="B11:E11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c1d20c7-c41c-4f96-83d3-d97c3c4339c4" xsi:nil="true"/>
    <lcf76f155ced4ddcb4097134ff3c332f xmlns="4ebcde11-4a9e-423a-9d88-69bed67db18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CBCBC00BE725B408C196D063545436B" ma:contentTypeVersion="14" ma:contentTypeDescription="Crie um novo documento." ma:contentTypeScope="" ma:versionID="9f692f23515c6da9122f149022479697">
  <xsd:schema xmlns:xsd="http://www.w3.org/2001/XMLSchema" xmlns:xs="http://www.w3.org/2001/XMLSchema" xmlns:p="http://schemas.microsoft.com/office/2006/metadata/properties" xmlns:ns2="4ebcde11-4a9e-423a-9d88-69bed67db18b" xmlns:ns3="dc1d20c7-c41c-4f96-83d3-d97c3c4339c4" targetNamespace="http://schemas.microsoft.com/office/2006/metadata/properties" ma:root="true" ma:fieldsID="e93e98c993945904bb24a07c088335b2" ns2:_="" ns3:_="">
    <xsd:import namespace="4ebcde11-4a9e-423a-9d88-69bed67db18b"/>
    <xsd:import namespace="dc1d20c7-c41c-4f96-83d3-d97c3c4339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bcde11-4a9e-423a-9d88-69bed67db1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7d2b257a-edbe-488f-835c-3573813fd5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1d20c7-c41c-4f96-83d3-d97c3c4339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696b778-463f-45e5-bf83-7cf851063c74}" ma:internalName="TaxCatchAll" ma:showField="CatchAllData" ma:web="dc1d20c7-c41c-4f96-83d3-d97c3c4339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48DB83-2215-48F5-8393-A9E8C23A1C03}">
  <ds:schemaRefs>
    <ds:schemaRef ds:uri="http://schemas.microsoft.com/office/2006/metadata/properties"/>
    <ds:schemaRef ds:uri="dc1d20c7-c41c-4f96-83d3-d97c3c4339c4"/>
    <ds:schemaRef ds:uri="http://www.w3.org/XML/1998/namespace"/>
    <ds:schemaRef ds:uri="http://purl.org/dc/terms/"/>
    <ds:schemaRef ds:uri="http://schemas.openxmlformats.org/package/2006/metadata/core-properties"/>
    <ds:schemaRef ds:uri="4ebcde11-4a9e-423a-9d88-69bed67db18b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D623E4E-6D7E-45F0-96D6-7ED435C11B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4BDC9B-91D3-435E-B46B-9DC022F9C4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bcde11-4a9e-423a-9d88-69bed67db18b"/>
    <ds:schemaRef ds:uri="dc1d20c7-c41c-4f96-83d3-d97c3c4339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8</vt:i4>
      </vt:variant>
    </vt:vector>
  </HeadingPairs>
  <TitlesOfParts>
    <vt:vector size="21" baseType="lpstr">
      <vt:lpstr>Orientações</vt:lpstr>
      <vt:lpstr>II - Planilha Consolidada</vt:lpstr>
      <vt:lpstr>III - Parcela Fixa</vt:lpstr>
      <vt:lpstr>III-A - Mão de Obra (CCT)</vt:lpstr>
      <vt:lpstr>CCT E VT</vt:lpstr>
      <vt:lpstr>III-A.1 - Memorial de Cálculo</vt:lpstr>
      <vt:lpstr>III-A.2 - Uniforme, EPI e Equip</vt:lpstr>
      <vt:lpstr>III-C - Desloc, Pern e Sistema</vt:lpstr>
      <vt:lpstr>Rotas</vt:lpstr>
      <vt:lpstr>III-C1-Ajuste Deslocamento</vt:lpstr>
      <vt:lpstr>III-E - Materiais de Consumo</vt:lpstr>
      <vt:lpstr>V - BDI</vt:lpstr>
      <vt:lpstr>V-A - ISS</vt:lpstr>
      <vt:lpstr>'CCT E VT'!Area_de_impressao</vt:lpstr>
      <vt:lpstr>'II - Planilha Consolidada'!Area_de_impressao</vt:lpstr>
      <vt:lpstr>'III - Parcela Fixa'!Area_de_impressao</vt:lpstr>
      <vt:lpstr>'III-A - Mão de Obra (CCT)'!Area_de_impressao</vt:lpstr>
      <vt:lpstr>'III-A.1 - Memorial de Cálculo'!Area_de_impressao</vt:lpstr>
      <vt:lpstr>'III-C - Desloc, Pern e Sistema'!Area_de_impressao</vt:lpstr>
      <vt:lpstr>'III-E - Materiais de Consumo'!Area_de_impressao</vt:lpstr>
      <vt:lpstr>'V-A - ISS'!Area_de_impressao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thiago Martins D`Albuquerque</dc:creator>
  <cp:keywords/>
  <dc:description/>
  <cp:lastModifiedBy>ANDRE HENRIQUE KREIN LEITE</cp:lastModifiedBy>
  <cp:revision>127</cp:revision>
  <cp:lastPrinted>2023-09-29T14:19:31Z</cp:lastPrinted>
  <dcterms:created xsi:type="dcterms:W3CDTF">2021-07-21T17:15:42Z</dcterms:created>
  <dcterms:modified xsi:type="dcterms:W3CDTF">2023-09-29T18:26:11Z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0x010100ECBCBC00BE725B408C196D063545436B</vt:lpwstr>
  </property>
  <property fmtid="{D5CDD505-2E9C-101B-9397-08002B2CF9AE}" pid="9" name="MediaServiceImageTags">
    <vt:lpwstr/>
  </property>
</Properties>
</file>