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03"/>
  <workbookPr/>
  <mc:AlternateContent xmlns:mc="http://schemas.openxmlformats.org/markup-compatibility/2006">
    <mc:Choice Requires="x15">
      <x15ac:absPath xmlns:x15ac="http://schemas.microsoft.com/office/spreadsheetml/2010/11/ac" url="Z:\SR20_SR20A\A2\Serviços Gerais\Pregão\Serviços Continuados\Limpeza\"/>
    </mc:Choice>
  </mc:AlternateContent>
  <xr:revisionPtr revIDLastSave="0" documentId="8_{DCD6E440-365C-4B32-A971-6911FD5B14A2}" xr6:coauthVersionLast="47" xr6:coauthVersionMax="47" xr10:uidLastSave="{00000000-0000-0000-0000-000000000000}"/>
  <bookViews>
    <workbookView xWindow="0" yWindow="0" windowWidth="24000" windowHeight="9600" tabRatio="500" firstSheet="6" activeTab="6" xr2:uid="{00000000-000D-0000-FFFF-FFFF00000000}"/>
  </bookViews>
  <sheets>
    <sheet name="Geral" sheetId="1" r:id="rId1"/>
    <sheet name="ASG 20%" sheetId="6" r:id="rId2"/>
    <sheet name="ASG 40%" sheetId="7" r:id="rId3"/>
    <sheet name="Recepcionista 40h" sheetId="2" r:id="rId4"/>
    <sheet name="Uniformes" sheetId="3" r:id="rId5"/>
    <sheet name="Resumo Preço m²" sheetId="8" r:id="rId6"/>
    <sheet name="RESUMO" sheetId="4" r:id="rId7"/>
  </sheets>
  <definedNames>
    <definedName name="_xlnm.Print_Area" localSheetId="1">'ASG 20%'!$B$7:$F$161</definedName>
    <definedName name="_xlnm.Print_Area" localSheetId="2">'ASG 40%'!$B$7:$F$161</definedName>
    <definedName name="_xlnm.Print_Area" localSheetId="3">'Recepcionista 40h'!$B$7:$F$161</definedName>
    <definedName name="Excel_BuiltIn_Print_Area_1" localSheetId="1">#REF!</definedName>
    <definedName name="Excel_BuiltIn_Print_Area_1" localSheetId="2">#REF!</definedName>
    <definedName name="Excel_BuiltIn_Print_Area_1" localSheetId="3">#REF!</definedName>
    <definedName name="Excel_BuiltIn_Print_Area_1">#REF!</definedName>
    <definedName name="Excel_BuiltIn_Print_Area_2" localSheetId="1">#REF!</definedName>
    <definedName name="Excel_BuiltIn_Print_Area_2" localSheetId="2">#REF!</definedName>
    <definedName name="Excel_BuiltIn_Print_Area_2" localSheetId="3">#REF!</definedName>
    <definedName name="Excel_BuiltIn_Print_Area_2">#REF!</definedName>
    <definedName name="Print_Area_0" localSheetId="1">'ASG 20%'!$B$7:$F$161</definedName>
    <definedName name="Print_Area_0" localSheetId="2">'ASG 40%'!$B$7:$F$161</definedName>
    <definedName name="Print_Area_0" localSheetId="3">'Recepcionista 40h'!$B$7:$F$161</definedName>
    <definedName name="Print_Area_0_0" localSheetId="1">'ASG 20%'!$B$7:$F$161</definedName>
    <definedName name="Print_Area_0_0" localSheetId="2">'ASG 40%'!$B$7:$F$161</definedName>
    <definedName name="Print_Area_0_0" localSheetId="3">'Recepcionista 40h'!$B$7:$F$161</definedName>
    <definedName name="Print_Area_0_0_0" localSheetId="1">'ASG 20%'!$B$7:$F$161</definedName>
    <definedName name="Print_Area_0_0_0" localSheetId="2">'ASG 40%'!$B$7:$F$161</definedName>
    <definedName name="Print_Area_0_0_0" localSheetId="3">'Recepcionista 40h'!$B$7:$F$161</definedName>
    <definedName name="Print_Area_0_0_0_0" localSheetId="1">'ASG 20%'!$B$7:$F$161</definedName>
    <definedName name="Print_Area_0_0_0_0" localSheetId="2">'ASG 40%'!$B$7:$F$161</definedName>
    <definedName name="Print_Area_0_0_0_0" localSheetId="3">'Recepcionista 40h'!$B$7:$F$161</definedName>
    <definedName name="Print_Area_0_0_0_0_0" localSheetId="1">'ASG 20%'!$B$7:$F$161</definedName>
    <definedName name="Print_Area_0_0_0_0_0" localSheetId="2">'ASG 40%'!$B$7:$F$161</definedName>
    <definedName name="Print_Area_0_0_0_0_0" localSheetId="3">'Recepcionista 40h'!$B$7:$F$161</definedName>
    <definedName name="Print_Area_0_0_0_0_0_0" localSheetId="1">'ASG 20%'!$B$7:$F$161</definedName>
    <definedName name="Print_Area_0_0_0_0_0_0" localSheetId="2">'ASG 40%'!$B$7:$F$161</definedName>
    <definedName name="Print_Area_0_0_0_0_0_0" localSheetId="3">'Recepcionista 40h'!$B$7:$F$161</definedName>
    <definedName name="Teste" localSheetId="1">#REF!</definedName>
    <definedName name="Teste" localSheetId="2">#REF!</definedName>
    <definedName name="Teste" localSheetId="3">#REF!</definedName>
    <definedName name="Test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5" i="4" l="1"/>
  <c r="G4" i="4"/>
  <c r="J67" i="8"/>
  <c r="D114" i="2"/>
  <c r="D114" i="6"/>
  <c r="C79" i="8"/>
  <c r="C81" i="8"/>
  <c r="J66" i="8"/>
  <c r="J65" i="8"/>
  <c r="J64" i="8"/>
  <c r="D19" i="3"/>
  <c r="D18" i="3"/>
  <c r="D17" i="3"/>
  <c r="D16" i="3"/>
  <c r="D15" i="3"/>
  <c r="D14" i="3"/>
  <c r="D20" i="3" s="1"/>
  <c r="E20" i="3" s="1"/>
  <c r="C4" i="4"/>
  <c r="D78" i="8"/>
  <c r="F81" i="8"/>
  <c r="F79" i="8"/>
  <c r="C78" i="8"/>
  <c r="F77" i="8"/>
  <c r="F75" i="8"/>
  <c r="D76" i="8"/>
  <c r="C76" i="8" s="1"/>
  <c r="F73" i="8"/>
  <c r="D74" i="8"/>
  <c r="C74" i="8" s="1"/>
  <c r="D77" i="8"/>
  <c r="C77" i="8" s="1"/>
  <c r="F59" i="8"/>
  <c r="D75" i="8"/>
  <c r="D73" i="8"/>
  <c r="D72" i="8"/>
  <c r="D71" i="8"/>
  <c r="D70" i="8"/>
  <c r="D69" i="8"/>
  <c r="D68" i="8"/>
  <c r="D67" i="8"/>
  <c r="D66" i="8"/>
  <c r="D65" i="8"/>
  <c r="D64" i="8"/>
  <c r="C69" i="8"/>
  <c r="F68" i="8"/>
  <c r="F64" i="8"/>
  <c r="F65" i="8"/>
  <c r="C65" i="8"/>
  <c r="C66" i="8"/>
  <c r="C67" i="8"/>
  <c r="C68" i="8"/>
  <c r="C70" i="8"/>
  <c r="C71" i="8"/>
  <c r="C72" i="8"/>
  <c r="C73" i="8"/>
  <c r="C75" i="8"/>
  <c r="C64" i="8"/>
  <c r="F53" i="8"/>
  <c r="F47" i="8"/>
  <c r="D21" i="7"/>
  <c r="D124" i="7"/>
  <c r="D104" i="7"/>
  <c r="D109" i="7" s="1"/>
  <c r="D58" i="7"/>
  <c r="D56" i="7"/>
  <c r="D50" i="7"/>
  <c r="D19" i="7"/>
  <c r="D26" i="7" s="1"/>
  <c r="D10" i="7"/>
  <c r="D55" i="7" s="1"/>
  <c r="D62" i="7" s="1"/>
  <c r="D71" i="7" s="1"/>
  <c r="D21" i="6"/>
  <c r="D19" i="6"/>
  <c r="D124" i="6"/>
  <c r="D104" i="6"/>
  <c r="D109" i="6" s="1"/>
  <c r="D58" i="6"/>
  <c r="D56" i="6"/>
  <c r="D50" i="6"/>
  <c r="D26" i="6"/>
  <c r="D10" i="6"/>
  <c r="D55" i="6" s="1"/>
  <c r="D62" i="6" s="1"/>
  <c r="D71" i="6" s="1"/>
  <c r="C5" i="4"/>
  <c r="D9" i="3"/>
  <c r="D58" i="2"/>
  <c r="D56" i="2"/>
  <c r="D19" i="2"/>
  <c r="D10" i="2"/>
  <c r="D6" i="3"/>
  <c r="D8" i="3"/>
  <c r="D7" i="3"/>
  <c r="D124" i="2"/>
  <c r="D104" i="2"/>
  <c r="D109" i="2" s="1"/>
  <c r="D50" i="2"/>
  <c r="D26" i="2"/>
  <c r="D133" i="7" l="1"/>
  <c r="D33" i="7"/>
  <c r="D31" i="7"/>
  <c r="D34" i="7" s="1"/>
  <c r="D133" i="6"/>
  <c r="D33" i="6"/>
  <c r="D31" i="6"/>
  <c r="D34" i="6" s="1"/>
  <c r="D55" i="2"/>
  <c r="D33" i="2"/>
  <c r="D31" i="2"/>
  <c r="D34" i="2" s="1"/>
  <c r="D10" i="3"/>
  <c r="E10" i="3" s="1"/>
  <c r="D62" i="2"/>
  <c r="D133" i="2"/>
  <c r="D114" i="7" l="1"/>
  <c r="D117" i="7" s="1"/>
  <c r="D137" i="7" s="1"/>
  <c r="D117" i="6"/>
  <c r="D137" i="6" s="1"/>
  <c r="H16" i="1"/>
  <c r="D69" i="7"/>
  <c r="E49" i="7"/>
  <c r="E48" i="7"/>
  <c r="E47" i="7"/>
  <c r="E46" i="7"/>
  <c r="E45" i="7"/>
  <c r="E44" i="7"/>
  <c r="E43" i="7"/>
  <c r="E42" i="7"/>
  <c r="E50" i="7" s="1"/>
  <c r="D70" i="7" s="1"/>
  <c r="D69" i="6"/>
  <c r="E49" i="6"/>
  <c r="E48" i="6"/>
  <c r="E47" i="6"/>
  <c r="E46" i="6"/>
  <c r="E45" i="6"/>
  <c r="E44" i="6"/>
  <c r="E43" i="6"/>
  <c r="E42" i="6"/>
  <c r="E50" i="6" s="1"/>
  <c r="D70" i="6" s="1"/>
  <c r="D117" i="2"/>
  <c r="D137" i="2" s="1"/>
  <c r="D71" i="2"/>
  <c r="E49" i="2"/>
  <c r="E48" i="2"/>
  <c r="E47" i="2"/>
  <c r="E46" i="2"/>
  <c r="E45" i="2"/>
  <c r="E44" i="2"/>
  <c r="E43" i="2"/>
  <c r="E42" i="2"/>
  <c r="D69" i="2"/>
  <c r="D82" i="7" l="1"/>
  <c r="D72" i="7"/>
  <c r="D78" i="7"/>
  <c r="D76" i="7"/>
  <c r="D82" i="6"/>
  <c r="D72" i="6"/>
  <c r="D78" i="6"/>
  <c r="D76" i="6"/>
  <c r="D82" i="2"/>
  <c r="D76" i="2"/>
  <c r="D77" i="2" s="1"/>
  <c r="D78" i="2"/>
  <c r="E50" i="2"/>
  <c r="D70" i="2" s="1"/>
  <c r="D77" i="7" l="1"/>
  <c r="D134" i="7"/>
  <c r="D81" i="7"/>
  <c r="D79" i="7"/>
  <c r="D80" i="7" s="1"/>
  <c r="D77" i="6"/>
  <c r="D134" i="6"/>
  <c r="D81" i="6"/>
  <c r="D79" i="6"/>
  <c r="D80" i="6" s="1"/>
  <c r="D72" i="2"/>
  <c r="D83" i="7" l="1"/>
  <c r="D83" i="6"/>
  <c r="D79" i="2"/>
  <c r="D80" i="2" s="1"/>
  <c r="D81" i="2"/>
  <c r="D134" i="2"/>
  <c r="D135" i="7" l="1"/>
  <c r="D97" i="7"/>
  <c r="D96" i="7"/>
  <c r="D95" i="7"/>
  <c r="D94" i="7"/>
  <c r="D93" i="7"/>
  <c r="D99" i="7" s="1"/>
  <c r="D108" i="7" s="1"/>
  <c r="D110" i="7" s="1"/>
  <c r="D136" i="7" s="1"/>
  <c r="D135" i="6"/>
  <c r="D97" i="6"/>
  <c r="D96" i="6"/>
  <c r="D95" i="6"/>
  <c r="D94" i="6"/>
  <c r="D93" i="6"/>
  <c r="D99" i="6" s="1"/>
  <c r="D108" i="6" s="1"/>
  <c r="D110" i="6" s="1"/>
  <c r="D136" i="6" s="1"/>
  <c r="D83" i="2"/>
  <c r="D138" i="7" l="1"/>
  <c r="D138" i="6"/>
  <c r="D97" i="2"/>
  <c r="D95" i="2"/>
  <c r="D96" i="2"/>
  <c r="D94" i="2"/>
  <c r="D93" i="2"/>
  <c r="D135" i="2"/>
  <c r="D99" i="2"/>
  <c r="D108" i="2" s="1"/>
  <c r="D110" i="2" s="1"/>
  <c r="D136" i="2" s="1"/>
  <c r="D138" i="2" s="1"/>
  <c r="E121" i="2" s="1"/>
  <c r="E122" i="2" s="1"/>
  <c r="E121" i="7" l="1"/>
  <c r="E121" i="6"/>
  <c r="E126" i="2"/>
  <c r="E124" i="2"/>
  <c r="E128" i="2" s="1"/>
  <c r="D139" i="2" s="1"/>
  <c r="D140" i="2" s="1"/>
  <c r="D142" i="2" s="1"/>
  <c r="E122" i="7" l="1"/>
  <c r="E122" i="6"/>
  <c r="D141" i="2"/>
  <c r="D5" i="4" s="1"/>
  <c r="E5" i="4" s="1"/>
  <c r="E126" i="7" l="1"/>
  <c r="E124" i="7"/>
  <c r="E128" i="7" s="1"/>
  <c r="D139" i="7" s="1"/>
  <c r="D140" i="7" s="1"/>
  <c r="D23" i="8" s="1"/>
  <c r="E23" i="8" s="1"/>
  <c r="E126" i="6"/>
  <c r="E124" i="6"/>
  <c r="E128" i="6" s="1"/>
  <c r="D139" i="6" s="1"/>
  <c r="D140" i="6" s="1"/>
  <c r="G59" i="8" l="1"/>
  <c r="H59" i="8" s="1"/>
  <c r="D5" i="8"/>
  <c r="E5" i="8" s="1"/>
  <c r="G53" i="8"/>
  <c r="H53" i="8" s="1"/>
  <c r="G47" i="8"/>
  <c r="H47" i="8" s="1"/>
  <c r="D41" i="8"/>
  <c r="E41" i="8" s="1"/>
  <c r="E72" i="8" s="1"/>
  <c r="G72" i="8" s="1"/>
  <c r="D35" i="8"/>
  <c r="E35" i="8" s="1"/>
  <c r="E71" i="8" s="1"/>
  <c r="G71" i="8" s="1"/>
  <c r="D29" i="8"/>
  <c r="E29" i="8" s="1"/>
  <c r="E70" i="8" s="1"/>
  <c r="G70" i="8" s="1"/>
  <c r="D17" i="8"/>
  <c r="E17" i="8" s="1"/>
  <c r="E67" i="8" s="1"/>
  <c r="G67" i="8" s="1"/>
  <c r="D11" i="8"/>
  <c r="E11" i="8" s="1"/>
  <c r="E66" i="8" s="1"/>
  <c r="G66" i="8" s="1"/>
  <c r="E68" i="8"/>
  <c r="G68" i="8" s="1"/>
  <c r="E69" i="8"/>
  <c r="G69" i="8" s="1"/>
  <c r="D142" i="7"/>
  <c r="D141" i="7"/>
  <c r="D142" i="6"/>
  <c r="D141" i="6"/>
  <c r="E73" i="8" l="1"/>
  <c r="G73" i="8" s="1"/>
  <c r="E74" i="8"/>
  <c r="G74" i="8" s="1"/>
  <c r="E75" i="8"/>
  <c r="G75" i="8" s="1"/>
  <c r="E76" i="8"/>
  <c r="G76" i="8" s="1"/>
  <c r="E65" i="8"/>
  <c r="G65" i="8" s="1"/>
  <c r="E64" i="8"/>
  <c r="G64" i="8" s="1"/>
  <c r="E77" i="8"/>
  <c r="G77" i="8" s="1"/>
  <c r="E78" i="8"/>
  <c r="G78" i="8" s="1"/>
  <c r="G79" i="8" l="1"/>
  <c r="G81" i="8" l="1"/>
  <c r="E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Lyncoln Wchoa da Silveira e Silva</author>
  </authors>
  <commentList>
    <comment ref="D10" authorId="0" shapeId="0" xr:uid="{A2C1A148-48C3-4A8C-A676-5509FA38C6FA}">
      <text>
        <r>
          <rPr>
            <sz val="10"/>
            <rFont val="Arial"/>
            <family val="2"/>
            <charset val="1"/>
          </rPr>
          <t>Dias trabalhados = (30,4375 dias/mês [média] * proporção de dias úteis [5/7]) – (nº feriados fixos ajustados pela probabilidade de ocorrência em dias úteis, distribuídos em 12 meses) – (feriados móveis distribuídos em 12 meses).</t>
        </r>
      </text>
    </comment>
    <comment ref="D21" authorId="1" shapeId="0" xr:uid="{D9DA988B-81E5-49F8-B421-FC755D3F1961}">
      <text>
        <r>
          <rPr>
            <sz val="10"/>
            <rFont val="Arial"/>
            <family val="2"/>
            <charset val="1"/>
          </rPr>
          <t>Cláusula 10ª, parágrafo 1º CCT 2022/2022
Percentual de adicional = 20%
Base de cálculo = R$ 1.070,00</t>
        </r>
      </text>
    </comment>
    <comment ref="D31" authorId="0" shapeId="0" xr:uid="{C5449656-A564-44E5-B04E-8D278E279C55}">
      <text>
        <r>
          <rPr>
            <sz val="10"/>
            <color rgb="FF000000"/>
            <rFont val="Arial"/>
            <family val="2"/>
            <charset val="1"/>
          </rPr>
          <t>1/12 da remuneração
Cálculo: 1/12 = 8,33% * Remuneração</t>
        </r>
      </text>
    </comment>
    <comment ref="D32" authorId="0" shapeId="0" xr:uid="{4E01C57F-DCD1-4003-B1A3-ECBE88D23732}">
      <text>
        <r>
          <rPr>
            <sz val="10"/>
            <color rgb="FF000000"/>
            <rFont val="Arial"/>
            <family val="2"/>
            <charset val="1"/>
          </rPr>
          <t>1/12 da remuneração
Cálculo: 1/12 = 8,33% * Remuneração</t>
        </r>
      </text>
    </comment>
    <comment ref="D33" authorId="0" shapeId="0" xr:uid="{9D51DF68-FFD9-4A7B-B1AA-0A5243091A8F}">
      <text>
        <r>
          <rPr>
            <sz val="10"/>
            <rFont val="Arial"/>
            <family val="2"/>
            <charset val="1"/>
          </rPr>
          <t>1/3 da remuneração, provisionado mensalmente = [(1/3)/12]*remuneração</t>
        </r>
      </text>
    </comment>
    <comment ref="E42" authorId="0" shapeId="0" xr:uid="{E6EE4F9D-0DE6-4C87-AC37-1B6A262374D3}">
      <text>
        <r>
          <rPr>
            <sz val="10"/>
            <rFont val="Arial"/>
            <family val="2"/>
            <charset val="1"/>
          </rPr>
          <t>Art. 22, Inciso I, da Lei nº 8.212/91.
(incide sobre a Remuneração (Módulo 1 + Submódulo 2.1)</t>
        </r>
      </text>
    </comment>
    <comment ref="E43" authorId="0" shapeId="0" xr:uid="{3F36BF21-C905-4CF5-B7EB-7DFB3C30DE28}">
      <text>
        <r>
          <rPr>
            <sz val="10"/>
            <rFont val="Arial"/>
            <family val="2"/>
            <charset val="1"/>
          </rPr>
          <t>Art. 3º, Inciso I, Decreto n.º 87.043/82.
(incide sobre a Remuneração (Módulo 1 + Submódulo 2.1)</t>
        </r>
      </text>
    </comment>
    <comment ref="E44" authorId="0" shapeId="0" xr:uid="{6EAF8B55-0FD2-40BC-B64B-F23D0E4E6F4B}">
      <text>
        <r>
          <rPr>
            <sz val="10"/>
            <color rgb="FF000000"/>
            <rFont val="Arial"/>
            <family val="2"/>
            <charset val="1"/>
          </rPr>
          <t xml:space="preserve">RAT x FAP. 
1) RAT = 3% (Limpeza em prédios e em domicílios - código 8121-4/00 do Anexo V do Decreto n.º 3.048/1999). 
2) FAP = Máximo de Fator de Acidente Previdenciário = 2:
3% x 2 = 6% (maior valor possível)
</t>
        </r>
        <r>
          <rPr>
            <b/>
            <sz val="10"/>
            <color rgb="FF000000"/>
            <rFont val="Arial"/>
            <family val="2"/>
            <charset val="1"/>
          </rPr>
          <t>A empresa deve utilizar o seu FAP efetivo, a ser comprovado no envio de sua proposta adequada ao lance vencedor, mediante apresentação da GFIP ou outro documento apto a fazê-lo.</t>
        </r>
      </text>
    </comment>
    <comment ref="E45" authorId="0" shapeId="0" xr:uid="{AE5CAA53-C400-4AEB-8B50-2C3BBD171DDB}">
      <text>
        <r>
          <rPr>
            <sz val="10"/>
            <color rgb="FF000000"/>
            <rFont val="Arial"/>
            <family val="2"/>
            <charset val="1"/>
          </rPr>
          <t>Art. 3º, Lei n.º 8.036/90.
(incide sobre a Remuneração (Módulo 1 + 13º e Férias (Submódulo2.1) )</t>
        </r>
      </text>
    </comment>
    <comment ref="E46" authorId="0" shapeId="0" xr:uid="{05845A2F-E615-4AF2-A834-5B5D6CD345E1}">
      <text>
        <r>
          <rPr>
            <sz val="10"/>
            <color rgb="FF000000"/>
            <rFont val="Arial"/>
            <family val="2"/>
            <charset val="1"/>
          </rPr>
          <t>Decreto n.º 2.318/86
(incide sobre a Remuneração (Módulo 1 + 13º e Férias (Submódulo2.1) )</t>
        </r>
      </text>
    </comment>
    <comment ref="E47" authorId="0" shapeId="0" xr:uid="{70059198-6543-412F-9B94-42B1E03B96FB}">
      <text>
        <r>
          <rPr>
            <sz val="10"/>
            <color rgb="FF000000"/>
            <rFont val="Arial"/>
            <family val="2"/>
            <charset val="1"/>
          </rPr>
          <t>Art. 8º, Lei n.º 8.029/90 e Lei n.º 8.154/90.
(incide sobre a Remuneração (Módulo 1 + 13º e Férias (Submódulo2.1) )</t>
        </r>
      </text>
    </comment>
    <comment ref="E48" authorId="0" shapeId="0" xr:uid="{050996A7-E1AF-4DA8-A38D-C4B14DBF262C}">
      <text>
        <r>
          <rPr>
            <sz val="10"/>
            <color rgb="FF000000"/>
            <rFont val="Arial"/>
            <family val="2"/>
            <charset val="1"/>
          </rPr>
          <t>Lei n.º 7.787/89 e DL n.º 1.146/70.
(incide sobre a Remuneração (Módulo 1 + 13º e Férias (Submódulo2.1) )</t>
        </r>
      </text>
    </comment>
    <comment ref="E49" authorId="0" shapeId="0" xr:uid="{D6E67A89-ACE1-4647-875C-43EC39E7A20E}">
      <text>
        <r>
          <rPr>
            <sz val="10"/>
            <color rgb="FF000000"/>
            <rFont val="Arial"/>
            <family val="2"/>
            <charset val="1"/>
          </rPr>
          <t>Art. 15, Lei nº 8.030/90 e Art. 7º, III, CF.
(incide sobre a Remuneração (Módulo 1 + 13º e Férias (Submódulo2.1) )</t>
        </r>
      </text>
    </comment>
    <comment ref="D55" authorId="0" shapeId="0" xr:uid="{47FFA749-0054-483C-BFEE-A1CAE7457D71}">
      <text>
        <r>
          <rPr>
            <sz val="10"/>
            <rFont val="Arial"/>
            <family val="2"/>
            <charset val="1"/>
          </rPr>
          <t>(R$ 4,2 * 2/dia * Quantidade dias trabalhados/mês) - (Salario Base * 6%)
Desconto proporcional à quantidade de vales-transportes fornecidos em razão do número de dias trabalhados.
Lei 7.418/1985; CCT 2022/2022, Cláusula 14ª.</t>
        </r>
      </text>
    </comment>
    <comment ref="D56" authorId="0" shapeId="0" xr:uid="{CBAD442F-38DF-4D8A-8DD8-639F5117869A}">
      <text>
        <r>
          <rPr>
            <sz val="10"/>
            <rFont val="Arial"/>
            <family val="2"/>
            <charset val="1"/>
          </rPr>
          <t xml:space="preserve">CCT 2022/2022 (Cláusula 12ª) = R$ 17,99/dia
Cálculo: ((R$ por dia) * (22 dias utilizados como base de cálculo para concessão do benefício)) – 3,5% (Percentual previsto na Cláusula 12ª, parágrafo 2º da CCT 2022 como contrapartida do empregado).
</t>
        </r>
      </text>
    </comment>
    <comment ref="D57" authorId="0" shapeId="0" xr:uid="{8320B32B-2236-4C94-B426-6E1A84B4FA5D}">
      <text>
        <r>
          <rPr>
            <sz val="10"/>
            <rFont val="Arial"/>
            <family val="2"/>
            <charset val="1"/>
          </rPr>
          <t>Cláusula 15ª CCT 2022/2022</t>
        </r>
      </text>
    </comment>
    <comment ref="D58" authorId="0" shapeId="0" xr:uid="{5773EE10-6C12-451B-940C-75F3F1D0719D}">
      <text>
        <r>
          <rPr>
            <sz val="10"/>
            <rFont val="Arial"/>
            <family val="2"/>
            <charset val="1"/>
          </rPr>
          <t>Cláusula 16ª CCT 2022/2022
“A empresa que não forneça creche no seu local de trabalho fica assegurada às trabalhadoras, o pagamento de Auxílio Creche no valor correspondente a 20% (vinte por cento) do salário base mínimo da área geral, ou seja, R$ 246,63 (Duzentos e Quarenta e Seis Reais e Sessenta e Três Centavos), a partir do 1º (primeiro) mês de retorno efetivo ao trabalho, até que o filho complete 10 (dez) meses de nascimento.”
Valor = [(246,63/mês * período de concessão = 6 meses) / 12 meses] * probabilidade de ocorrência.</t>
        </r>
      </text>
    </comment>
    <comment ref="D59" authorId="0" shapeId="0" xr:uid="{D0942267-D62D-417D-806D-441C155130D5}">
      <text>
        <r>
          <rPr>
            <sz val="10"/>
            <rFont val="Arial"/>
            <family val="2"/>
            <charset val="1"/>
          </rPr>
          <t>Cláusula 17ª CCT 2022/2022</t>
        </r>
      </text>
    </comment>
    <comment ref="D60" authorId="0" shapeId="0" xr:uid="{1A5B5FBE-623E-4E65-97F8-6235E76C6DBD}">
      <text>
        <r>
          <rPr>
            <sz val="10"/>
            <rFont val="Arial"/>
            <family val="2"/>
            <charset val="1"/>
          </rPr>
          <t>Cláusula 22ª, CCT 2022/2022</t>
        </r>
      </text>
    </comment>
    <comment ref="D61" authorId="1" shapeId="0" xr:uid="{8645F072-1973-48D6-B6BE-6D46667AE92E}">
      <text>
        <r>
          <rPr>
            <sz val="10"/>
            <rFont val="Arial"/>
            <family val="2"/>
            <charset val="1"/>
          </rPr>
          <t>Cláusula 20ª, CCT 2022/2022</t>
        </r>
      </text>
    </comment>
    <comment ref="D76" authorId="0" shapeId="0" xr:uid="{2D000682-4D16-4C40-87F4-F632A48D8204}">
      <text>
        <r>
          <rPr>
            <sz val="10"/>
            <rFont val="Arial"/>
            <family val="2"/>
            <charset val="1"/>
          </rPr>
          <t>Base de cálculo: Módulo 1 + Submódulo 2.1. Considera-se a duração média do contrato de trabalho de 12 meses
Provisionamento mensal = prazo de duração do contrato = 12 meses
Percentual de demissões sem justa causa com API = 98,42% x 50% = 49,21% (Informações obtidas junto ao CAGED para o setor de serviços ao longo de 2019. A proporção de desligamentos com API é arbitrariamente definida e 50% na ausência de informações mais precisas).
REVER NA PRORROGAÇÃO</t>
        </r>
      </text>
    </comment>
    <comment ref="D77" authorId="0" shapeId="0" xr:uid="{77F56979-B597-4BDA-9C91-2A4D63C7F016}">
      <text>
        <r>
          <rPr>
            <sz val="10"/>
            <color rgb="FF000000"/>
            <rFont val="Arial"/>
            <family val="2"/>
            <charset val="1"/>
          </rPr>
          <t>API * Percentual FGTS (8%)</t>
        </r>
      </text>
    </comment>
    <comment ref="D78" authorId="0" shapeId="0" xr:uid="{4D77A44B-66CA-4224-BAD5-1A6A9CF92EF9}">
      <text>
        <r>
          <rPr>
            <sz val="10"/>
            <color rgb="FF000000"/>
            <rFont val="Arial"/>
            <family val="2"/>
            <charset val="1"/>
          </rPr>
          <t>Módulo 1 + Sub-módulo 2.1 * (8% de FGTS) * 40% de multa do FGTS * probabilidade de ocorrência de API.</t>
        </r>
      </text>
    </comment>
    <comment ref="D79" authorId="0" shapeId="0" xr:uid="{5264EB76-CD74-45E9-BE86-922DF6F80387}">
      <text>
        <r>
          <rPr>
            <sz val="10"/>
            <rFont val="Arial"/>
            <family val="2"/>
            <charset val="1"/>
          </rPr>
          <t>Base de cálculo: Módulo 1 + Módulo 2. Considera-se a duração média do contrato de trabalho de 12 meses
Provisionamento mensal = prazo de duração do contrato = 12 meses
Percentual de demissões sem justa causa com APT = 98,42% x 50% = 49,21% (Informações obtidas junto ao CAGED para o setor de serviços ao longo de 2019. A proporção de desligamentos com APT é arbitrariamente definida e 50% na ausência de informações mais precisas).
APT = (provisionamento mensal)*7/30
7 dias de folga / 30 dias / 12 meses (vigência inicial do contrato)
REVER NA PRORROGAÇÃO</t>
        </r>
      </text>
    </comment>
    <comment ref="D80" authorId="0" shapeId="0" xr:uid="{C95FA991-67EC-4657-93B0-D7946828C893}">
      <text>
        <r>
          <rPr>
            <sz val="10"/>
            <color rgb="FF000000"/>
            <rFont val="Arial"/>
            <family val="2"/>
            <charset val="1"/>
          </rPr>
          <t xml:space="preserve">APT * Percentual Total do Submódulo 2.2 (36,8%)
</t>
        </r>
      </text>
    </comment>
    <comment ref="D81" authorId="0" shapeId="0" xr:uid="{55F020C5-0A82-4314-B1EE-69CA9206B3B8}">
      <text>
        <r>
          <rPr>
            <sz val="10"/>
            <color rgb="FF000000"/>
            <rFont val="Arial"/>
            <family val="2"/>
            <charset val="1"/>
          </rPr>
          <t>Módulo 1 + Sub-módulo 2.1 * (8% de FGTS) * 40% de multa do FGTS * probabilidade de ocorrência de APT (24,26% Informações obtidas junto ao CAGED para o setor de serviços ao longo de 2019. A proporção de desligamentos com APT é arbitrariamente definida e 50% na ausência de informações mais precisas).</t>
        </r>
      </text>
    </comment>
    <comment ref="D82" authorId="0" shapeId="0" xr:uid="{41DC21F9-E5D4-45AA-BBCD-7F2A5CE2B4E0}">
      <text>
        <r>
          <rPr>
            <sz val="10"/>
            <rFont val="Arial"/>
            <family val="2"/>
            <charset val="1"/>
          </rPr>
          <t>Valor provisionado de 13º Salário, Férias e Adicional de Férias (Sub-módulo 2.1) * percentual de demissões por justa causa.
Percentual de demissões com justa causa = 1,58%
(Informações obtidas junto ao CAGED para o setor de serviços ao longo de 2019
(Informações obtidas junto ao CAGED para o setor de serviços ao longo de 2019).</t>
        </r>
      </text>
    </comment>
    <comment ref="D93" authorId="0" shapeId="0" xr:uid="{E191BE3C-4D23-4AA1-A4B5-E23A8397B4B2}">
      <text>
        <r>
          <rPr>
            <sz val="10"/>
            <rFont val="Arial"/>
            <family val="2"/>
            <charset val="1"/>
          </rPr>
          <t>Base de cálculo: Módulo 1 + Módulo 2 (com férias) + Módulo 3.
Provisionado em 11 meses, prevendo a prorrogação do contrato. No segundo ano em diante o empregado trabalha 11 e tira férias, então entende-se que a provisão mais correta seria por 11 meses ao invés de 12.</t>
        </r>
      </text>
    </comment>
    <comment ref="D94" authorId="0" shapeId="0" xr:uid="{EE908CE0-CB0E-49FC-902F-280A7DD05F59}">
      <text>
        <r>
          <rPr>
            <sz val="10"/>
            <rFont val="Arial"/>
            <family val="2"/>
            <charset val="1"/>
          </rPr>
          <t>Base de cálculo: Módulo 1 + Módulo 2 (com férias) + Módulo 3.
Faltas abonadas por lei, 2 dias em caso de morte do cônjuge, ascendente ou descendente; 1 dia para registro de nascimento de filho; 3 dias para casamento; 1 dia para doação de sangue; 2 dias para alistamento eleitoral; e 1 dia para exigências do serviço militar; entre outros. (1 dia/30 dias) x (1/12 meses). Fundamentação: art. 473 da CLT e Acórdão TCU 6771/2009.</t>
        </r>
      </text>
    </comment>
    <comment ref="D95" authorId="0" shapeId="0" xr:uid="{99E23393-4688-4D82-9096-D7202BB61DAF}">
      <text>
        <r>
          <rPr>
            <sz val="10"/>
            <rFont val="Arial"/>
            <family val="2"/>
            <charset val="1"/>
          </rPr>
          <t>Base de cálculo: Módulo 1 + Módulo 2 (com férias) + Módulo 3.
Licença de 5 dias. Taxa de fecundidade = 6,24%. O ônus da licença maternidade é suportada pelo INSS, então calculamos apenas a participação masculina. Fundamentação: art. 7º, inciso XIX, da Constituição Federal.
(5 dias/30dias) x (1/12 meses) x 6,24% taxa de fecundidade x 50% participação masculina = 0,0004 = 0,04%</t>
        </r>
      </text>
    </comment>
    <comment ref="D96" authorId="0" shapeId="0" xr:uid="{7201591E-C590-418C-A562-B5BE711C966E}">
      <text>
        <r>
          <rPr>
            <sz val="10"/>
            <rFont val="Arial"/>
            <family val="2"/>
            <charset val="1"/>
          </rPr>
          <t>Base de cálculo: Módulo 1 + Módulo 2 (com férias) + Módulo 3.
15 primeiros dias em que o empregado não pode exercer suas atividades devido a algum acidente no trabalho dentro da empresa; trajeto a serviço; cumprindo ordens; doença profissional. O Ministério Público  (MP) considera que o empregado falta 0,91dias/ano. Fundamentação: arts. 19 a 23 da Lei 8.213/91; Lei nº 6.367/76 e art. 473 da CLT. Cálculos: (0,91 dias / 30 dias)x(1/12 meses) = 0,0027 = 0,27%.</t>
        </r>
      </text>
    </comment>
    <comment ref="D97" authorId="0" shapeId="0" xr:uid="{201ACF84-595A-4E93-B5A5-71A11A8E6298}">
      <text>
        <r>
          <rPr>
            <sz val="10"/>
            <rFont val="Arial"/>
            <family val="2"/>
            <charset val="1"/>
          </rPr>
          <t>Base de cálculo: Módulo 1 + Módulo 2 (com férias) + Módulo 3.
 Custo dos dias em que o empregado fica doente e a contratada deve providenciar a sua substituição. Dados estatísticos: 5,96 dias/ano IBGE. (5,96 dias/30 dias) x (1/12 meses) = 0,0166 = 1,66%. Fundamentação: art. 476 da CLT; art. 6º, §1º, alínea "f", da Lei 605/49 c/c art. 12, alínea "f", do Decreto 27.048/49 e Acórdão TCU nº 1.753/2008 Plenário.</t>
        </r>
      </text>
    </comment>
    <comment ref="D103" authorId="0" shapeId="0" xr:uid="{AF925F90-67B3-4067-A177-95EFFD799657}">
      <text>
        <r>
          <rPr>
            <sz val="10"/>
            <rFont val="Arial"/>
            <family val="2"/>
            <charset val="1"/>
          </rPr>
          <t xml:space="preserve">Não se aplica.
</t>
        </r>
      </text>
    </comment>
    <comment ref="D114" authorId="0" shapeId="0" xr:uid="{DA4CDAF8-EBBB-4692-B017-37C883D219C1}">
      <text>
        <r>
          <rPr>
            <sz val="10"/>
            <color rgb="FF000000"/>
            <rFont val="Arial"/>
            <family val="2"/>
            <charset val="1"/>
          </rPr>
          <t>Referência: Custo Mensal de Uniformes (vide pesquisa de preços de contratações similares)</t>
        </r>
      </text>
    </comment>
    <comment ref="E121" authorId="0" shapeId="0" xr:uid="{C1345559-13E8-44D1-A828-08321D900EF8}">
      <text>
        <r>
          <rPr>
            <sz val="10"/>
            <color rgb="FF000000"/>
            <rFont val="Arial"/>
            <family val="2"/>
            <charset val="1"/>
          </rPr>
          <t>Custos indiretos incidem sobre o total de Remuneração + Benefícios + Encargos + Insumos (Módulos 1, 2, 3, 4 e 5)</t>
        </r>
      </text>
    </comment>
    <comment ref="E122" authorId="0" shapeId="0" xr:uid="{31C6C74C-C315-4F69-A6AE-A3709239005D}">
      <text>
        <r>
          <rPr>
            <sz val="10"/>
            <rFont val="Arial"/>
            <family val="2"/>
            <charset val="1"/>
          </rPr>
          <t xml:space="preserve">Lucro incide sobre Módulos 1, 2, 3, 4, 5 e Custos Indiretos.
Percentual utilizado: 6, 79%. Referência: Caderno de Logística - prestação de serviços de asseio, limpeza e conservação. MPDG-SLTI, 2014.
</t>
        </r>
      </text>
    </comment>
    <comment ref="C123" authorId="0" shapeId="0" xr:uid="{AB92C805-AB89-477F-8918-9416D7880EF2}">
      <text>
        <r>
          <rPr>
            <sz val="10"/>
            <color rgb="FF000000"/>
            <rFont val="Tahoma"/>
            <family val="2"/>
            <charset val="1"/>
          </rPr>
          <t xml:space="preserve">O percentual de tributos é aplicado sobre o faturamento
</t>
        </r>
      </text>
    </comment>
    <comment ref="D124" authorId="0" shapeId="0" xr:uid="{8CBBCE2A-0CD2-4C81-8FF8-856777AA1421}">
      <text>
        <r>
          <rPr>
            <sz val="10"/>
            <color rgb="FF000000"/>
            <rFont val="Arial"/>
            <family val="2"/>
            <charset val="1"/>
          </rPr>
          <t xml:space="preserve">Referência: Os tributos (COFINS e PIS) foram definidos utilizando o regime de tributação de LUCRO REAL (Acórdão TCU 1753/2008-P).
</t>
        </r>
        <r>
          <rPr>
            <b/>
            <sz val="10"/>
            <color rgb="FF000000"/>
            <rFont val="Arial"/>
            <family val="2"/>
            <charset val="1"/>
          </rPr>
          <t>A licitante deve elaborar sua proposta e, por conseguinte, sua planilha, com base no regime de tributação ao qual estará submetida durante a execução do contrato.</t>
        </r>
      </text>
    </comment>
    <comment ref="E124" authorId="0" shapeId="0" xr:uid="{FA56172D-BDEB-4740-AC3D-ABD2843D5447}">
      <text>
        <r>
          <rPr>
            <sz val="10"/>
            <color rgb="FF000000"/>
            <rFont val="Arial"/>
            <family val="2"/>
            <charset val="1"/>
          </rPr>
          <t>Apuração do Coeficiente:
1-([Federais + Municipais]/100) = "Coeficiente"
Cálculo:
Faturamento/Coeficiente x Aliquota</t>
        </r>
      </text>
    </comment>
    <comment ref="D126" authorId="0" shapeId="0" xr:uid="{9194CB0E-C265-4918-B75E-93C0CC95547A}">
      <text>
        <r>
          <rPr>
            <sz val="10"/>
            <color rgb="FF000000"/>
            <rFont val="Arial"/>
            <family val="2"/>
            <charset val="1"/>
          </rPr>
          <t>Alíquota no ES: 5,0%</t>
        </r>
      </text>
    </comment>
    <comment ref="E126" authorId="0" shapeId="0" xr:uid="{06490363-125E-4D15-986E-6E359AB30399}">
      <text>
        <r>
          <rPr>
            <sz val="10"/>
            <color rgb="FF000000"/>
            <rFont val="Arial"/>
            <family val="2"/>
            <charset val="1"/>
          </rPr>
          <t>Apuração do Coeficiente:
1-([Federais + Municipais]/100) = "Coeficiente"
Cálculo:
Faturamento/Coeficiente x Aliquota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Lyncoln Wchoa da Silveira e Silva</author>
  </authors>
  <commentList>
    <comment ref="D10" authorId="0" shapeId="0" xr:uid="{55E86288-DA5F-4FA9-948A-863EEB54ED59}">
      <text>
        <r>
          <rPr>
            <sz val="10"/>
            <rFont val="Arial"/>
            <family val="2"/>
            <charset val="1"/>
          </rPr>
          <t>Dias trabalhados = (30,4375 dias/mês [média] * proporção de dias úteis [5/7]) – (nº feriados fixos ajustados pela probabilidade de ocorrência em dias úteis, distribuídos em 12 meses) – (feriados móveis distribuídos em 12 meses).</t>
        </r>
      </text>
    </comment>
    <comment ref="D21" authorId="1" shapeId="0" xr:uid="{B000B20A-18FE-491F-BC85-DD827901F4EC}">
      <text>
        <r>
          <rPr>
            <sz val="10"/>
            <rFont val="Arial"/>
            <family val="2"/>
            <charset val="1"/>
          </rPr>
          <t>Cláusula 10ª, CCT 2022/2022
Percentual de adicional = 20%
Base de cálculo = R$ 1.070,00</t>
        </r>
      </text>
    </comment>
    <comment ref="D31" authorId="0" shapeId="0" xr:uid="{81248943-18A5-44D2-8AE6-4D227C0AEF04}">
      <text>
        <r>
          <rPr>
            <sz val="10"/>
            <color rgb="FF000000"/>
            <rFont val="Arial"/>
            <family val="2"/>
            <charset val="1"/>
          </rPr>
          <t>1/12 da remuneração
Cálculo: 1/12 = 8,33% * Remuneração</t>
        </r>
      </text>
    </comment>
    <comment ref="D32" authorId="0" shapeId="0" xr:uid="{1C774C58-B4ED-4904-BE09-5042833E0337}">
      <text>
        <r>
          <rPr>
            <sz val="10"/>
            <color rgb="FF000000"/>
            <rFont val="Arial"/>
            <family val="2"/>
            <charset val="1"/>
          </rPr>
          <t>1/12 da remuneração
Cálculo: 1/12 = 8,33% * Remuneração</t>
        </r>
      </text>
    </comment>
    <comment ref="D33" authorId="0" shapeId="0" xr:uid="{B7786DF9-68EA-4A59-890D-0EE88D32D398}">
      <text>
        <r>
          <rPr>
            <sz val="10"/>
            <rFont val="Arial"/>
            <family val="2"/>
            <charset val="1"/>
          </rPr>
          <t>1/3 da remuneração, provisionado mensalmente = [(1/3)/12]*remuneração</t>
        </r>
      </text>
    </comment>
    <comment ref="E42" authorId="0" shapeId="0" xr:uid="{E993D6B4-8516-46F8-BD66-CBE3E3282362}">
      <text>
        <r>
          <rPr>
            <sz val="10"/>
            <rFont val="Arial"/>
            <family val="2"/>
            <charset val="1"/>
          </rPr>
          <t>Art. 22, Inciso I, da Lei nº 8.212/91.
(incide sobre a Remuneração (Módulo 1 + Submódulo 2.1)</t>
        </r>
      </text>
    </comment>
    <comment ref="E43" authorId="0" shapeId="0" xr:uid="{D97B2885-CD95-4B8F-A988-EF3C6938D705}">
      <text>
        <r>
          <rPr>
            <sz val="10"/>
            <rFont val="Arial"/>
            <family val="2"/>
            <charset val="1"/>
          </rPr>
          <t>Art. 3º, Inciso I, Decreto n.º 87.043/82.
(incide sobre a Remuneração (Módulo 1 + Submódulo 2.1)</t>
        </r>
      </text>
    </comment>
    <comment ref="E44" authorId="0" shapeId="0" xr:uid="{FAA1CA27-5E46-4CDC-9803-CEADBB41F928}">
      <text>
        <r>
          <rPr>
            <sz val="10"/>
            <color rgb="FF000000"/>
            <rFont val="Arial"/>
            <family val="2"/>
            <charset val="1"/>
          </rPr>
          <t xml:space="preserve">RAT x FAP. 
1) RAT = 3% (Limpeza em prédios e em domicílios - código 8121-4/00 do Anexo V do Decreto n.º 3.048/1999). 
2) FAP = Máximo de Fator de Acidente Previdenciário = 2:
3% x 2 = 6% (maior valor possível)
</t>
        </r>
        <r>
          <rPr>
            <b/>
            <sz val="10"/>
            <color rgb="FF000000"/>
            <rFont val="Arial"/>
            <family val="2"/>
            <charset val="1"/>
          </rPr>
          <t>A empresa deve utilizar o seu FAP efetivo, a ser comprovado no envio de sua proposta adequada ao lance vencedor, mediante apresentação da GFIP ou outro documento apto a fazê-lo.</t>
        </r>
      </text>
    </comment>
    <comment ref="E45" authorId="0" shapeId="0" xr:uid="{1FF5B556-D634-44D9-870B-9CC6CA385F35}">
      <text>
        <r>
          <rPr>
            <sz val="10"/>
            <color rgb="FF000000"/>
            <rFont val="Arial"/>
            <family val="2"/>
            <charset val="1"/>
          </rPr>
          <t>Art. 3º, Lei n.º 8.036/90.
(incide sobre a Remuneração (Módulo 1 + 13º e Férias (Submódulo2.1) )</t>
        </r>
      </text>
    </comment>
    <comment ref="E46" authorId="0" shapeId="0" xr:uid="{0A38C260-055C-4754-AA20-397575E54BAA}">
      <text>
        <r>
          <rPr>
            <sz val="10"/>
            <color rgb="FF000000"/>
            <rFont val="Arial"/>
            <family val="2"/>
            <charset val="1"/>
          </rPr>
          <t>Decreto n.º 2.318/86
(incide sobre a Remuneração (Módulo 1 + 13º e Férias (Submódulo2.1) )</t>
        </r>
      </text>
    </comment>
    <comment ref="E47" authorId="0" shapeId="0" xr:uid="{569A7FDC-737E-4AFA-8207-C20ECC1E29F4}">
      <text>
        <r>
          <rPr>
            <sz val="10"/>
            <color rgb="FF000000"/>
            <rFont val="Arial"/>
            <family val="2"/>
            <charset val="1"/>
          </rPr>
          <t>Art. 8º, Lei n.º 8.029/90 e Lei n.º 8.154/90.
(incide sobre a Remuneração (Módulo 1 + 13º e Férias (Submódulo2.1) )</t>
        </r>
      </text>
    </comment>
    <comment ref="E48" authorId="0" shapeId="0" xr:uid="{582E5BC6-AA74-4144-AD6B-62397D72F5D2}">
      <text>
        <r>
          <rPr>
            <sz val="10"/>
            <color rgb="FF000000"/>
            <rFont val="Arial"/>
            <family val="2"/>
            <charset val="1"/>
          </rPr>
          <t>Lei n.º 7.787/89 e DL n.º 1.146/70.
(incide sobre a Remuneração (Módulo 1 + 13º e Férias (Submódulo2.1) )</t>
        </r>
      </text>
    </comment>
    <comment ref="E49" authorId="0" shapeId="0" xr:uid="{825507AF-088F-4DDB-839E-B5CB534939FE}">
      <text>
        <r>
          <rPr>
            <sz val="10"/>
            <color rgb="FF000000"/>
            <rFont val="Arial"/>
            <family val="2"/>
            <charset val="1"/>
          </rPr>
          <t>Art. 15, Lei nº 8.030/90 e Art. 7º, III, CF.
(incide sobre a Remuneração (Módulo 1 + 13º e Férias (Submódulo2.1) )</t>
        </r>
      </text>
    </comment>
    <comment ref="D55" authorId="0" shapeId="0" xr:uid="{55D59A67-6373-4DC7-A474-78C5E12BA7E1}">
      <text>
        <r>
          <rPr>
            <sz val="10"/>
            <rFont val="Arial"/>
            <family val="2"/>
            <charset val="1"/>
          </rPr>
          <t>(R$ 4,2 * 2/dia * Quantidade dias trabalhados/mês) - (Salario Base * 6%)
Desconto proporcional à quantidade de vales-transportes fornecidos em razão do número de dias trabalhados.
Lei 7.418/1985; CCT 2022/2022, Cláusula 14ª.</t>
        </r>
      </text>
    </comment>
    <comment ref="D56" authorId="0" shapeId="0" xr:uid="{C9183183-ED7E-4A5E-BD1B-08CA0429A614}">
      <text>
        <r>
          <rPr>
            <sz val="10"/>
            <rFont val="Arial"/>
            <family val="2"/>
            <charset val="1"/>
          </rPr>
          <t xml:space="preserve">CCT 2022/2022 (Cláusula 12ª) = R$ 17,99/dia
Cálculo: ((R$ por dia) * (22 dias utilizados como base de cálculo para concessão do benefício)) – 3,5% (Percentual previsto na Cláusula 12ª, parágrafo 2º da CCT 2022 como contrapartida do empregado).
</t>
        </r>
      </text>
    </comment>
    <comment ref="D57" authorId="0" shapeId="0" xr:uid="{56548626-A1D0-4B87-B13A-4A2ABA2A1D2C}">
      <text>
        <r>
          <rPr>
            <sz val="10"/>
            <rFont val="Arial"/>
            <family val="2"/>
            <charset val="1"/>
          </rPr>
          <t>Cláusula 15ª CCT 2022/2022</t>
        </r>
      </text>
    </comment>
    <comment ref="D58" authorId="0" shapeId="0" xr:uid="{0810EDB0-46F1-4694-8AB0-3DB1A51C3874}">
      <text>
        <r>
          <rPr>
            <sz val="10"/>
            <rFont val="Arial"/>
            <family val="2"/>
            <charset val="1"/>
          </rPr>
          <t>Cláusula 16ª CCT 2022/2022
“A empresa que não forneça creche no seu local de trabalho fica assegurada às trabalhadoras, o pagamento de Auxílio Creche no valor correspondente a 20% (vinte por cento) do salário base mínimo da área geral, ou seja, R$ 246,63 (Duzentos e Quarenta e Seis Reais e Sessenta e Três Centavos), a partir do 1º (primeiro) mês de retorno efetivo ao trabalho, até que o filho complete 10 (dez) meses de nascimento.”
Valor = [(246,63/mês * período de concessão = 6 meses) / 12 meses] * probabilidade de ocorrência.</t>
        </r>
      </text>
    </comment>
    <comment ref="D59" authorId="0" shapeId="0" xr:uid="{EB2E0947-F176-40DC-A3B4-03F26734EB36}">
      <text>
        <r>
          <rPr>
            <sz val="10"/>
            <rFont val="Arial"/>
            <family val="2"/>
            <charset val="1"/>
          </rPr>
          <t>Cláusula 17ª CCT 2022/2022</t>
        </r>
      </text>
    </comment>
    <comment ref="D60" authorId="0" shapeId="0" xr:uid="{99E7E036-6FA4-441A-9A6C-EB985B4ADCAD}">
      <text>
        <r>
          <rPr>
            <sz val="10"/>
            <rFont val="Arial"/>
            <family val="2"/>
            <charset val="1"/>
          </rPr>
          <t>Cláusula 22ª, CCT 2022/2022</t>
        </r>
      </text>
    </comment>
    <comment ref="D61" authorId="1" shapeId="0" xr:uid="{D7737C2F-5884-47D1-B9CC-4FE4728E65B8}">
      <text>
        <r>
          <rPr>
            <sz val="10"/>
            <rFont val="Arial"/>
            <family val="2"/>
            <charset val="1"/>
          </rPr>
          <t>Cláusula 20ª, CCT 2022/2022</t>
        </r>
      </text>
    </comment>
    <comment ref="D76" authorId="0" shapeId="0" xr:uid="{0AE45F7B-75BA-436C-89B1-685D227FD12D}">
      <text>
        <r>
          <rPr>
            <sz val="10"/>
            <rFont val="Arial"/>
            <family val="2"/>
            <charset val="1"/>
          </rPr>
          <t>Base de cálculo: Módulo 1 + Submódulo 2.1. Considera-se a duração média do contrato de trabalho de 12 meses
Provisionamento mensal = prazo de duração do contrato = 12 meses
Percentual de demissões sem justa causa com API = 98,42% x 50% = 49,21% (Informações obtidas junto ao CAGED para o setor de serviços ao longo de 2019. A proporção de desligamentos com API é arbitrariamente definida e 50% na ausência de informações mais precisas).
REVER NA PRORROGAÇÃO</t>
        </r>
      </text>
    </comment>
    <comment ref="D77" authorId="0" shapeId="0" xr:uid="{D8A75570-A4F9-478F-837D-7B8B0A72E801}">
      <text>
        <r>
          <rPr>
            <sz val="10"/>
            <color rgb="FF000000"/>
            <rFont val="Arial"/>
            <family val="2"/>
            <charset val="1"/>
          </rPr>
          <t>API * Percentual FGTS (8%)</t>
        </r>
      </text>
    </comment>
    <comment ref="D78" authorId="0" shapeId="0" xr:uid="{6E56814A-8F03-47C2-83EB-64088710007F}">
      <text>
        <r>
          <rPr>
            <sz val="10"/>
            <color rgb="FF000000"/>
            <rFont val="Arial"/>
            <family val="2"/>
            <charset val="1"/>
          </rPr>
          <t>Módulo 1 + Sub-módulo 2.1 * (8% de FGTS) * 40% de multa do FGTS * probabilidade de ocorrência de API.</t>
        </r>
      </text>
    </comment>
    <comment ref="D79" authorId="0" shapeId="0" xr:uid="{36B02D04-461B-464E-B3A4-138D36C8D401}">
      <text>
        <r>
          <rPr>
            <sz val="10"/>
            <rFont val="Arial"/>
            <family val="2"/>
            <charset val="1"/>
          </rPr>
          <t>Base de cálculo: Módulo 1 + Módulo 2. Considera-se a duração média do contrato de trabalho de 12 meses
Provisionamento mensal = prazo de duração do contrato = 12 meses
Percentual de demissões sem justa causa com APT = 98,42% x 50% = 49,21% (Informações obtidas junto ao CAGED para o setor de serviços ao longo de 2019. A proporção de desligamentos com APT é arbitrariamente definida e 50% na ausência de informações mais precisas).
APT = (provisionamento mensal)*7/30
7 dias de folga / 30 dias / 12 meses (vigência inicial do contrato)
REVER NA PRORROGAÇÃO</t>
        </r>
      </text>
    </comment>
    <comment ref="D80" authorId="0" shapeId="0" xr:uid="{CC10392B-2320-4590-B47E-705B6164A096}">
      <text>
        <r>
          <rPr>
            <sz val="10"/>
            <color rgb="FF000000"/>
            <rFont val="Arial"/>
            <family val="2"/>
            <charset val="1"/>
          </rPr>
          <t xml:space="preserve">APT * Percentual Total do Submódulo 2.2 (36,8%)
</t>
        </r>
      </text>
    </comment>
    <comment ref="D81" authorId="0" shapeId="0" xr:uid="{92B53702-FEC4-4E74-AC97-F3C2DABEAFBF}">
      <text>
        <r>
          <rPr>
            <sz val="10"/>
            <color rgb="FF000000"/>
            <rFont val="Arial"/>
            <family val="2"/>
            <charset val="1"/>
          </rPr>
          <t>Módulo 1 + Sub-módulo 2.1 * (8% de FGTS) * 40% de multa do FGTS * probabilidade de ocorrência de APT (24,26% Informações obtidas junto ao CAGED para o setor de serviços ao longo de 2019. A proporção de desligamentos com APT é arbitrariamente definida e 50% na ausência de informações mais precisas).</t>
        </r>
      </text>
    </comment>
    <comment ref="D82" authorId="0" shapeId="0" xr:uid="{0EC13BE5-7183-4BEE-8E9B-D5896B9BCE39}">
      <text>
        <r>
          <rPr>
            <sz val="10"/>
            <rFont val="Arial"/>
            <family val="2"/>
            <charset val="1"/>
          </rPr>
          <t>Valor provisionado de 13º Salário, Férias e Adicional de Férias (Sub-módulo 2.1) * percentual de demissões por justa causa.
Percentual de demissões com justa causa = 1,58%
(Informações obtidas junto ao CAGED para o setor de serviços ao longo de 2019
(Informações obtidas junto ao CAGED para o setor de serviços ao longo de 2019).</t>
        </r>
      </text>
    </comment>
    <comment ref="D93" authorId="0" shapeId="0" xr:uid="{99ED1E89-A61C-4004-AADA-B4477EF6C2A7}">
      <text>
        <r>
          <rPr>
            <sz val="10"/>
            <rFont val="Arial"/>
            <family val="2"/>
            <charset val="1"/>
          </rPr>
          <t>Base de cálculo: Módulo 1 + Módulo 2 (com férias) + Módulo 3.
Provisionado em 11 meses, prevendo a prorrogação do contrato. No segundo ano em diante o empregado trabalha 11 e tira férias, então entende-se que a provisão mais correta seria por 11 meses ao invés de 12.</t>
        </r>
      </text>
    </comment>
    <comment ref="D94" authorId="0" shapeId="0" xr:uid="{94CC50D9-8BED-42A9-8286-CAABE4AACF68}">
      <text>
        <r>
          <rPr>
            <sz val="10"/>
            <rFont val="Arial"/>
            <family val="2"/>
            <charset val="1"/>
          </rPr>
          <t>Base de cálculo: Módulo 1 + Módulo 2 (com férias) + Módulo 3.
Faltas abonadas por lei, 2 dias em caso de morte do cônjuge, ascendente ou descendente; 1 dia para registro de nascimento de filho; 3 dias para casamento; 1 dia para doação de sangue; 2 dias para alistamento eleitoral; e 1 dia para exigências do serviço militar; entre outros. (1 dia/30 dias) x (1/12 meses). Fundamentação: art. 473 da CLT e Acórdão TCU 6771/2009.</t>
        </r>
      </text>
    </comment>
    <comment ref="D95" authorId="0" shapeId="0" xr:uid="{93B60401-1B29-4299-ABDD-8D5CFF429A92}">
      <text>
        <r>
          <rPr>
            <sz val="10"/>
            <rFont val="Arial"/>
            <family val="2"/>
            <charset val="1"/>
          </rPr>
          <t>Base de cálculo: Módulo 1 + Módulo 2 (com férias) + Módulo 3.
Licença de 5 dias. Taxa de fecundidade = 6,24%. O ônus da licença maternidade é suportada pelo INSS, então calculamos apenas a participação masculina. Fundamentação: art. 7º, inciso XIX, da Constituição Federal.
(5 dias/30dias) x (1/12 meses) x 6,24% taxa de fecundidade x 50% participação masculina = 0,0004 = 0,04%</t>
        </r>
      </text>
    </comment>
    <comment ref="D96" authorId="0" shapeId="0" xr:uid="{2E3A3C8D-37C2-4E51-A511-68787967BDB4}">
      <text>
        <r>
          <rPr>
            <sz val="10"/>
            <rFont val="Arial"/>
            <family val="2"/>
            <charset val="1"/>
          </rPr>
          <t>Base de cálculo: Módulo 1 + Módulo 2 (com férias) + Módulo 3.
15 primeiros dias em que o empregado não pode exercer suas atividades devido a algum acidente no trabalho dentro da empresa; trajeto a serviço; cumprindo ordens; doença profissional. O Ministério Público  (MP) considera que o empregado falta 0,91dias/ano. Fundamentação: arts. 19 a 23 da Lei 8.213/91; Lei nº 6.367/76 e art. 473 da CLT. Cálculos: (0,91 dias / 30 dias)x(1/12 meses) = 0,0027 = 0,27%.</t>
        </r>
      </text>
    </comment>
    <comment ref="D97" authorId="0" shapeId="0" xr:uid="{F6178220-4CB5-4E16-9B0A-602EC7CA34E6}">
      <text>
        <r>
          <rPr>
            <sz val="10"/>
            <rFont val="Arial"/>
            <family val="2"/>
            <charset val="1"/>
          </rPr>
          <t>Base de cálculo: Módulo 1 + Módulo 2 (com férias) + Módulo 3.
 Custo dos dias em que o empregado fica doente e a contratada deve providenciar a sua substituição. Dados estatísticos: 5,96 dias/ano IBGE. (5,96 dias/30 dias) x (1/12 meses) = 0,0166 = 1,66%. Fundamentação: art. 476 da CLT; art. 6º, §1º, alínea "f", da Lei 605/49 c/c art. 12, alínea "f", do Decreto 27.048/49 e Acórdão TCU nº 1.753/2008 Plenário.</t>
        </r>
      </text>
    </comment>
    <comment ref="D103" authorId="0" shapeId="0" xr:uid="{768DF9AD-9ED9-49B7-A9B4-C1C9B6BAB590}">
      <text>
        <r>
          <rPr>
            <sz val="10"/>
            <rFont val="Arial"/>
            <family val="2"/>
            <charset val="1"/>
          </rPr>
          <t xml:space="preserve">Não se aplica.
</t>
        </r>
      </text>
    </comment>
    <comment ref="D114" authorId="0" shapeId="0" xr:uid="{343AF612-8F2C-4855-9D65-9CEC340957D5}">
      <text>
        <r>
          <rPr>
            <sz val="10"/>
            <color rgb="FF000000"/>
            <rFont val="Arial"/>
            <family val="2"/>
            <charset val="1"/>
          </rPr>
          <t>Referência: Custo Mensal de Uniformes (vide pesquisa de preços de contratações similares)</t>
        </r>
      </text>
    </comment>
    <comment ref="E121" authorId="0" shapeId="0" xr:uid="{B7F500BE-1F65-46FF-BB93-D0B9C63F28DD}">
      <text>
        <r>
          <rPr>
            <sz val="10"/>
            <color rgb="FF000000"/>
            <rFont val="Arial"/>
            <family val="2"/>
            <charset val="1"/>
          </rPr>
          <t>Custos indiretos incidem sobre o total de Remuneração + Benefícios + Encargos + Insumos (Módulos 1, 2, 3, 4 e 5)</t>
        </r>
      </text>
    </comment>
    <comment ref="E122" authorId="0" shapeId="0" xr:uid="{D014BD56-9980-4A7B-A21D-A4B136F17998}">
      <text>
        <r>
          <rPr>
            <sz val="10"/>
            <rFont val="Arial"/>
            <family val="2"/>
            <charset val="1"/>
          </rPr>
          <t xml:space="preserve">Lucro incide sobre Módulos 1, 2, 3, 4, 5 e Custos Indiretos.
Percentual utilizado: 6, 79%. Referência: Caderno de Logística - prestação de serviços de asseio, limpeza e conservação. MPDG-SLTI, 2014.
</t>
        </r>
      </text>
    </comment>
    <comment ref="C123" authorId="0" shapeId="0" xr:uid="{494B5CFB-AC9E-4FA1-9F0A-88E08885A8E6}">
      <text>
        <r>
          <rPr>
            <sz val="10"/>
            <color rgb="FF000000"/>
            <rFont val="Tahoma"/>
            <family val="2"/>
            <charset val="1"/>
          </rPr>
          <t xml:space="preserve">O percentual de tributos é aplicado sobre o faturamento
</t>
        </r>
      </text>
    </comment>
    <comment ref="D124" authorId="0" shapeId="0" xr:uid="{870640B9-085E-4D7A-BD72-21BBAE037F05}">
      <text>
        <r>
          <rPr>
            <sz val="10"/>
            <color rgb="FF000000"/>
            <rFont val="Arial"/>
            <family val="2"/>
            <charset val="1"/>
          </rPr>
          <t xml:space="preserve">Referência: Os tributos (COFINS e PIS) foram definidos utilizando o regime de tributação de LUCRO REAL (Acórdão TCU 1753/2008-P).
</t>
        </r>
        <r>
          <rPr>
            <b/>
            <sz val="10"/>
            <color rgb="FF000000"/>
            <rFont val="Arial"/>
            <family val="2"/>
            <charset val="1"/>
          </rPr>
          <t>A licitante deve elaborar sua proposta e, por conseguinte, sua planilha, com base no regime de tributação ao qual estará submetida durante a execução do contrato.</t>
        </r>
      </text>
    </comment>
    <comment ref="E124" authorId="0" shapeId="0" xr:uid="{D1C640DB-26EF-449C-9BCA-66B6623886F4}">
      <text>
        <r>
          <rPr>
            <sz val="10"/>
            <color rgb="FF000000"/>
            <rFont val="Arial"/>
            <family val="2"/>
            <charset val="1"/>
          </rPr>
          <t>Apuração do Coeficiente:
1-([Federais + Municipais]/100) = "Coeficiente"
Cálculo:
Faturamento/Coeficiente x Aliquota</t>
        </r>
      </text>
    </comment>
    <comment ref="D126" authorId="0" shapeId="0" xr:uid="{A8482E90-FF03-4FD5-9F18-7B4BCB408C2B}">
      <text>
        <r>
          <rPr>
            <sz val="10"/>
            <color rgb="FF000000"/>
            <rFont val="Arial"/>
            <family val="2"/>
            <charset val="1"/>
          </rPr>
          <t>Alíquota no ES: 5,0%</t>
        </r>
      </text>
    </comment>
    <comment ref="E126" authorId="0" shapeId="0" xr:uid="{4024E444-69A5-4E7D-92A7-0219279E2031}">
      <text>
        <r>
          <rPr>
            <sz val="10"/>
            <color rgb="FF000000"/>
            <rFont val="Arial"/>
            <family val="2"/>
            <charset val="1"/>
          </rPr>
          <t>Apuração do Coeficiente:
1-([Federais + Municipais]/100) = "Coeficiente"
Cálculo:
Faturamento/Coeficiente x Aliquota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Lyncoln Wchoa da Silveira e Silva</author>
  </authors>
  <commentList>
    <comment ref="D10" authorId="0" shapeId="0" xr:uid="{00000000-0006-0000-0100-000001000000}">
      <text>
        <r>
          <rPr>
            <sz val="10"/>
            <rFont val="Arial"/>
            <family val="2"/>
            <charset val="1"/>
          </rPr>
          <t>Dias trabalhados = (30,4375 dias/mês [média] * proporção de dias úteis [5/7]) – (nº feriados fixos ajustados pela probabilidade de ocorrência em dias úteis, distribuídos em 12 meses) – (feriados móveis distribuídos em 12 meses).</t>
        </r>
      </text>
    </comment>
    <comment ref="D31" authorId="0" shapeId="0" xr:uid="{00000000-0006-0000-0100-000007000000}">
      <text>
        <r>
          <rPr>
            <sz val="10"/>
            <color rgb="FF000000"/>
            <rFont val="Arial"/>
            <family val="2"/>
            <charset val="1"/>
          </rPr>
          <t>1/12 da remuneração
Cálculo: 1/12 = 8,33% * Remuneração</t>
        </r>
      </text>
    </comment>
    <comment ref="D32" authorId="0" shapeId="0" xr:uid="{00000000-0006-0000-0100-000008000000}">
      <text>
        <r>
          <rPr>
            <sz val="10"/>
            <color rgb="FF000000"/>
            <rFont val="Arial"/>
            <family val="2"/>
            <charset val="1"/>
          </rPr>
          <t>1/12 da remuneração
Cálculo: 1/12 = 8,33% * Remuneração</t>
        </r>
      </text>
    </comment>
    <comment ref="D33" authorId="0" shapeId="0" xr:uid="{00000000-0006-0000-0100-000009000000}">
      <text>
        <r>
          <rPr>
            <sz val="10"/>
            <rFont val="Arial"/>
            <family val="2"/>
            <charset val="1"/>
          </rPr>
          <t>1/3 da remuneração, provisionado mensalmente = [(1/3)/12]*remuneração</t>
        </r>
      </text>
    </comment>
    <comment ref="E42" authorId="0" shapeId="0" xr:uid="{00000000-0006-0000-0100-00000A000000}">
      <text>
        <r>
          <rPr>
            <sz val="10"/>
            <rFont val="Arial"/>
            <family val="2"/>
            <charset val="1"/>
          </rPr>
          <t>Art. 22, Inciso I, da Lei nº 8.212/91.
(incide sobre a Remuneração (Módulo 1 + Submódulo 2.1)</t>
        </r>
      </text>
    </comment>
    <comment ref="E43" authorId="0" shapeId="0" xr:uid="{00000000-0006-0000-0100-00000B000000}">
      <text>
        <r>
          <rPr>
            <sz val="10"/>
            <rFont val="Arial"/>
            <family val="2"/>
            <charset val="1"/>
          </rPr>
          <t>Art. 3º, Inciso I, Decreto n.º 87.043/82.
(incide sobre a Remuneração (Módulo 1 + Submódulo 2.1)</t>
        </r>
      </text>
    </comment>
    <comment ref="E44" authorId="0" shapeId="0" xr:uid="{00000000-0006-0000-0100-00000C000000}">
      <text>
        <r>
          <rPr>
            <sz val="10"/>
            <color rgb="FF000000"/>
            <rFont val="Arial"/>
            <family val="2"/>
            <charset val="1"/>
          </rPr>
          <t xml:space="preserve">RAT x FAP. 
1) RAT = 3% (Limpeza em prédios e em domicílios - código 8121-4/00 do Anexo V do Decreto n.º 3.048/1999). 
2) FAP = Máximo de Fator de Acidente Previdenciário = 2:
3% x 2 = 6% (maior valor possível)
</t>
        </r>
        <r>
          <rPr>
            <b/>
            <sz val="10"/>
            <color rgb="FF000000"/>
            <rFont val="Arial"/>
            <family val="2"/>
            <charset val="1"/>
          </rPr>
          <t>A empresa deve utilizar o seu FAP efetivo, a ser comprovado no envio de sua proposta adequada ao lance vencedor, mediante apresentação da GFIP ou outro documento apto a fazê-lo.</t>
        </r>
      </text>
    </comment>
    <comment ref="E45" authorId="0" shapeId="0" xr:uid="{00000000-0006-0000-0100-00000D000000}">
      <text>
        <r>
          <rPr>
            <sz val="10"/>
            <color rgb="FF000000"/>
            <rFont val="Arial"/>
            <family val="2"/>
            <charset val="1"/>
          </rPr>
          <t>Art. 3º, Lei n.º 8.036/90.
(incide sobre a Remuneração (Módulo 1 + 13º e Férias (Submódulo2.1) )</t>
        </r>
      </text>
    </comment>
    <comment ref="E46" authorId="0" shapeId="0" xr:uid="{00000000-0006-0000-0100-00000E000000}">
      <text>
        <r>
          <rPr>
            <sz val="10"/>
            <color rgb="FF000000"/>
            <rFont val="Arial"/>
            <family val="2"/>
            <charset val="1"/>
          </rPr>
          <t>Decreto n.º 2.318/86
(incide sobre a Remuneração (Módulo 1 + 13º e Férias (Submódulo2.1) )</t>
        </r>
      </text>
    </comment>
    <comment ref="E47" authorId="0" shapeId="0" xr:uid="{00000000-0006-0000-0100-00000F000000}">
      <text>
        <r>
          <rPr>
            <sz val="10"/>
            <color rgb="FF000000"/>
            <rFont val="Arial"/>
            <family val="2"/>
            <charset val="1"/>
          </rPr>
          <t>Art. 8º, Lei n.º 8.029/90 e Lei n.º 8.154/90.
(incide sobre a Remuneração (Módulo 1 + 13º e Férias (Submódulo2.1) )</t>
        </r>
      </text>
    </comment>
    <comment ref="E48" authorId="0" shapeId="0" xr:uid="{00000000-0006-0000-0100-000010000000}">
      <text>
        <r>
          <rPr>
            <sz val="10"/>
            <color rgb="FF000000"/>
            <rFont val="Arial"/>
            <family val="2"/>
            <charset val="1"/>
          </rPr>
          <t>Lei n.º 7.787/89 e DL n.º 1.146/70.
(incide sobre a Remuneração (Módulo 1 + 13º e Férias (Submódulo2.1) )</t>
        </r>
      </text>
    </comment>
    <comment ref="E49" authorId="0" shapeId="0" xr:uid="{00000000-0006-0000-0100-000011000000}">
      <text>
        <r>
          <rPr>
            <sz val="10"/>
            <color rgb="FF000000"/>
            <rFont val="Arial"/>
            <family val="2"/>
            <charset val="1"/>
          </rPr>
          <t>Art. 15, Lei nº 8.030/90 e Art. 7º, III, CF.
(incide sobre a Remuneração (Módulo 1 + 13º e Férias (Submódulo2.1) )</t>
        </r>
      </text>
    </comment>
    <comment ref="D55" authorId="0" shapeId="0" xr:uid="{00000000-0006-0000-0100-000012000000}">
      <text>
        <r>
          <rPr>
            <sz val="10"/>
            <rFont val="Arial"/>
            <family val="2"/>
            <charset val="1"/>
          </rPr>
          <t>(R$ 4,2 * 2/dia * Quantidade dias trabalhados/mês) - (Salario Base * 6%)
Desconto proporcional à quantidade de vales-transportes fornecidos em razão do número de dias trabalhados.
Lei 7.418/1985; CCT 2022/2022, Cláusula 14ª.</t>
        </r>
      </text>
    </comment>
    <comment ref="D56" authorId="0" shapeId="0" xr:uid="{00000000-0006-0000-0100-000013000000}">
      <text>
        <r>
          <rPr>
            <sz val="10"/>
            <rFont val="Arial"/>
            <family val="2"/>
            <charset val="1"/>
          </rPr>
          <t xml:space="preserve">CCT 2022/2022 (Cláusula 12ª) = R$ 17,99/dia
Cálculo: ((R$ por dia) * (22 dias utilizados como base de cálculo para concessão do benefício)) – 3,5% (Percentual previsto na Cláusula 12ª, parágrafo 2º da CCT 2022 como contrapartida do empregado).
</t>
        </r>
      </text>
    </comment>
    <comment ref="D57" authorId="0" shapeId="0" xr:uid="{00000000-0006-0000-0100-000014000000}">
      <text>
        <r>
          <rPr>
            <sz val="10"/>
            <rFont val="Arial"/>
            <family val="2"/>
            <charset val="1"/>
          </rPr>
          <t>Cláusula 15ª CCT 2022/2022</t>
        </r>
      </text>
    </comment>
    <comment ref="D58" authorId="0" shapeId="0" xr:uid="{00000000-0006-0000-0100-000015000000}">
      <text>
        <r>
          <rPr>
            <sz val="10"/>
            <rFont val="Arial"/>
            <family val="2"/>
            <charset val="1"/>
          </rPr>
          <t>Cláusula 16ª CCT 2022/2022
“A empresa que não forneça creche no seu local de trabalho fica assegurada às trabalhadoras, o pagamento de Auxílio Creche no valor correspondente a 20% (vinte por cento) do salário base mínimo da área geral, ou seja, R$ 246,63 (Duzentos e Quarenta e Seis Reais e Sessenta e Três Centavos), a partir do 1º (primeiro) mês de retorno efetivo ao trabalho, até que o filho complete 10 (dez) meses de nascimento.”
Valor = [(246,63/mês * período de concessão = 6 meses) / 12 meses] * probabilidade de ocorrência.</t>
        </r>
      </text>
    </comment>
    <comment ref="D59" authorId="0" shapeId="0" xr:uid="{00000000-0006-0000-0100-000016000000}">
      <text>
        <r>
          <rPr>
            <sz val="10"/>
            <rFont val="Arial"/>
            <family val="2"/>
            <charset val="1"/>
          </rPr>
          <t>Cláusula 17ª CCT 2022/2022</t>
        </r>
      </text>
    </comment>
    <comment ref="D60" authorId="0" shapeId="0" xr:uid="{00000000-0006-0000-0100-000017000000}">
      <text>
        <r>
          <rPr>
            <sz val="10"/>
            <rFont val="Arial"/>
            <family val="2"/>
            <charset val="1"/>
          </rPr>
          <t>Cláusula 22ª, CCT 2022/2022</t>
        </r>
      </text>
    </comment>
    <comment ref="D61" authorId="1" shapeId="0" xr:uid="{D187054A-338E-4189-B7CE-0A340E78ACFA}">
      <text>
        <r>
          <rPr>
            <sz val="10"/>
            <rFont val="Arial"/>
            <family val="2"/>
            <charset val="1"/>
          </rPr>
          <t>Cláusula 20ª, CCT 2022/2022</t>
        </r>
      </text>
    </comment>
    <comment ref="D76" authorId="0" shapeId="0" xr:uid="{00000000-0006-0000-0100-000018000000}">
      <text>
        <r>
          <rPr>
            <sz val="10"/>
            <rFont val="Arial"/>
            <family val="2"/>
            <charset val="1"/>
          </rPr>
          <t>Base de cálculo: Módulo 1 + Submódulo 2.1. Considera-se a duração média do contrato de trabalho de 12 meses
Provisionamento mensal = prazo de duração do contrato = 12 meses
Percentual de demissões sem justa causa com API = 98,42% x 50% = 49,21% (Informações obtidas junto ao CAGED para o setor de serviços ao longo de 2019. A proporção de desligamentos com API é arbitrariamente definida e 50% na ausência de informações mais precisas).
REVER NA PRORROGAÇÃO</t>
        </r>
      </text>
    </comment>
    <comment ref="D77" authorId="0" shapeId="0" xr:uid="{00000000-0006-0000-0100-000019000000}">
      <text>
        <r>
          <rPr>
            <sz val="10"/>
            <color rgb="FF000000"/>
            <rFont val="Arial"/>
            <family val="2"/>
            <charset val="1"/>
          </rPr>
          <t>API * Percentual FGTS (8%)</t>
        </r>
      </text>
    </comment>
    <comment ref="D78" authorId="0" shapeId="0" xr:uid="{00000000-0006-0000-0100-00001A000000}">
      <text>
        <r>
          <rPr>
            <sz val="10"/>
            <color rgb="FF000000"/>
            <rFont val="Arial"/>
            <family val="2"/>
            <charset val="1"/>
          </rPr>
          <t>Módulo 1 + Sub-módulo 2.1 * (8% de FGTS) * 40% de multa do FGTS * probabilidade de ocorrência de API.</t>
        </r>
      </text>
    </comment>
    <comment ref="D79" authorId="0" shapeId="0" xr:uid="{00000000-0006-0000-0100-00001B000000}">
      <text>
        <r>
          <rPr>
            <sz val="10"/>
            <rFont val="Arial"/>
            <family val="2"/>
            <charset val="1"/>
          </rPr>
          <t>Base de cálculo: Módulo 1 + Módulo 2. Considera-se a duração média do contrato de trabalho de 12 meses
Provisionamento mensal = prazo de duração do contrato = 12 meses
Percentual de demissões sem justa causa com APT = 98,42% x 50% = 49,21% (Informações obtidas junto ao CAGED para o setor de serviços ao longo de 2019. A proporção de desligamentos com APT é arbitrariamente definida e 50% na ausência de informações mais precisas).
APT = (provisionamento mensal)*7/30
7 dias de folga / 30 dias / 12 meses (vigência inicial do contrato)
REVER NA PRORROGAÇÃO</t>
        </r>
      </text>
    </comment>
    <comment ref="D80" authorId="0" shapeId="0" xr:uid="{00000000-0006-0000-0100-00001C000000}">
      <text>
        <r>
          <rPr>
            <sz val="10"/>
            <color rgb="FF000000"/>
            <rFont val="Arial"/>
            <family val="2"/>
            <charset val="1"/>
          </rPr>
          <t xml:space="preserve">APT * Percentual Total do Submódulo 2.2 (36,8%)
</t>
        </r>
      </text>
    </comment>
    <comment ref="D81" authorId="0" shapeId="0" xr:uid="{00000000-0006-0000-0100-00001D000000}">
      <text>
        <r>
          <rPr>
            <sz val="10"/>
            <color rgb="FF000000"/>
            <rFont val="Arial"/>
            <family val="2"/>
            <charset val="1"/>
          </rPr>
          <t>Módulo 1 + Sub-módulo 2.1 * (8% de FGTS) * 40% de multa do FGTS * probabilidade de ocorrência de APT (24,26% Informações obtidas junto ao CAGED para o setor de serviços ao longo de 2019. A proporção de desligamentos com APT é arbitrariamente definida e 50% na ausência de informações mais precisas).</t>
        </r>
      </text>
    </comment>
    <comment ref="D82" authorId="0" shapeId="0" xr:uid="{00000000-0006-0000-0100-00001E000000}">
      <text>
        <r>
          <rPr>
            <sz val="10"/>
            <rFont val="Arial"/>
            <family val="2"/>
            <charset val="1"/>
          </rPr>
          <t>Valor provisionado de 13º Salário, Férias e Adicional de Férias (Sub-módulo 2.1) * percentual de demissões por justa causa.
Percentual de demissões com justa causa = 1,58%
(Informações obtidas junto ao CAGED para o setor de serviços ao longo de 2019
(Informações obtidas junto ao CAGED para o setor de serviços ao longo de 2019).</t>
        </r>
      </text>
    </comment>
    <comment ref="D93" authorId="0" shapeId="0" xr:uid="{00000000-0006-0000-0100-00001F000000}">
      <text>
        <r>
          <rPr>
            <sz val="10"/>
            <rFont val="Arial"/>
            <family val="2"/>
            <charset val="1"/>
          </rPr>
          <t>Base de cálculo: Módulo 1 + Módulo 2 (com férias) + Módulo 3.
Provisionado em 11 meses, prevendo a prorrogação do contrato. No segundo ano em diante o empregado trabalha 11 e tira férias, então entende-se que a provisão mais correta seria por 11 meses ao invés de 12.</t>
        </r>
      </text>
    </comment>
    <comment ref="D94" authorId="0" shapeId="0" xr:uid="{00000000-0006-0000-0100-000020000000}">
      <text>
        <r>
          <rPr>
            <sz val="10"/>
            <rFont val="Arial"/>
            <family val="2"/>
            <charset val="1"/>
          </rPr>
          <t>Base de cálculo: Módulo 1 + Módulo 2 (com férias) + Módulo 3.
Faltas abonadas por lei, 2 dias em caso de morte do cônjuge, ascendente ou descendente; 1 dia para registro de nascimento de filho; 3 dias para casamento; 1 dia para doação de sangue; 2 dias para alistamento eleitoral; e 1 dia para exigências do serviço militar; entre outros. (1 dia/30 dias) x (1/12 meses). Fundamentação: art. 473 da CLT e Acórdão TCU 6771/2009.</t>
        </r>
      </text>
    </comment>
    <comment ref="D95" authorId="0" shapeId="0" xr:uid="{00000000-0006-0000-0100-000021000000}">
      <text>
        <r>
          <rPr>
            <sz val="10"/>
            <rFont val="Arial"/>
            <family val="2"/>
            <charset val="1"/>
          </rPr>
          <t>Base de cálculo: Módulo 1 + Módulo 2 (com férias) + Módulo 3.
Licença de 5 dias. Taxa de fecundidade = 6,24%. O ônus da licença maternidade é suportada pelo INSS, então calculamos apenas a participação masculina. Fundamentação: art. 7º, inciso XIX, da Constituição Federal.
(5 dias/30dias) x (1/12 meses) x 6,24% taxa de fecundidade x 50% participação masculina = 0,0004 = 0,04%</t>
        </r>
      </text>
    </comment>
    <comment ref="D96" authorId="0" shapeId="0" xr:uid="{00000000-0006-0000-0100-000022000000}">
      <text>
        <r>
          <rPr>
            <sz val="10"/>
            <rFont val="Arial"/>
            <family val="2"/>
            <charset val="1"/>
          </rPr>
          <t>Base de cálculo: Módulo 1 + Módulo 2 (com férias) + Módulo 3.
15 primeiros dias em que o empregado não pode exercer suas atividades devido a algum acidente no trabalho dentro da empresa; trajeto a serviço; cumprindo ordens; doença profissional. O Ministério Público  (MP) considera que o empregado falta 0,91dias/ano. Fundamentação: arts. 19 a 23 da Lei 8.213/91; Lei nº 6.367/76 e art. 473 da CLT. Cálculos: (0,91 dias / 30 dias)x(1/12 meses) = 0,0027 = 0,27%.</t>
        </r>
      </text>
    </comment>
    <comment ref="D97" authorId="0" shapeId="0" xr:uid="{00000000-0006-0000-0100-000023000000}">
      <text>
        <r>
          <rPr>
            <sz val="10"/>
            <rFont val="Arial"/>
            <family val="2"/>
            <charset val="1"/>
          </rPr>
          <t>Base de cálculo: Módulo 1 + Módulo 2 (com férias) + Módulo 3.
 Custo dos dias em que o empregado fica doente e a contratada deve providenciar a sua substituição. Dados estatísticos: 5,96 dias/ano IBGE. (5,96 dias/30 dias) x (1/12 meses) = 0,0166 = 1,66%. Fundamentação: art. 476 da CLT; art. 6º, §1º, alínea "f", da Lei 605/49 c/c art. 12, alínea "f", do Decreto 27.048/49 e Acórdão TCU nº 1.753/2008 Plenário.</t>
        </r>
      </text>
    </comment>
    <comment ref="D103" authorId="0" shapeId="0" xr:uid="{00000000-0006-0000-0100-000024000000}">
      <text>
        <r>
          <rPr>
            <sz val="10"/>
            <rFont val="Arial"/>
            <family val="2"/>
            <charset val="1"/>
          </rPr>
          <t xml:space="preserve">Não se aplica.
</t>
        </r>
      </text>
    </comment>
    <comment ref="D114" authorId="0" shapeId="0" xr:uid="{00000000-0006-0000-0100-000025000000}">
      <text>
        <r>
          <rPr>
            <sz val="10"/>
            <color rgb="FF000000"/>
            <rFont val="Arial"/>
            <family val="2"/>
            <charset val="1"/>
          </rPr>
          <t>Referência: Custo Mensal de Uniformes (vide pesquisa de preços de contratações similares)</t>
        </r>
      </text>
    </comment>
    <comment ref="E121" authorId="0" shapeId="0" xr:uid="{00000000-0006-0000-0100-000026000000}">
      <text>
        <r>
          <rPr>
            <sz val="10"/>
            <color rgb="FF000000"/>
            <rFont val="Arial"/>
            <family val="2"/>
            <charset val="1"/>
          </rPr>
          <t>Custos indiretos incidem sobre o total de Remuneração + Benefícios + Encargos + Insumos (Módulos 1, 2, 3, 4 e 5)</t>
        </r>
      </text>
    </comment>
    <comment ref="E122" authorId="0" shapeId="0" xr:uid="{00000000-0006-0000-0100-000027000000}">
      <text>
        <r>
          <rPr>
            <sz val="10"/>
            <rFont val="Arial"/>
            <family val="2"/>
            <charset val="1"/>
          </rPr>
          <t xml:space="preserve">Lucro incide sobre Módulos 1, 2, 3, 4, 5 e Custos Indiretos.
Percentual utilizado: 6, 79%. Referência: Caderno de Logística - prestação de serviços de asseio, limpeza e conservação. MPDG-SLTI, 2014.
</t>
        </r>
      </text>
    </comment>
    <comment ref="C123" authorId="0" shapeId="0" xr:uid="{00000000-0006-0000-0100-000028000000}">
      <text>
        <r>
          <rPr>
            <sz val="10"/>
            <color rgb="FF000000"/>
            <rFont val="Tahoma"/>
            <family val="2"/>
            <charset val="1"/>
          </rPr>
          <t xml:space="preserve">O percentual de tributos é aplicado sobre o faturamento
</t>
        </r>
      </text>
    </comment>
    <comment ref="D124" authorId="0" shapeId="0" xr:uid="{00000000-0006-0000-0100-000029000000}">
      <text>
        <r>
          <rPr>
            <sz val="10"/>
            <color rgb="FF000000"/>
            <rFont val="Arial"/>
            <family val="2"/>
            <charset val="1"/>
          </rPr>
          <t xml:space="preserve">Referência: Os tributos (COFINS e PIS) foram definidos utilizando o regime de tributação de LUCRO REAL (Acórdão TCU 1753/2008-P).
</t>
        </r>
        <r>
          <rPr>
            <b/>
            <sz val="10"/>
            <color rgb="FF000000"/>
            <rFont val="Arial"/>
            <family val="2"/>
            <charset val="1"/>
          </rPr>
          <t>A licitante deve elaborar sua proposta e, por conseguinte, sua planilha, com base no regime de tributação ao qual estará submetida durante a execução do contrato.</t>
        </r>
      </text>
    </comment>
    <comment ref="E124" authorId="0" shapeId="0" xr:uid="{00000000-0006-0000-0100-00002A000000}">
      <text>
        <r>
          <rPr>
            <sz val="10"/>
            <color rgb="FF000000"/>
            <rFont val="Arial"/>
            <family val="2"/>
            <charset val="1"/>
          </rPr>
          <t>Apuração do Coeficiente:
1-([Federais + Municipais]/100) = "Coeficiente"
Cálculo:
Faturamento/Coeficiente x Aliquota</t>
        </r>
      </text>
    </comment>
    <comment ref="D126" authorId="0" shapeId="0" xr:uid="{00000000-0006-0000-0100-00002B000000}">
      <text>
        <r>
          <rPr>
            <sz val="10"/>
            <color rgb="FF000000"/>
            <rFont val="Arial"/>
            <family val="2"/>
            <charset val="1"/>
          </rPr>
          <t>Alíquota no ES: 5,0%</t>
        </r>
      </text>
    </comment>
    <comment ref="E126" authorId="0" shapeId="0" xr:uid="{00000000-0006-0000-0100-00002C000000}">
      <text>
        <r>
          <rPr>
            <sz val="10"/>
            <color rgb="FF000000"/>
            <rFont val="Arial"/>
            <family val="2"/>
            <charset val="1"/>
          </rPr>
          <t>Apuração do Coeficiente:
1-([Federais + Municipais]/100) = "Coeficiente"
Cálculo:
Faturamento/Coeficiente x Aliquota</t>
        </r>
      </text>
    </comment>
  </commentList>
</comments>
</file>

<file path=xl/sharedStrings.xml><?xml version="1.0" encoding="utf-8"?>
<sst xmlns="http://schemas.openxmlformats.org/spreadsheetml/2006/main" count="827" uniqueCount="225">
  <si>
    <t>PLANILHA DE CUSTOS E FORMAÇÃO DE PREÇOS</t>
  </si>
  <si>
    <t xml:space="preserve">Processo nº: </t>
  </si>
  <si>
    <t>54000.012986/2022-11</t>
  </si>
  <si>
    <t xml:space="preserve">Licitação nº: </t>
  </si>
  <si>
    <t>02/2022</t>
  </si>
  <si>
    <t>DISCRIMINAÇÃO DOS SERVIÇOS (DADOS REFERENTES À CONTRATAÇÃO)</t>
  </si>
  <si>
    <t>A</t>
  </si>
  <si>
    <t>Data de apresentação da proposta (dia/mês/ano)</t>
  </si>
  <si>
    <t>B</t>
  </si>
  <si>
    <t>Município/ UF</t>
  </si>
  <si>
    <t>Vila Velha/ES</t>
  </si>
  <si>
    <t>C</t>
  </si>
  <si>
    <t>Ano Acordo, Convenção ou Sentença Normativa em Dissídio Coletivo</t>
  </si>
  <si>
    <t>CCT 2022/2022</t>
  </si>
  <si>
    <t>D</t>
  </si>
  <si>
    <t>Nº de meses de execução contratual</t>
  </si>
  <si>
    <t>IDENTIFICAÇÃO DOS SERVIÇOS</t>
  </si>
  <si>
    <t>TIPO DE SERVIÇO</t>
  </si>
  <si>
    <t>UNIDADE DE MEDIDA</t>
  </si>
  <si>
    <t>QUANTIDADE A CONTRATAR</t>
  </si>
  <si>
    <t>Limpeza predial</t>
  </si>
  <si>
    <t>Metro quadrado (m²)</t>
  </si>
  <si>
    <t>Recepção</t>
  </si>
  <si>
    <t>Posto de 40h semanais</t>
  </si>
  <si>
    <t xml:space="preserve">MINISTERIO DA AGRICULTURA, PECUÁRIA E ABASTECIMENTO
INSTITUTO NACIONAL DE COLONIZAÇÃO E REFORMA AGRÁRIA
SUPERINTENDÊNCIA REGIONAL DO ESPÍRITO SANTO
</t>
  </si>
  <si>
    <t>PLANILHA DE CUSTOS E  FORMAÇÃO DE PREÇOS</t>
  </si>
  <si>
    <t>Dados para composição dos custos referentes a mão de obra</t>
  </si>
  <si>
    <t>Tipo de serviço</t>
  </si>
  <si>
    <t>Limpeza predial - 44h (seg-sex)</t>
  </si>
  <si>
    <t>Dias trabalhados por mês</t>
  </si>
  <si>
    <t>Classificação Brasileira de Ocupações (CBO)</t>
  </si>
  <si>
    <t>5143-20</t>
  </si>
  <si>
    <t>Salário Normativo da Categoria Profissional</t>
  </si>
  <si>
    <t xml:space="preserve">Categoria profissional </t>
  </si>
  <si>
    <t>Auxiliar de Serviços Gerais - Limpeza predial</t>
  </si>
  <si>
    <t>Data base da categoria</t>
  </si>
  <si>
    <t>MÓDULO 1 : COMPOSIÇÃO DA REMUNERAÇÃO</t>
  </si>
  <si>
    <t>Composição da Remuneração</t>
  </si>
  <si>
    <t>Valor(R$)</t>
  </si>
  <si>
    <t>Salário Base</t>
  </si>
  <si>
    <t>Adicional de Periculosidade</t>
  </si>
  <si>
    <t>Adicional de Insalubridade</t>
  </si>
  <si>
    <t>Adicional Noturno</t>
  </si>
  <si>
    <t>E</t>
  </si>
  <si>
    <t>Hora Noturna Reduzida</t>
  </si>
  <si>
    <t>F</t>
  </si>
  <si>
    <t>Hora Extra</t>
  </si>
  <si>
    <t>G</t>
  </si>
  <si>
    <t>Outros</t>
  </si>
  <si>
    <t>Total de Remuneração</t>
  </si>
  <si>
    <t>MÓDULO 2: ENCARGOS E BENEFÍCIOS ANUAIS, MENSAIS E DIÁRIOS</t>
  </si>
  <si>
    <t>Submódulo 2.1 - 13º (décimo terceiro) Salário, Férias e Adicional de Férias</t>
  </si>
  <si>
    <t>2.1</t>
  </si>
  <si>
    <t>13º (décimo terceiro) Salário, Férias e Adicional de Férias</t>
  </si>
  <si>
    <t>Valor (R$)</t>
  </si>
  <si>
    <t>13º (décimo terceiro) Salário</t>
  </si>
  <si>
    <r>
      <t>Férias</t>
    </r>
    <r>
      <rPr>
        <i/>
        <sz val="10"/>
        <color rgb="FFFF0000"/>
        <rFont val="Arial"/>
        <family val="2"/>
      </rPr>
      <t xml:space="preserve"> (incluído apenas para calcular custo do profissional repositor - Nota 1)</t>
    </r>
  </si>
  <si>
    <t>Adicional de Férias</t>
  </si>
  <si>
    <t>Total</t>
  </si>
  <si>
    <t>Nota 1: Para contratos com duração superior a 12 meses, a letra "B - Férias" não será incluída no pagamento mensal. O valor das férias do titular será custeado pelo Módulo 1 e o valor do profissional repositor será custeado pelo Módulo 4.1,  letra "A". As férias proporcionais devidas quando da rescisão do titular serão custeadad pela provisão feita no Módulo 3, já que neste caso não será necessária reposição.</t>
  </si>
  <si>
    <t>Submódulo 2.2 - Encargos Previdenciários (GPS), Fundo de Garantia por Tempo de Serviço (FGTS) e outras contribuições</t>
  </si>
  <si>
    <t>2.2</t>
  </si>
  <si>
    <t>GPS, FGTS e outras contribuições</t>
  </si>
  <si>
    <t>%</t>
  </si>
  <si>
    <t>INSS</t>
  </si>
  <si>
    <t>Salário Educação</t>
  </si>
  <si>
    <t>Seguro acidente do trabalho</t>
  </si>
  <si>
    <t>SESI ou SESC</t>
  </si>
  <si>
    <t>SENAI ou SENAC</t>
  </si>
  <si>
    <t>SEBRAE</t>
  </si>
  <si>
    <t>INCRA</t>
  </si>
  <si>
    <t>H</t>
  </si>
  <si>
    <t>FGTS</t>
  </si>
  <si>
    <t>TOTAL</t>
  </si>
  <si>
    <t>Itens não aplicáveis a Optantes do SIMPLES</t>
  </si>
  <si>
    <t>Submódulo 2.3 - Benefícios Mensais e Diários</t>
  </si>
  <si>
    <t>2.3</t>
  </si>
  <si>
    <t>Benefícios Mensais e Diários</t>
  </si>
  <si>
    <t>Transporte</t>
  </si>
  <si>
    <t>Auxílio Alimentação</t>
  </si>
  <si>
    <t>Auxílio Saúde</t>
  </si>
  <si>
    <t>Auxílio Creche</t>
  </si>
  <si>
    <t>Seguro de Vida</t>
  </si>
  <si>
    <t>Benefício Social Familiar (IDESBRE)</t>
  </si>
  <si>
    <t>Assistência Odontológica</t>
  </si>
  <si>
    <t>Total de Benefícios Mensais e Diários</t>
  </si>
  <si>
    <t>Nota 2: Durante as férias do titular do posto, serão excluídos do pagamento à contratada os valores referente aos benefícios devidos por dia trabalhado, exceto quando previsão do pagamento na CCT. Estes custos já estão inclusos no custo do porfissional ausente.</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</si>
  <si>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</si>
  <si>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</si>
  <si>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</si>
  <si>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</si>
  <si>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</si>
  <si>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</si>
  <si>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do aviso prévio indenizado</t>
  </si>
  <si>
    <t>Aviso prévio trabalhado</t>
  </si>
  <si>
    <t>Incidência do submódulo 2.2 sobre o Aviso Prévio Trabalhado</t>
  </si>
  <si>
    <t>Multa do FGTS do aviso prévio trabalhado</t>
  </si>
  <si>
    <t>Reversão (demissão com justa causa)</t>
  </si>
  <si>
    <t>Nota 3: Em caso de prorrogação contratual, se os eventos com custos provisionados nas letras A e D não ocorrerem no período de 12 meses, a fórmula da planilha será atualizada para retirada do custo do aviso prévio referente aos 12 meses de vínculo, restando apenas o custo proporcional, aos três dias acrescentados por ano a mais de vínculo (Lei nº 12.506/2011 - NT 652/2017-MP).
Nota 4: O valor referente às férias devidas quando da rescisão será custeado da provisão realizada no Módulo 4.1, letra "A", que inclui todas as verbas previdenciárias e trabalhistas, já que esse valor não será utilizado para pagar o substituto durante férias.</t>
  </si>
  <si>
    <t>Módulo 4 - Custo de Reposição do Profissional Ausente</t>
  </si>
  <si>
    <t>Submódulo 4.1 - Ausências Legais</t>
  </si>
  <si>
    <t>4.1</t>
  </si>
  <si>
    <t>Ausências legais</t>
  </si>
  <si>
    <t>Férias</t>
  </si>
  <si>
    <t>Licença paternidade</t>
  </si>
  <si>
    <t>Ausência por Acidente de trabalho</t>
  </si>
  <si>
    <t>Ausência por doença</t>
  </si>
  <si>
    <t>Submódulo 4.2 - Intrajornada</t>
  </si>
  <si>
    <t>4.2</t>
  </si>
  <si>
    <t>Intrajornada</t>
  </si>
  <si>
    <t>Intervalo para repouso ou alimentação</t>
  </si>
  <si>
    <t>Quadro-Resumo do Módulo 4 - Custo de Reposição do Profissional Ausente</t>
  </si>
  <si>
    <t>Custo de reposição</t>
  </si>
  <si>
    <t>MÓDULO 5: INSUMOS DIVERSOS</t>
  </si>
  <si>
    <t>Insumos Diversos</t>
  </si>
  <si>
    <t>Uniformes</t>
  </si>
  <si>
    <t>Materiais</t>
  </si>
  <si>
    <t>Equipamentos</t>
  </si>
  <si>
    <t>Total de Insumos Diversos</t>
  </si>
  <si>
    <t>MÓDULO 6: CUSTOS INDIRETOS, TRIBUTOS E LUCRO</t>
  </si>
  <si>
    <t>Custos Indiretos, Tributos e Lucro</t>
  </si>
  <si>
    <t>Custos Indiretos</t>
  </si>
  <si>
    <t>Lucro</t>
  </si>
  <si>
    <t>Tributos</t>
  </si>
  <si>
    <t>C.1) Tributos Federais (PIS = 1,65% e COFINS = 7,6%)</t>
  </si>
  <si>
    <t>C.2) Tributos Estaduais (especificar)</t>
  </si>
  <si>
    <t>C.3) Tributos Municipais (ISS = 5,0%)</t>
  </si>
  <si>
    <t>C.4) Outros tributos (especificar)</t>
  </si>
  <si>
    <t>Quadro-resumo do Custo por Empregado</t>
  </si>
  <si>
    <t>Mão-de-obra vinculada à execução contratual (valor por empregado)</t>
  </si>
  <si>
    <t>Módulo 1 - Composição da Remuneração</t>
  </si>
  <si>
    <t>Módulo 2 - Encargos e Benefícios Anuais, Mensais e Diários</t>
  </si>
  <si>
    <t>Módulo 3 - Provisão para rescisão</t>
  </si>
  <si>
    <t>Módulo 5 - Insumos Diversos</t>
  </si>
  <si>
    <t>Subtotal (A + B + C + D + E)</t>
  </si>
  <si>
    <t>Módulo 6 – Custos Indiretos, Tributos e Lucro</t>
  </si>
  <si>
    <t>Valor total por empregado</t>
  </si>
  <si>
    <t>Valor total por posto (1 empregado)</t>
  </si>
  <si>
    <t>FATOR K</t>
  </si>
  <si>
    <t>Limpeza predial - banheirista - 44h (seg-sex)</t>
  </si>
  <si>
    <t>Recepcionista 40h (seg-sex)</t>
  </si>
  <si>
    <t>4221-05</t>
  </si>
  <si>
    <t>Recepcionista</t>
  </si>
  <si>
    <t>UNIFORMES</t>
  </si>
  <si>
    <t>ASG</t>
  </si>
  <si>
    <t>Discriminação</t>
  </si>
  <si>
    <t>I - Qtde</t>
  </si>
  <si>
    <t>II - Valor unitário</t>
  </si>
  <si>
    <t>III - Total (IxII)</t>
  </si>
  <si>
    <t>IV - Vida útil - meses</t>
  </si>
  <si>
    <t>Calça em brim com logomarca da empresa</t>
  </si>
  <si>
    <t>Camisa manga curta 100% algodão com logomarca da empresa</t>
  </si>
  <si>
    <t>Calçado de segurança (bota em couro ou borracha, meio cano, com elástico)</t>
  </si>
  <si>
    <t>Meias  cano alto 100% algodão</t>
  </si>
  <si>
    <t>TOTAL MÊS</t>
  </si>
  <si>
    <t>Calça, tipo social, com bolsos</t>
  </si>
  <si>
    <t>Camisa/blusa, tipo social, composição majoritária algodão</t>
  </si>
  <si>
    <t>Par de sapatos</t>
  </si>
  <si>
    <t>Meias</t>
  </si>
  <si>
    <t>Casaco social, tipo blazer</t>
  </si>
  <si>
    <t>Crachá</t>
  </si>
  <si>
    <t>Pisos Frios</t>
  </si>
  <si>
    <t>MÃO DE OBRA</t>
  </si>
  <si>
    <t>(A)</t>
  </si>
  <si>
    <t>(B)</t>
  </si>
  <si>
    <t>(AxB)</t>
  </si>
  <si>
    <t>PRODUTIVIDADE</t>
  </si>
  <si>
    <t>PREÇO HOMEM-MÊS</t>
  </si>
  <si>
    <t>SUBTOTAL</t>
  </si>
  <si>
    <t>(1/m²)</t>
  </si>
  <si>
    <t>(R$)</t>
  </si>
  <si>
    <t>(R$ / m²)</t>
  </si>
  <si>
    <t>SERVENTE</t>
  </si>
  <si>
    <t>1 /</t>
  </si>
  <si>
    <t>Almoxarifado/galpão</t>
  </si>
  <si>
    <t>Áreas com espaços livres</t>
  </si>
  <si>
    <t>Banheiros</t>
  </si>
  <si>
    <t>SERVENTE BANHEIRISTA</t>
  </si>
  <si>
    <t>Áreas externas - varrição de passeios e arruamentos</t>
  </si>
  <si>
    <t>(AXB)</t>
  </si>
  <si>
    <t>Pátios e áreas verdes com MÉDIA frequência</t>
  </si>
  <si>
    <t>Pátios e áreas verdes com ALTA frequência</t>
  </si>
  <si>
    <t>Esquadrias - face EXTERNA sem exposição ao risco</t>
  </si>
  <si>
    <t>(C)</t>
  </si>
  <si>
    <t>(D = AxBxC)</t>
  </si>
  <si>
    <t>(E)</t>
  </si>
  <si>
    <t>(DxE)</t>
  </si>
  <si>
    <t>FREQUÊNCIA</t>
  </si>
  <si>
    <t>JORNADA DE TRABALHO</t>
  </si>
  <si>
    <t>KI</t>
  </si>
  <si>
    <t>2xMÊS (HORAS)</t>
  </si>
  <si>
    <t>MÊS (HORAS)</t>
  </si>
  <si>
    <t>1 / 188,76</t>
  </si>
  <si>
    <t>Esquadrias - face INTERNA sem exposição ao risco</t>
  </si>
  <si>
    <t>Esquadrias - face EXTERNA com exposição ao risco</t>
  </si>
  <si>
    <t>TIPO DE ÁREAS:</t>
  </si>
  <si>
    <t>QUANTIDADE DE FUNCIONARIOS</t>
  </si>
  <si>
    <t>PREÇO MENSAL UNITÁRIO</t>
  </si>
  <si>
    <t>ÁREA</t>
  </si>
  <si>
    <t>(R$/m²)</t>
  </si>
  <si>
    <t>(m2)</t>
  </si>
  <si>
    <t>Áreas internas =</t>
  </si>
  <si>
    <t>Pisos Frios (INTERDITADO)</t>
  </si>
  <si>
    <t>Áreas externas =</t>
  </si>
  <si>
    <t>Almoxarifado/galpão, aéreas livres</t>
  </si>
  <si>
    <t>Esquadrias =</t>
  </si>
  <si>
    <t>Banheiros (INTERDITADO)</t>
  </si>
  <si>
    <t>Esquadrias - face EXTERNA sem exposição ao risco (INTERDITADO)</t>
  </si>
  <si>
    <t>Esquadrias - face INTERNA sem exposição ao risco (INTERDITADO)</t>
  </si>
  <si>
    <t>Esquadrias - face EXTERNA com exposição ao risco (INTERDITADO)</t>
  </si>
  <si>
    <t>TOTAL MENSAL DOS SERVIÇOS</t>
  </si>
  <si>
    <t>TOTAL MENSAL (DESCONTADAS AS INTERDIÇÕES)</t>
  </si>
  <si>
    <t>Observações:</t>
  </si>
  <si>
    <t>1. Para efeitos de estimativa do custo da contratação, foram utilizadas as produtividades mínimas sugeridas no Anexo VI-B da IN/SEGES/nº 05/2017.</t>
  </si>
  <si>
    <t>RESUMO</t>
  </si>
  <si>
    <t>ITEM</t>
  </si>
  <si>
    <t>TIPO DE POSTO/ESCALA DE TRABALHO</t>
  </si>
  <si>
    <t>QUANTIDADE DE POSTOS</t>
  </si>
  <si>
    <t>VALOR UNITÁRIO (posto)</t>
  </si>
  <si>
    <t>VALOR MENSAL</t>
  </si>
  <si>
    <t>DURAÇÃO DO CONTRATO (meses)</t>
  </si>
  <si>
    <t>VALOR GLOBAL</t>
  </si>
  <si>
    <t>Limpeza predial - 44h semanais</t>
  </si>
  <si>
    <t>-</t>
  </si>
  <si>
    <t>Recepção – 40h semanais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</si>
</sst>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dd/yy;@"/>
    <numFmt numFmtId="165" formatCode="m/d/yyyy"/>
    <numFmt numFmtId="166" formatCode="#,##0.00\ ;\(#,##0.00\)"/>
    <numFmt numFmtId="167" formatCode="0.00;[Red]\-0.00"/>
    <numFmt numFmtId="168" formatCode="&quot; R$ &quot;* #,##0.00\ ;&quot;-R$ &quot;* #,##0.00\ ;&quot; R$ &quot;* \-#\ ;@\ "/>
  </numFmts>
  <fonts count="28">
    <font>
      <sz val="10"/>
      <name val="Arial"/>
      <family val="2"/>
      <charset val="1"/>
    </font>
    <font>
      <sz val="10"/>
      <color rgb="FF000000"/>
      <name val="Arial"/>
      <family val="2"/>
      <charset val="1"/>
    </font>
    <font>
      <b/>
      <sz val="10"/>
      <color rgb="FF000000"/>
      <name val="Arial"/>
      <family val="2"/>
      <charset val="1"/>
    </font>
    <font>
      <sz val="10"/>
      <color rgb="FF1F497D"/>
      <name val="Arial"/>
      <family val="2"/>
      <charset val="1"/>
    </font>
    <font>
      <u/>
      <sz val="10"/>
      <color rgb="FF0000FF"/>
      <name val="Arial"/>
      <family val="2"/>
      <charset val="1"/>
    </font>
    <font>
      <b/>
      <sz val="10"/>
      <name val="Arial"/>
      <family val="2"/>
      <charset val="1"/>
    </font>
    <font>
      <sz val="10"/>
      <color rgb="FF800080"/>
      <name val="Arial"/>
      <family val="2"/>
      <charset val="1"/>
    </font>
    <font>
      <sz val="10"/>
      <color rgb="FF000000"/>
      <name val="Tahoma"/>
      <family val="2"/>
      <charset val="1"/>
    </font>
    <font>
      <sz val="12"/>
      <color rgb="FF000000"/>
      <name val="Calibri"/>
      <family val="2"/>
      <charset val="1"/>
    </font>
    <font>
      <b/>
      <sz val="12"/>
      <name val="Calibri"/>
      <family val="2"/>
      <charset val="1"/>
    </font>
    <font>
      <b/>
      <sz val="15"/>
      <color rgb="FF003366"/>
      <name val="Calibri"/>
      <family val="2"/>
      <charset val="1"/>
    </font>
    <font>
      <sz val="11"/>
      <color rgb="FF000000"/>
      <name val="Calibri"/>
      <family val="2"/>
      <charset val="1"/>
    </font>
    <font>
      <b/>
      <sz val="10"/>
      <color rgb="FF00000A"/>
      <name val="Arial"/>
      <family val="2"/>
      <charset val="1"/>
    </font>
    <font>
      <sz val="10"/>
      <color rgb="FF00000A"/>
      <name val="Arial"/>
      <family val="2"/>
      <charset val="1"/>
    </font>
    <font>
      <sz val="11"/>
      <name val="Calibri"/>
      <family val="2"/>
      <charset val="1"/>
    </font>
    <font>
      <sz val="10"/>
      <name val="Arial"/>
      <family val="2"/>
      <charset val="1"/>
    </font>
    <font>
      <b/>
      <sz val="10"/>
      <name val="Arial"/>
      <family val="2"/>
    </font>
    <font>
      <i/>
      <sz val="10"/>
      <name val="Arial"/>
      <family val="2"/>
    </font>
    <font>
      <i/>
      <sz val="10"/>
      <color rgb="FFFF0000"/>
      <name val="Arial"/>
      <family val="2"/>
    </font>
    <font>
      <b/>
      <sz val="10"/>
      <name val="Arial"/>
    </font>
    <font>
      <sz val="10"/>
      <name val="Arial"/>
    </font>
    <font>
      <b/>
      <sz val="10"/>
      <color rgb="FF000000"/>
      <name val="Arial"/>
    </font>
    <font>
      <b/>
      <sz val="8"/>
      <name val="Arial"/>
      <charset val="1"/>
    </font>
    <font>
      <sz val="8"/>
      <name val="Arial"/>
      <family val="2"/>
      <charset val="1"/>
    </font>
    <font>
      <sz val="8"/>
      <name val="Arial"/>
      <charset val="1"/>
    </font>
    <font>
      <sz val="8"/>
      <color rgb="FFFF0000"/>
      <name val="Arial"/>
      <charset val="1"/>
    </font>
    <font>
      <sz val="8"/>
      <color rgb="FF000000"/>
      <name val="Arial"/>
      <charset val="1"/>
    </font>
    <font>
      <sz val="10"/>
      <color rgb="FF000000"/>
      <name val="Arial"/>
    </font>
  </fonts>
  <fills count="20">
    <fill>
      <patternFill patternType="none"/>
    </fill>
    <fill>
      <patternFill patternType="gray125"/>
    </fill>
    <fill>
      <patternFill patternType="solid">
        <fgColor rgb="FFFFFFFF"/>
        <bgColor rgb="FFFFFFCC"/>
      </patternFill>
    </fill>
    <fill>
      <patternFill patternType="solid">
        <fgColor rgb="FFCCC1DA"/>
        <bgColor rgb="FFC0C0C0"/>
      </patternFill>
    </fill>
    <fill>
      <patternFill patternType="solid">
        <fgColor rgb="FFFFF200"/>
        <bgColor rgb="FFFFFF00"/>
      </patternFill>
    </fill>
    <fill>
      <patternFill patternType="solid">
        <fgColor rgb="FFB2B2B2"/>
        <bgColor rgb="FFC0C0C0"/>
      </patternFill>
    </fill>
    <fill>
      <patternFill patternType="solid">
        <fgColor rgb="FFC0C0C0"/>
        <bgColor rgb="FFCCC1DA"/>
      </patternFill>
    </fill>
    <fill>
      <patternFill patternType="solid">
        <fgColor rgb="FFD9D9D9"/>
        <bgColor rgb="FFCCC1DA"/>
      </patternFill>
    </fill>
    <fill>
      <patternFill patternType="solid">
        <fgColor rgb="FFFFFFFF"/>
        <bgColor indexed="64"/>
      </patternFill>
    </fill>
    <fill>
      <patternFill patternType="solid">
        <fgColor rgb="FFFFFF00"/>
        <bgColor indexed="64"/>
      </patternFill>
    </fill>
    <fill>
      <patternFill patternType="solid">
        <fgColor rgb="FFB7DEE8"/>
        <bgColor indexed="64"/>
      </patternFill>
    </fill>
    <fill>
      <patternFill patternType="solid">
        <fgColor rgb="FFFFC000"/>
        <bgColor indexed="64"/>
      </patternFill>
    </fill>
    <fill>
      <patternFill patternType="solid">
        <fgColor rgb="FFC3D69B"/>
        <bgColor indexed="64"/>
      </patternFill>
    </fill>
    <fill>
      <patternFill patternType="solid">
        <fgColor rgb="FFE6E0EC"/>
        <bgColor indexed="64"/>
      </patternFill>
    </fill>
    <fill>
      <patternFill patternType="solid">
        <fgColor rgb="FFF2DCDB"/>
        <bgColor indexed="64"/>
      </patternFill>
    </fill>
    <fill>
      <patternFill patternType="solid">
        <fgColor rgb="FF81EFA6"/>
        <bgColor indexed="64"/>
      </patternFill>
    </fill>
    <fill>
      <patternFill patternType="solid">
        <fgColor rgb="FFD9D9D9"/>
        <bgColor indexed="64"/>
      </patternFill>
    </fill>
    <fill>
      <patternFill patternType="solid">
        <fgColor rgb="FFF8CBAD"/>
        <bgColor indexed="64"/>
      </patternFill>
    </fill>
    <fill>
      <patternFill patternType="solid">
        <fgColor rgb="FFFFD966"/>
        <bgColor indexed="64"/>
      </patternFill>
    </fill>
    <fill>
      <patternFill patternType="solid">
        <fgColor rgb="FFB4C6E7"/>
        <bgColor indexed="64"/>
      </patternFill>
    </fill>
  </fills>
  <borders count="75">
    <border>
      <left/>
      <right/>
      <top/>
      <bottom/>
      <diagonal/>
    </border>
    <border>
      <left/>
      <right/>
      <top/>
      <bottom style="thick">
        <color rgb="FF333399"/>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top style="thin">
        <color auto="1"/>
      </top>
      <bottom style="thin">
        <color auto="1"/>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ck">
        <color rgb="FF000000"/>
      </left>
      <right/>
      <top/>
      <bottom/>
      <diagonal/>
    </border>
    <border>
      <left style="thick">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s>
  <cellStyleXfs count="5">
    <xf numFmtId="0" fontId="0" fillId="0" borderId="0"/>
    <xf numFmtId="168" fontId="11" fillId="0" borderId="0" applyBorder="0" applyProtection="0"/>
    <xf numFmtId="9" fontId="15" fillId="0" borderId="0" applyBorder="0" applyProtection="0"/>
    <xf numFmtId="0" fontId="4" fillId="0" borderId="0" applyBorder="0" applyProtection="0"/>
    <xf numFmtId="0" fontId="10" fillId="0" borderId="1" applyProtection="0"/>
  </cellStyleXfs>
  <cellXfs count="320">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0" fillId="2" borderId="2" xfId="0"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0" fillId="2" borderId="6" xfId="0" applyFill="1" applyBorder="1" applyAlignment="1">
      <alignment vertical="center"/>
    </xf>
    <xf numFmtId="0" fontId="0" fillId="2" borderId="8"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165" fontId="0" fillId="2" borderId="0" xfId="0" applyNumberFormat="1" applyFill="1" applyAlignment="1">
      <alignment horizontal="center" vertical="center"/>
    </xf>
    <xf numFmtId="0" fontId="0" fillId="2" borderId="13" xfId="0" applyFill="1" applyBorder="1" applyAlignment="1">
      <alignment vertical="center"/>
    </xf>
    <xf numFmtId="0" fontId="5" fillId="2" borderId="15" xfId="0" applyFont="1" applyFill="1" applyBorder="1" applyAlignment="1">
      <alignment horizontal="center" vertical="center"/>
    </xf>
    <xf numFmtId="0" fontId="5" fillId="0" borderId="16" xfId="0" applyFont="1" applyBorder="1" applyAlignment="1" applyProtection="1">
      <alignment horizontal="center" vertical="center"/>
      <protection locked="0"/>
    </xf>
    <xf numFmtId="0" fontId="0" fillId="2" borderId="15" xfId="0" applyFill="1" applyBorder="1" applyAlignment="1">
      <alignment horizontal="center" vertical="center"/>
    </xf>
    <xf numFmtId="0" fontId="0" fillId="0" borderId="18" xfId="0" applyBorder="1" applyAlignment="1" applyProtection="1">
      <alignment vertical="center"/>
      <protection locked="0"/>
    </xf>
    <xf numFmtId="0" fontId="0" fillId="0" borderId="18" xfId="0" applyBorder="1" applyAlignment="1">
      <alignment vertical="center" wrapText="1"/>
    </xf>
    <xf numFmtId="0" fontId="0" fillId="2" borderId="19" xfId="0" applyFill="1" applyBorder="1" applyAlignment="1">
      <alignment vertical="center"/>
    </xf>
    <xf numFmtId="0" fontId="5" fillId="0" borderId="20" xfId="0" applyFont="1" applyBorder="1" applyAlignment="1" applyProtection="1">
      <alignment vertical="center"/>
      <protection locked="0"/>
    </xf>
    <xf numFmtId="0" fontId="0" fillId="2" borderId="21" xfId="0" applyFill="1" applyBorder="1" applyAlignment="1">
      <alignment vertical="center"/>
    </xf>
    <xf numFmtId="0" fontId="0" fillId="2" borderId="23" xfId="0" applyFill="1" applyBorder="1" applyAlignment="1">
      <alignment vertical="center"/>
    </xf>
    <xf numFmtId="0" fontId="5" fillId="2" borderId="2" xfId="0" applyFont="1" applyFill="1" applyBorder="1" applyAlignment="1">
      <alignment horizontal="center" vertical="center"/>
    </xf>
    <xf numFmtId="0" fontId="5" fillId="0" borderId="25" xfId="0" applyFont="1" applyBorder="1" applyAlignment="1">
      <alignment vertical="center"/>
    </xf>
    <xf numFmtId="0" fontId="0" fillId="2" borderId="27" xfId="0" applyFill="1" applyBorder="1" applyAlignment="1">
      <alignment horizontal="center" vertical="center"/>
    </xf>
    <xf numFmtId="0" fontId="0" fillId="0" borderId="28" xfId="0" applyBorder="1" applyAlignment="1">
      <alignment vertical="center"/>
    </xf>
    <xf numFmtId="0" fontId="0" fillId="2" borderId="30" xfId="0" applyFill="1" applyBorder="1" applyAlignment="1">
      <alignment horizontal="center" vertical="center"/>
    </xf>
    <xf numFmtId="0" fontId="0" fillId="0" borderId="31" xfId="0" applyBorder="1" applyAlignment="1">
      <alignment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5" xfId="0" applyBorder="1" applyAlignment="1">
      <alignment vertical="center"/>
    </xf>
    <xf numFmtId="0" fontId="0" fillId="2" borderId="35" xfId="0" applyFill="1" applyBorder="1" applyAlignment="1">
      <alignment vertical="center"/>
    </xf>
    <xf numFmtId="0" fontId="5" fillId="2" borderId="33" xfId="0" applyFont="1" applyFill="1" applyBorder="1" applyAlignment="1">
      <alignment horizontal="center" vertical="center"/>
    </xf>
    <xf numFmtId="0" fontId="5" fillId="0" borderId="36" xfId="0" applyFont="1" applyBorder="1" applyAlignment="1">
      <alignment horizontal="justify" vertical="center" wrapText="1"/>
    </xf>
    <xf numFmtId="0" fontId="5" fillId="0" borderId="37" xfId="0" applyFont="1" applyBorder="1" applyAlignment="1">
      <alignment horizontal="center" vertical="center" wrapText="1"/>
    </xf>
    <xf numFmtId="0" fontId="0" fillId="0" borderId="6" xfId="0" applyBorder="1" applyAlignment="1">
      <alignment horizontal="justify" vertical="center" wrapText="1"/>
    </xf>
    <xf numFmtId="10" fontId="0" fillId="2" borderId="39" xfId="0" applyNumberFormat="1" applyFill="1" applyBorder="1" applyAlignment="1">
      <alignment horizontal="center" vertical="center"/>
    </xf>
    <xf numFmtId="0" fontId="6" fillId="0" borderId="10" xfId="0" applyFont="1" applyBorder="1" applyAlignment="1">
      <alignment horizontal="justify" vertical="center" wrapText="1"/>
    </xf>
    <xf numFmtId="10" fontId="6" fillId="2" borderId="4" xfId="0" applyNumberFormat="1" applyFont="1" applyFill="1" applyBorder="1" applyAlignment="1">
      <alignment horizontal="center" vertical="center"/>
    </xf>
    <xf numFmtId="0" fontId="0" fillId="0" borderId="10" xfId="0" applyBorder="1" applyAlignment="1">
      <alignment horizontal="justify" vertical="center" wrapText="1"/>
    </xf>
    <xf numFmtId="10" fontId="0" fillId="4" borderId="4" xfId="0" applyNumberFormat="1" applyFill="1" applyBorder="1" applyAlignment="1">
      <alignment horizontal="center" vertical="center"/>
    </xf>
    <xf numFmtId="10" fontId="0" fillId="2" borderId="4" xfId="0" applyNumberFormat="1" applyFill="1" applyBorder="1" applyAlignment="1">
      <alignment horizontal="center" vertical="center"/>
    </xf>
    <xf numFmtId="0" fontId="0" fillId="2" borderId="30" xfId="0" applyFill="1" applyBorder="1" applyAlignment="1">
      <alignment vertical="center"/>
    </xf>
    <xf numFmtId="0" fontId="5" fillId="0" borderId="11" xfId="0" applyFont="1" applyBorder="1" applyAlignment="1">
      <alignment horizontal="justify" vertical="center" wrapText="1"/>
    </xf>
    <xf numFmtId="10" fontId="5" fillId="2" borderId="40" xfId="0" applyNumberFormat="1" applyFont="1" applyFill="1" applyBorder="1" applyAlignment="1">
      <alignment horizontal="center" vertical="center"/>
    </xf>
    <xf numFmtId="0" fontId="6" fillId="2" borderId="0" xfId="0" applyFont="1" applyFill="1" applyAlignment="1">
      <alignment vertical="center"/>
    </xf>
    <xf numFmtId="0" fontId="5" fillId="0" borderId="23" xfId="0" applyFont="1" applyBorder="1" applyAlignment="1" applyProtection="1">
      <alignment horizontal="center" vertical="center"/>
      <protection locked="0"/>
    </xf>
    <xf numFmtId="0" fontId="0" fillId="0" borderId="36" xfId="0"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10" xfId="0" applyBorder="1" applyAlignment="1" applyProtection="1">
      <alignment vertical="center" wrapText="1"/>
      <protection locked="0"/>
    </xf>
    <xf numFmtId="0" fontId="5" fillId="0" borderId="11" xfId="0" applyFont="1" applyBorder="1" applyAlignment="1" applyProtection="1">
      <alignment vertical="center"/>
      <protection locked="0"/>
    </xf>
    <xf numFmtId="0" fontId="5" fillId="0" borderId="0" xfId="0" applyFont="1" applyAlignment="1" applyProtection="1">
      <alignment vertical="center"/>
      <protection locked="0"/>
    </xf>
    <xf numFmtId="166" fontId="5" fillId="0" borderId="0" xfId="0" applyNumberFormat="1" applyFont="1" applyAlignment="1">
      <alignment horizontal="center" vertical="center"/>
    </xf>
    <xf numFmtId="0" fontId="0" fillId="2" borderId="2" xfId="0" applyFill="1" applyBorder="1" applyAlignment="1">
      <alignment vertical="center"/>
    </xf>
    <xf numFmtId="0" fontId="5" fillId="0" borderId="24" xfId="0" applyFont="1" applyBorder="1" applyAlignment="1" applyProtection="1">
      <alignment horizontal="center" vertical="center"/>
      <protection locked="0"/>
    </xf>
    <xf numFmtId="0" fontId="0" fillId="2" borderId="42" xfId="0" applyFill="1" applyBorder="1" applyAlignment="1">
      <alignment horizontal="center" vertical="center"/>
    </xf>
    <xf numFmtId="0" fontId="5" fillId="0" borderId="43" xfId="0" applyFont="1" applyBorder="1" applyAlignment="1" applyProtection="1">
      <alignment vertical="center"/>
      <protection locked="0"/>
    </xf>
    <xf numFmtId="0" fontId="0" fillId="2" borderId="8" xfId="0" applyFill="1" applyBorder="1" applyAlignment="1">
      <alignment horizontal="center" vertical="center"/>
    </xf>
    <xf numFmtId="0" fontId="0" fillId="0" borderId="28" xfId="0" applyBorder="1" applyAlignment="1" applyProtection="1">
      <alignment vertical="center"/>
      <protection locked="0"/>
    </xf>
    <xf numFmtId="0" fontId="0" fillId="2" borderId="10" xfId="0" applyFill="1" applyBorder="1" applyAlignment="1">
      <alignment horizontal="center" vertical="center"/>
    </xf>
    <xf numFmtId="0" fontId="0" fillId="0" borderId="4" xfId="0" applyBorder="1" applyAlignment="1" applyProtection="1">
      <alignment vertical="center"/>
      <protection locked="0"/>
    </xf>
    <xf numFmtId="0" fontId="0" fillId="2" borderId="11" xfId="0" applyFill="1" applyBorder="1" applyAlignment="1">
      <alignment horizontal="center" vertical="center"/>
    </xf>
    <xf numFmtId="0" fontId="0" fillId="0" borderId="40" xfId="0" applyBorder="1" applyAlignment="1" applyProtection="1">
      <alignment vertical="center"/>
      <protection locked="0"/>
    </xf>
    <xf numFmtId="0" fontId="5" fillId="0" borderId="45" xfId="0" applyFont="1" applyBorder="1" applyAlignment="1">
      <alignment horizontal="justify" vertical="center" wrapText="1"/>
    </xf>
    <xf numFmtId="0" fontId="0" fillId="0" borderId="46" xfId="0" applyBorder="1" applyAlignment="1">
      <alignment horizontal="justify" vertical="center" wrapText="1"/>
    </xf>
    <xf numFmtId="0" fontId="0" fillId="0" borderId="18" xfId="0" applyBorder="1" applyAlignment="1">
      <alignment horizontal="justify" vertical="center" wrapText="1"/>
    </xf>
    <xf numFmtId="0" fontId="5" fillId="0" borderId="20" xfId="0" applyFont="1" applyBorder="1" applyAlignment="1">
      <alignment horizontal="justify" vertical="center" wrapText="1"/>
    </xf>
    <xf numFmtId="0" fontId="0" fillId="2" borderId="24" xfId="0" applyFill="1" applyBorder="1" applyAlignment="1">
      <alignment vertical="center"/>
    </xf>
    <xf numFmtId="0" fontId="0" fillId="2" borderId="47" xfId="0" applyFill="1" applyBorder="1" applyAlignment="1">
      <alignment vertical="center"/>
    </xf>
    <xf numFmtId="0" fontId="5" fillId="2" borderId="48" xfId="0" applyFont="1" applyFill="1" applyBorder="1" applyAlignment="1">
      <alignment horizontal="center" vertical="center"/>
    </xf>
    <xf numFmtId="9" fontId="0" fillId="2" borderId="0" xfId="2" applyFont="1" applyFill="1" applyBorder="1" applyAlignment="1" applyProtection="1">
      <alignment horizontal="center" vertical="center"/>
    </xf>
    <xf numFmtId="0" fontId="0" fillId="2" borderId="24" xfId="0" applyFill="1" applyBorder="1" applyAlignment="1">
      <alignment horizontal="center" vertical="center"/>
    </xf>
    <xf numFmtId="0" fontId="5" fillId="2" borderId="47" xfId="0" applyFont="1" applyFill="1" applyBorder="1" applyAlignment="1">
      <alignment horizontal="center" vertical="center"/>
    </xf>
    <xf numFmtId="0" fontId="5" fillId="0" borderId="49" xfId="0" applyFont="1" applyBorder="1" applyAlignment="1">
      <alignment horizontal="justify" vertical="center" wrapText="1"/>
    </xf>
    <xf numFmtId="0" fontId="0" fillId="2" borderId="48" xfId="0" applyFill="1" applyBorder="1" applyAlignment="1">
      <alignment horizontal="center" vertical="center"/>
    </xf>
    <xf numFmtId="0" fontId="0" fillId="2" borderId="50" xfId="0" applyFill="1" applyBorder="1" applyAlignment="1">
      <alignment vertical="center"/>
    </xf>
    <xf numFmtId="0" fontId="5" fillId="0" borderId="51" xfId="0" applyFont="1" applyBorder="1" applyAlignment="1">
      <alignment horizontal="justify" vertical="center" wrapText="1"/>
    </xf>
    <xf numFmtId="0" fontId="5" fillId="2" borderId="42" xfId="0" applyFont="1" applyFill="1" applyBorder="1" applyAlignment="1">
      <alignment horizontal="center" vertical="center"/>
    </xf>
    <xf numFmtId="166" fontId="0" fillId="2" borderId="0" xfId="0" applyNumberFormat="1" applyFill="1" applyAlignment="1">
      <alignment vertical="center"/>
    </xf>
    <xf numFmtId="166" fontId="0" fillId="2" borderId="0" xfId="0" applyNumberFormat="1" applyFill="1" applyAlignment="1">
      <alignment horizontal="center" vertical="center"/>
    </xf>
    <xf numFmtId="0" fontId="5" fillId="0" borderId="52" xfId="0" applyFont="1" applyBorder="1" applyAlignment="1" applyProtection="1">
      <alignment horizontal="center" vertical="center"/>
      <protection locked="0"/>
    </xf>
    <xf numFmtId="0" fontId="0" fillId="0" borderId="13" xfId="0" applyBorder="1" applyAlignment="1">
      <alignment vertical="center"/>
    </xf>
    <xf numFmtId="0" fontId="5" fillId="0" borderId="15" xfId="0" applyFont="1" applyBorder="1" applyAlignment="1">
      <alignment horizontal="center" vertical="center"/>
    </xf>
    <xf numFmtId="0" fontId="5" fillId="0" borderId="0" xfId="0" applyFont="1" applyAlignment="1" applyProtection="1">
      <alignment horizontal="left" vertical="center"/>
      <protection locked="0"/>
    </xf>
    <xf numFmtId="0" fontId="0" fillId="0" borderId="15" xfId="0" applyBorder="1" applyAlignment="1">
      <alignment horizontal="center" vertical="center"/>
    </xf>
    <xf numFmtId="0" fontId="0" fillId="0" borderId="45"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lignment vertical="center"/>
    </xf>
    <xf numFmtId="0" fontId="5" fillId="0" borderId="20" xfId="0" applyFont="1" applyBorder="1" applyAlignment="1" applyProtection="1">
      <alignment horizontal="left" vertical="center"/>
      <protection locked="0"/>
    </xf>
    <xf numFmtId="0" fontId="0" fillId="0" borderId="0" xfId="0" applyAlignment="1">
      <alignment vertical="center"/>
    </xf>
    <xf numFmtId="0" fontId="5" fillId="0" borderId="0" xfId="0" applyFont="1" applyAlignment="1">
      <alignment horizontal="justify" vertical="center" wrapText="1"/>
    </xf>
    <xf numFmtId="2" fontId="5" fillId="2" borderId="0" xfId="0" applyNumberFormat="1" applyFont="1" applyFill="1" applyAlignment="1">
      <alignment horizontal="center" vertical="center"/>
    </xf>
    <xf numFmtId="0" fontId="0" fillId="0" borderId="13" xfId="0" applyBorder="1" applyAlignment="1">
      <alignment horizontal="center" vertical="center"/>
    </xf>
    <xf numFmtId="0" fontId="0" fillId="2" borderId="39" xfId="0" applyFill="1" applyBorder="1" applyAlignment="1">
      <alignment horizontal="center"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Alignment="1">
      <alignment vertical="center"/>
    </xf>
    <xf numFmtId="0" fontId="0" fillId="2" borderId="15" xfId="0" applyFill="1" applyBorder="1" applyAlignment="1">
      <alignment vertical="center"/>
    </xf>
    <xf numFmtId="0" fontId="5" fillId="0" borderId="50" xfId="0" applyFont="1" applyBorder="1" applyAlignment="1">
      <alignment horizontal="center" vertical="center" wrapText="1"/>
    </xf>
    <xf numFmtId="0" fontId="0" fillId="0" borderId="50" xfId="0" applyBorder="1" applyAlignment="1">
      <alignment horizontal="justify" vertical="center" wrapText="1"/>
    </xf>
    <xf numFmtId="0" fontId="5" fillId="5" borderId="20" xfId="0" applyFont="1" applyFill="1" applyBorder="1" applyAlignment="1">
      <alignment horizontal="justify" vertical="center" wrapText="1"/>
    </xf>
    <xf numFmtId="0" fontId="5" fillId="0" borderId="52" xfId="0" applyFont="1" applyBorder="1" applyAlignment="1">
      <alignment horizontal="center" vertical="center" wrapText="1"/>
    </xf>
    <xf numFmtId="0" fontId="8" fillId="0" borderId="0" xfId="0" applyFont="1" applyAlignment="1">
      <alignment vertical="center"/>
    </xf>
    <xf numFmtId="0" fontId="8" fillId="2" borderId="0" xfId="0" applyFont="1" applyFill="1" applyAlignment="1">
      <alignment vertical="center"/>
    </xf>
    <xf numFmtId="0" fontId="12" fillId="7" borderId="5" xfId="0" applyFont="1" applyFill="1" applyBorder="1" applyAlignment="1">
      <alignment horizontal="center" vertical="center" wrapText="1"/>
    </xf>
    <xf numFmtId="0" fontId="12" fillId="7" borderId="5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3" fillId="2" borderId="54" xfId="0" applyFont="1" applyFill="1" applyBorder="1" applyAlignment="1">
      <alignment horizontal="justify" vertical="center" wrapText="1"/>
    </xf>
    <xf numFmtId="0" fontId="13" fillId="2" borderId="54" xfId="0" applyFont="1" applyFill="1" applyBorder="1" applyAlignment="1">
      <alignment horizontal="center" vertical="center" wrapText="1"/>
    </xf>
    <xf numFmtId="4" fontId="14" fillId="2" borderId="54" xfId="0" applyNumberFormat="1" applyFont="1" applyFill="1" applyBorder="1" applyAlignment="1">
      <alignment horizontal="center" vertical="center" wrapText="1"/>
    </xf>
    <xf numFmtId="4" fontId="12" fillId="7" borderId="18" xfId="0" applyNumberFormat="1" applyFont="1" applyFill="1" applyBorder="1" applyAlignment="1">
      <alignment horizontal="center" vertical="center" wrapText="1"/>
    </xf>
    <xf numFmtId="0" fontId="0" fillId="0" borderId="0" xfId="0" applyAlignment="1">
      <alignment wrapText="1"/>
    </xf>
    <xf numFmtId="4" fontId="0" fillId="2" borderId="0" xfId="0" applyNumberFormat="1" applyFill="1" applyAlignment="1">
      <alignment vertical="center"/>
    </xf>
    <xf numFmtId="0" fontId="0" fillId="8" borderId="10" xfId="0" applyFill="1" applyBorder="1" applyAlignment="1" applyProtection="1">
      <alignment vertical="center"/>
      <protection locked="0"/>
    </xf>
    <xf numFmtId="0" fontId="19" fillId="6" borderId="4" xfId="4" applyFont="1" applyFill="1" applyBorder="1" applyAlignment="1" applyProtection="1">
      <alignment horizontal="center" vertical="center" wrapText="1"/>
    </xf>
    <xf numFmtId="0" fontId="20" fillId="0" borderId="4" xfId="4" applyFont="1" applyBorder="1" applyAlignment="1" applyProtection="1">
      <alignment horizontal="justify" vertical="center" wrapText="1"/>
    </xf>
    <xf numFmtId="0" fontId="20" fillId="0" borderId="4" xfId="4" applyFont="1" applyBorder="1" applyAlignment="1" applyProtection="1">
      <alignment horizontal="center" vertical="center" wrapText="1"/>
    </xf>
    <xf numFmtId="168" fontId="20" fillId="0" borderId="4" xfId="1" applyFont="1" applyBorder="1" applyAlignment="1" applyProtection="1">
      <alignment horizontal="center" vertical="center" wrapText="1"/>
    </xf>
    <xf numFmtId="0" fontId="20" fillId="0" borderId="4" xfId="1" applyNumberFormat="1" applyFont="1" applyBorder="1" applyAlignment="1" applyProtection="1">
      <alignment horizontal="center" vertical="center" wrapText="1"/>
    </xf>
    <xf numFmtId="0" fontId="20" fillId="0" borderId="4" xfId="4" applyFont="1" applyBorder="1" applyAlignment="1" applyProtection="1">
      <alignment vertical="center" wrapText="1"/>
    </xf>
    <xf numFmtId="0" fontId="21" fillId="6" borderId="4" xfId="0" applyFont="1" applyFill="1" applyBorder="1" applyAlignment="1">
      <alignment vertical="center"/>
    </xf>
    <xf numFmtId="168" fontId="21" fillId="6" borderId="4" xfId="0" applyNumberFormat="1" applyFont="1" applyFill="1" applyBorder="1" applyAlignment="1">
      <alignment vertical="center"/>
    </xf>
    <xf numFmtId="0" fontId="5" fillId="0" borderId="0" xfId="0" applyFont="1"/>
    <xf numFmtId="0" fontId="19" fillId="6" borderId="28" xfId="4" applyFont="1" applyFill="1" applyBorder="1" applyAlignment="1" applyProtection="1">
      <alignment horizontal="center" vertical="center" wrapText="1"/>
    </xf>
    <xf numFmtId="0" fontId="23" fillId="0" borderId="0" xfId="0" applyFont="1"/>
    <xf numFmtId="0" fontId="24" fillId="0" borderId="58" xfId="0" applyFont="1" applyBorder="1" applyAlignment="1">
      <alignment horizontal="center" vertical="center"/>
    </xf>
    <xf numFmtId="0" fontId="24" fillId="0" borderId="0" xfId="0" applyFont="1"/>
    <xf numFmtId="4" fontId="24" fillId="0" borderId="58" xfId="0" applyNumberFormat="1" applyFont="1" applyBorder="1" applyAlignment="1">
      <alignment horizontal="center" vertical="center"/>
    </xf>
    <xf numFmtId="0" fontId="22" fillId="0" borderId="0" xfId="0" applyFont="1"/>
    <xf numFmtId="4" fontId="22" fillId="0" borderId="0" xfId="0" applyNumberFormat="1" applyFont="1"/>
    <xf numFmtId="2" fontId="24" fillId="0" borderId="58" xfId="0" applyNumberFormat="1" applyFont="1" applyBorder="1" applyAlignment="1">
      <alignment horizontal="center" vertical="center"/>
    </xf>
    <xf numFmtId="0" fontId="24" fillId="0" borderId="66" xfId="0" applyFont="1" applyBorder="1" applyAlignment="1">
      <alignment horizontal="center" vertical="center"/>
    </xf>
    <xf numFmtId="0" fontId="24" fillId="0" borderId="59" xfId="0" applyFont="1" applyBorder="1" applyAlignment="1">
      <alignment horizontal="center" vertical="center"/>
    </xf>
    <xf numFmtId="0" fontId="24" fillId="0" borderId="0" xfId="0" applyFont="1" applyAlignment="1">
      <alignment horizontal="center" vertical="center"/>
    </xf>
    <xf numFmtId="4" fontId="24" fillId="0" borderId="0" xfId="0" applyNumberFormat="1" applyFont="1" applyAlignment="1">
      <alignment horizontal="center" vertical="center"/>
    </xf>
    <xf numFmtId="0" fontId="22" fillId="0" borderId="70"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0" xfId="0" applyFont="1" applyAlignment="1">
      <alignment horizontal="center" vertical="center" wrapText="1"/>
    </xf>
    <xf numFmtId="0" fontId="22" fillId="0" borderId="71"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8" xfId="0" applyFont="1" applyBorder="1" applyAlignment="1">
      <alignment horizontal="center" vertical="center" wrapText="1"/>
    </xf>
    <xf numFmtId="2" fontId="24" fillId="0" borderId="60" xfId="0" applyNumberFormat="1" applyFont="1" applyBorder="1" applyAlignment="1">
      <alignment horizontal="center" vertical="center" wrapText="1"/>
    </xf>
    <xf numFmtId="43" fontId="24" fillId="0" borderId="58" xfId="0" applyNumberFormat="1" applyFont="1" applyBorder="1" applyAlignment="1">
      <alignment horizontal="center" vertical="center" wrapText="1"/>
    </xf>
    <xf numFmtId="0" fontId="24" fillId="0" borderId="0" xfId="0" applyFont="1" applyAlignment="1">
      <alignment wrapText="1"/>
    </xf>
    <xf numFmtId="0" fontId="25" fillId="0" borderId="0" xfId="0" applyFont="1" applyAlignment="1">
      <alignment wrapText="1"/>
    </xf>
    <xf numFmtId="0" fontId="26" fillId="0" borderId="59" xfId="0" applyFont="1" applyBorder="1" applyAlignment="1">
      <alignment horizontal="center" vertical="center" wrapText="1"/>
    </xf>
    <xf numFmtId="2" fontId="24" fillId="0" borderId="58" xfId="0" applyNumberFormat="1" applyFont="1" applyBorder="1" applyAlignment="1">
      <alignment horizontal="center" vertical="center" wrapText="1"/>
    </xf>
    <xf numFmtId="2" fontId="24" fillId="19" borderId="60" xfId="0" applyNumberFormat="1" applyFont="1" applyFill="1" applyBorder="1" applyAlignment="1">
      <alignment horizontal="center" vertical="center" wrapText="1"/>
    </xf>
    <xf numFmtId="0" fontId="26" fillId="0" borderId="67" xfId="0" applyFont="1" applyBorder="1" applyAlignment="1">
      <alignment horizontal="center" vertical="center" wrapText="1"/>
    </xf>
    <xf numFmtId="2" fontId="24" fillId="19" borderId="62" xfId="0" applyNumberFormat="1" applyFont="1" applyFill="1" applyBorder="1" applyAlignment="1">
      <alignment horizontal="center" vertical="center" wrapText="1"/>
    </xf>
    <xf numFmtId="0" fontId="24" fillId="0" borderId="73" xfId="0" applyFont="1" applyBorder="1" applyAlignment="1">
      <alignment horizontal="center" vertical="center" wrapText="1"/>
    </xf>
    <xf numFmtId="0" fontId="26" fillId="0" borderId="71" xfId="0" applyFont="1" applyBorder="1" applyAlignment="1">
      <alignment horizontal="center" vertical="center" wrapText="1"/>
    </xf>
    <xf numFmtId="2" fontId="24" fillId="19" borderId="71" xfId="0" applyNumberFormat="1" applyFont="1" applyFill="1" applyBorder="1" applyAlignment="1">
      <alignment horizontal="center" vertical="center" wrapText="1"/>
    </xf>
    <xf numFmtId="0" fontId="24" fillId="16" borderId="66" xfId="0" applyFont="1" applyFill="1" applyBorder="1" applyAlignment="1">
      <alignment horizontal="center" vertical="center" wrapText="1"/>
    </xf>
    <xf numFmtId="0" fontId="24" fillId="16" borderId="71" xfId="0" applyFont="1" applyFill="1" applyBorder="1" applyAlignment="1">
      <alignment horizontal="center" vertical="center" wrapText="1"/>
    </xf>
    <xf numFmtId="43" fontId="24" fillId="16" borderId="66" xfId="0" applyNumberFormat="1" applyFont="1" applyFill="1" applyBorder="1" applyAlignment="1">
      <alignment horizontal="center" vertical="center" wrapText="1"/>
    </xf>
    <xf numFmtId="43" fontId="23" fillId="0" borderId="0" xfId="0" applyNumberFormat="1" applyFont="1"/>
    <xf numFmtId="0" fontId="22" fillId="17" borderId="60" xfId="0" applyFont="1" applyFill="1" applyBorder="1" applyAlignment="1">
      <alignment horizontal="center" vertical="center"/>
    </xf>
    <xf numFmtId="0" fontId="22" fillId="17" borderId="58" xfId="0" applyFont="1" applyFill="1" applyBorder="1" applyAlignment="1">
      <alignment horizontal="center" vertical="center"/>
    </xf>
    <xf numFmtId="43" fontId="22" fillId="17" borderId="58" xfId="0" applyNumberFormat="1" applyFont="1" applyFill="1" applyBorder="1" applyAlignment="1">
      <alignment horizontal="center" vertical="center"/>
    </xf>
    <xf numFmtId="0" fontId="0" fillId="0" borderId="0" xfId="0" applyAlignment="1">
      <alignment horizontal="right" vertical="center"/>
    </xf>
    <xf numFmtId="2" fontId="0" fillId="0" borderId="0" xfId="0" applyNumberFormat="1" applyAlignment="1">
      <alignment horizontal="left" vertical="center" wrapText="1"/>
    </xf>
    <xf numFmtId="0" fontId="27" fillId="0" borderId="4" xfId="4" applyFont="1" applyBorder="1" applyAlignment="1" applyProtection="1">
      <alignment horizontal="justify" vertical="center" wrapText="1"/>
    </xf>
    <xf numFmtId="0" fontId="27" fillId="0" borderId="4" xfId="4" applyFont="1" applyBorder="1" applyAlignment="1" applyProtection="1">
      <alignment horizontal="center" vertical="center" wrapText="1"/>
    </xf>
    <xf numFmtId="168" fontId="27" fillId="0" borderId="4" xfId="1" applyFont="1" applyBorder="1" applyAlignment="1" applyProtection="1">
      <alignment horizontal="center" vertical="center" wrapText="1"/>
    </xf>
    <xf numFmtId="0" fontId="27" fillId="0" borderId="4" xfId="1" applyNumberFormat="1" applyFont="1" applyBorder="1" applyAlignment="1" applyProtection="1">
      <alignment horizontal="center" vertical="center" wrapText="1"/>
    </xf>
    <xf numFmtId="0" fontId="27" fillId="0" borderId="4" xfId="4" applyFont="1" applyBorder="1" applyAlignment="1" applyProtection="1">
      <alignment vertical="center" wrapText="1"/>
    </xf>
    <xf numFmtId="0" fontId="0" fillId="0" borderId="31" xfId="0" applyBorder="1" applyAlignment="1">
      <alignment vertical="center" wrapText="1"/>
    </xf>
    <xf numFmtId="0" fontId="0" fillId="0" borderId="58" xfId="0" applyBorder="1" applyAlignment="1">
      <alignment vertical="center" wrapText="1"/>
    </xf>
    <xf numFmtId="2" fontId="0" fillId="0" borderId="0" xfId="0" applyNumberFormat="1" applyAlignment="1">
      <alignment wrapText="1"/>
    </xf>
    <xf numFmtId="3" fontId="14" fillId="2" borderId="54"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4" fontId="1" fillId="2" borderId="5" xfId="0" applyNumberFormat="1" applyFont="1" applyFill="1" applyBorder="1" applyAlignment="1">
      <alignment horizontal="center" vertical="center"/>
    </xf>
    <xf numFmtId="4" fontId="1" fillId="2" borderId="54"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0" fontId="1" fillId="2" borderId="4" xfId="0" applyFont="1" applyFill="1" applyBorder="1" applyAlignment="1">
      <alignment horizontal="left" vertical="center" wrapText="1"/>
    </xf>
    <xf numFmtId="0" fontId="3" fillId="2" borderId="4" xfId="0" applyFont="1" applyFill="1" applyBorder="1" applyAlignment="1">
      <alignment horizontal="center" vertical="center"/>
    </xf>
    <xf numFmtId="0" fontId="1" fillId="2" borderId="5" xfId="0" applyFont="1" applyFill="1" applyBorder="1" applyAlignment="1">
      <alignment horizontal="left" vertical="center" wrapText="1"/>
    </xf>
    <xf numFmtId="0" fontId="4" fillId="2" borderId="4" xfId="3" applyFill="1" applyBorder="1" applyAlignment="1" applyProtection="1">
      <alignment horizontal="center" vertical="center"/>
    </xf>
    <xf numFmtId="164" fontId="1" fillId="2" borderId="4" xfId="0" applyNumberFormat="1" applyFont="1" applyFill="1" applyBorder="1" applyAlignment="1">
      <alignment horizontal="center" vertical="center"/>
    </xf>
    <xf numFmtId="0" fontId="1" fillId="0" borderId="0" xfId="0" applyFont="1" applyAlignment="1">
      <alignment horizontal="center" vertical="center"/>
    </xf>
    <xf numFmtId="0" fontId="2" fillId="3" borderId="0" xfId="0" applyFont="1" applyFill="1" applyAlignment="1">
      <alignment horizontal="center" vertical="center"/>
    </xf>
    <xf numFmtId="0" fontId="0" fillId="2" borderId="3" xfId="0" applyFill="1" applyBorder="1" applyAlignment="1">
      <alignment horizontal="center" vertical="center"/>
    </xf>
    <xf numFmtId="49" fontId="1" fillId="0" borderId="3" xfId="0" applyNumberFormat="1" applyFont="1" applyBorder="1" applyAlignment="1" applyProtection="1">
      <alignment horizontal="center" vertical="center"/>
      <protection locked="0"/>
    </xf>
    <xf numFmtId="4" fontId="5" fillId="2" borderId="9" xfId="0" applyNumberFormat="1" applyFont="1" applyFill="1" applyBorder="1" applyAlignment="1">
      <alignment horizontal="center" vertical="center"/>
    </xf>
    <xf numFmtId="4" fontId="0" fillId="2" borderId="9" xfId="0" applyNumberFormat="1" applyFill="1" applyBorder="1" applyAlignment="1">
      <alignment horizontal="center" vertical="center"/>
    </xf>
    <xf numFmtId="4" fontId="5" fillId="5" borderId="12" xfId="0" applyNumberFormat="1" applyFont="1" applyFill="1" applyBorder="1" applyAlignment="1">
      <alignment horizontal="center" vertical="center"/>
    </xf>
    <xf numFmtId="2" fontId="5" fillId="2" borderId="24" xfId="0" applyNumberFormat="1" applyFont="1" applyFill="1" applyBorder="1" applyAlignment="1">
      <alignment horizontal="center" vertical="center"/>
    </xf>
    <xf numFmtId="0" fontId="5" fillId="0" borderId="38" xfId="0" applyFont="1" applyBorder="1" applyAlignment="1">
      <alignment horizontal="center" vertical="center" wrapText="1"/>
    </xf>
    <xf numFmtId="4" fontId="0" fillId="2" borderId="7" xfId="0" applyNumberFormat="1" applyFill="1" applyBorder="1" applyAlignment="1">
      <alignment horizontal="center" vertical="center"/>
    </xf>
    <xf numFmtId="2" fontId="0" fillId="2" borderId="9" xfId="0" applyNumberFormat="1" applyFill="1" applyBorder="1" applyAlignment="1">
      <alignment horizontal="center" vertical="center"/>
    </xf>
    <xf numFmtId="2" fontId="5" fillId="2" borderId="12" xfId="0" applyNumberFormat="1" applyFont="1" applyFill="1" applyBorder="1" applyAlignment="1">
      <alignment horizontal="center" vertical="center"/>
    </xf>
    <xf numFmtId="0" fontId="5" fillId="2" borderId="0" xfId="0" applyFont="1" applyFill="1" applyAlignment="1">
      <alignment horizontal="center" vertical="center"/>
    </xf>
    <xf numFmtId="166" fontId="5" fillId="0" borderId="12"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2" fontId="0" fillId="2" borderId="7" xfId="0" applyNumberFormat="1" applyFill="1" applyBorder="1" applyAlignment="1">
      <alignment horizontal="center" vertical="center"/>
    </xf>
    <xf numFmtId="166" fontId="5" fillId="0" borderId="3" xfId="0" applyNumberFormat="1" applyFont="1" applyBorder="1" applyAlignment="1">
      <alignment horizontal="center" vertical="center"/>
    </xf>
    <xf numFmtId="0" fontId="5" fillId="0" borderId="53" xfId="0" applyFont="1" applyBorder="1" applyAlignment="1" applyProtection="1">
      <alignment horizontal="center" vertical="center"/>
      <protection locked="0"/>
    </xf>
    <xf numFmtId="166" fontId="0" fillId="0" borderId="38" xfId="0" applyNumberFormat="1" applyBorder="1" applyAlignment="1" applyProtection="1">
      <alignment horizontal="center" vertical="center"/>
      <protection locked="0"/>
    </xf>
    <xf numFmtId="166" fontId="0" fillId="0" borderId="9" xfId="0" applyNumberFormat="1" applyBorder="1" applyAlignment="1" applyProtection="1">
      <alignment horizontal="center" vertical="center"/>
      <protection locked="0"/>
    </xf>
    <xf numFmtId="2" fontId="5" fillId="2" borderId="26" xfId="0" applyNumberFormat="1" applyFont="1" applyFill="1" applyBorder="1" applyAlignment="1">
      <alignment horizontal="center" vertical="center"/>
    </xf>
    <xf numFmtId="0" fontId="5" fillId="0" borderId="24" xfId="0" applyFont="1" applyBorder="1" applyAlignment="1" applyProtection="1">
      <alignment horizontal="center" vertical="center"/>
      <protection locked="0"/>
    </xf>
    <xf numFmtId="166" fontId="5" fillId="0" borderId="44" xfId="0" applyNumberFormat="1" applyFont="1" applyBorder="1" applyAlignment="1">
      <alignment horizontal="center" vertical="center"/>
    </xf>
    <xf numFmtId="166" fontId="0" fillId="0" borderId="29" xfId="0" applyNumberFormat="1" applyBorder="1" applyAlignment="1">
      <alignment horizontal="center" vertical="center"/>
    </xf>
    <xf numFmtId="166" fontId="0" fillId="0" borderId="9" xfId="0" applyNumberFormat="1" applyBorder="1" applyAlignment="1">
      <alignment horizontal="center" vertical="center"/>
    </xf>
    <xf numFmtId="0" fontId="5" fillId="0" borderId="3" xfId="0" applyFont="1" applyBorder="1" applyAlignment="1" applyProtection="1">
      <alignment horizontal="left" vertical="center"/>
      <protection locked="0"/>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14" xfId="0" applyFont="1" applyBorder="1" applyAlignment="1">
      <alignment horizontal="center" vertical="center" wrapText="1"/>
    </xf>
    <xf numFmtId="167" fontId="0" fillId="2" borderId="9" xfId="0" applyNumberFormat="1" applyFill="1" applyBorder="1" applyAlignment="1">
      <alignment horizontal="center" vertical="center"/>
    </xf>
    <xf numFmtId="0" fontId="17" fillId="0" borderId="55" xfId="0" applyFont="1" applyBorder="1" applyAlignment="1">
      <alignment horizontal="left" vertical="center" wrapText="1"/>
    </xf>
    <xf numFmtId="0" fontId="17" fillId="0" borderId="0" xfId="0" applyFont="1" applyAlignment="1">
      <alignment horizontal="left" vertical="center" wrapText="1"/>
    </xf>
    <xf numFmtId="166" fontId="5" fillId="0" borderId="24" xfId="0" applyNumberFormat="1" applyFont="1" applyBorder="1" applyAlignment="1">
      <alignment horizontal="center" vertical="center"/>
    </xf>
    <xf numFmtId="0" fontId="5" fillId="0" borderId="26" xfId="0" applyFont="1" applyBorder="1" applyAlignment="1">
      <alignment horizontal="center" vertical="center" wrapText="1"/>
    </xf>
    <xf numFmtId="0" fontId="17" fillId="0" borderId="55" xfId="0" applyFont="1" applyBorder="1" applyAlignment="1">
      <alignment horizontal="justify" vertical="center" wrapText="1"/>
    </xf>
    <xf numFmtId="0" fontId="17" fillId="0" borderId="0" xfId="0" applyFont="1" applyAlignment="1">
      <alignment horizontal="justify" vertical="center" wrapText="1"/>
    </xf>
    <xf numFmtId="166" fontId="0" fillId="0" borderId="12" xfId="0" applyNumberFormat="1" applyBorder="1" applyAlignment="1">
      <alignment horizontal="center" vertical="center"/>
    </xf>
    <xf numFmtId="166" fontId="5" fillId="0" borderId="12" xfId="0" applyNumberFormat="1" applyFont="1" applyBorder="1" applyAlignment="1">
      <alignment horizontal="center" vertical="center"/>
    </xf>
    <xf numFmtId="0" fontId="2" fillId="2" borderId="24" xfId="0" applyFont="1" applyFill="1" applyBorder="1" applyAlignment="1">
      <alignment horizontal="left" vertical="center"/>
    </xf>
    <xf numFmtId="0" fontId="5" fillId="0" borderId="41" xfId="0" applyFont="1" applyBorder="1" applyAlignment="1" applyProtection="1">
      <alignment horizontal="center" vertical="center"/>
      <protection locked="0"/>
    </xf>
    <xf numFmtId="4" fontId="0" fillId="0" borderId="38" xfId="0" applyNumberFormat="1" applyBorder="1" applyAlignment="1" applyProtection="1">
      <alignment horizontal="center" vertical="center"/>
      <protection locked="0"/>
    </xf>
    <xf numFmtId="2" fontId="6" fillId="2" borderId="9" xfId="0" applyNumberFormat="1" applyFont="1" applyFill="1" applyBorder="1" applyAlignment="1">
      <alignment horizontal="center" vertical="center"/>
    </xf>
    <xf numFmtId="2" fontId="0" fillId="4" borderId="9"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5" fillId="0" borderId="22"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4" xfId="0" applyFont="1" applyBorder="1" applyAlignment="1">
      <alignment horizontal="left" vertical="center"/>
    </xf>
    <xf numFmtId="0" fontId="5" fillId="0" borderId="26" xfId="0" applyFont="1" applyBorder="1" applyAlignment="1" applyProtection="1">
      <alignment horizontal="center" vertical="center"/>
      <protection locked="0"/>
    </xf>
    <xf numFmtId="2" fontId="0" fillId="2" borderId="29" xfId="0" applyNumberFormat="1" applyFill="1" applyBorder="1" applyAlignment="1">
      <alignment horizontal="center" vertical="center"/>
    </xf>
    <xf numFmtId="4" fontId="0" fillId="0" borderId="9" xfId="0" applyNumberFormat="1" applyBorder="1" applyAlignment="1" applyProtection="1">
      <alignment horizontal="center" vertical="center"/>
      <protection locked="0"/>
    </xf>
    <xf numFmtId="4" fontId="5" fillId="0" borderId="12" xfId="0" applyNumberFormat="1" applyFont="1" applyBorder="1" applyAlignment="1">
      <alignment horizontal="center" vertical="center"/>
    </xf>
    <xf numFmtId="0" fontId="0" fillId="2" borderId="9" xfId="0" applyFill="1" applyBorder="1" applyAlignment="1">
      <alignment horizontal="center" vertical="center"/>
    </xf>
    <xf numFmtId="165" fontId="0" fillId="2" borderId="12" xfId="0" applyNumberForma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6" fillId="2" borderId="0" xfId="0" applyFont="1" applyFill="1" applyAlignment="1">
      <alignment horizontal="center" vertical="center" wrapText="1"/>
    </xf>
    <xf numFmtId="0" fontId="16" fillId="2"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xf>
    <xf numFmtId="0" fontId="0" fillId="2" borderId="5" xfId="0" applyFill="1" applyBorder="1" applyAlignment="1">
      <alignment horizontal="center" vertical="center"/>
    </xf>
    <xf numFmtId="0" fontId="0" fillId="2" borderId="54" xfId="0" applyFill="1" applyBorder="1" applyAlignment="1">
      <alignment horizontal="center" vertical="center"/>
    </xf>
    <xf numFmtId="0" fontId="0" fillId="2" borderId="17" xfId="0" applyFill="1" applyBorder="1" applyAlignment="1">
      <alignment horizontal="center" vertical="center"/>
    </xf>
    <xf numFmtId="0" fontId="9" fillId="6" borderId="58" xfId="4" applyFont="1" applyFill="1" applyBorder="1" applyAlignment="1" applyProtection="1">
      <alignment horizontal="center" vertical="center"/>
    </xf>
    <xf numFmtId="0" fontId="9" fillId="0" borderId="0" xfId="4" applyFont="1" applyBorder="1" applyAlignment="1" applyProtection="1">
      <alignment horizontal="center" vertical="center"/>
    </xf>
    <xf numFmtId="0" fontId="19" fillId="6" borderId="58" xfId="4" applyFont="1" applyFill="1" applyBorder="1" applyAlignment="1" applyProtection="1">
      <alignment horizontal="center" vertical="center"/>
    </xf>
    <xf numFmtId="0" fontId="19" fillId="6" borderId="4" xfId="4" applyFont="1" applyFill="1" applyBorder="1" applyAlignment="1" applyProtection="1">
      <alignment horizontal="center" vertical="center"/>
    </xf>
    <xf numFmtId="0" fontId="22" fillId="17" borderId="59" xfId="0" applyFont="1" applyFill="1" applyBorder="1" applyAlignment="1">
      <alignment horizontal="center" vertical="center"/>
    </xf>
    <xf numFmtId="0" fontId="22" fillId="17" borderId="60" xfId="0" applyFont="1" applyFill="1" applyBorder="1" applyAlignment="1">
      <alignment horizontal="center" vertical="center"/>
    </xf>
    <xf numFmtId="0" fontId="22" fillId="18" borderId="59" xfId="0" applyFont="1" applyFill="1" applyBorder="1" applyAlignment="1">
      <alignment horizontal="center" vertical="center"/>
    </xf>
    <xf numFmtId="0" fontId="22" fillId="18" borderId="62" xfId="0" applyFont="1" applyFill="1" applyBorder="1" applyAlignment="1">
      <alignment horizontal="center" vertical="center"/>
    </xf>
    <xf numFmtId="0" fontId="22" fillId="18" borderId="73" xfId="0" applyFont="1" applyFill="1" applyBorder="1" applyAlignment="1">
      <alignment horizontal="center" vertical="center"/>
    </xf>
    <xf numFmtId="0" fontId="24" fillId="0" borderId="64" xfId="0" applyFont="1" applyBorder="1" applyAlignment="1">
      <alignment horizontal="center" vertical="center"/>
    </xf>
    <xf numFmtId="0" fontId="24" fillId="0" borderId="63" xfId="0" applyFont="1" applyBorder="1" applyAlignment="1">
      <alignment horizontal="center" vertical="center"/>
    </xf>
    <xf numFmtId="0" fontId="24" fillId="0" borderId="58" xfId="0" applyFont="1" applyBorder="1" applyAlignment="1">
      <alignment horizontal="center" vertical="center"/>
    </xf>
    <xf numFmtId="0" fontId="24" fillId="0" borderId="70" xfId="0" applyFont="1" applyBorder="1" applyAlignment="1">
      <alignment horizontal="center" vertical="center"/>
    </xf>
    <xf numFmtId="0" fontId="24" fillId="0" borderId="66" xfId="0" applyFont="1" applyBorder="1" applyAlignment="1">
      <alignment horizontal="center" vertical="center"/>
    </xf>
    <xf numFmtId="0" fontId="22" fillId="18" borderId="58" xfId="0" applyFont="1" applyFill="1" applyBorder="1" applyAlignment="1">
      <alignment horizontal="center" vertical="center" wrapText="1"/>
    </xf>
    <xf numFmtId="0" fontId="22" fillId="15" borderId="59" xfId="0" applyFont="1" applyFill="1" applyBorder="1" applyAlignment="1">
      <alignment horizontal="center" vertical="center" wrapText="1"/>
    </xf>
    <xf numFmtId="0" fontId="22" fillId="15" borderId="61" xfId="0" applyFont="1" applyFill="1" applyBorder="1" applyAlignment="1">
      <alignment horizontal="center" vertical="center" wrapText="1"/>
    </xf>
    <xf numFmtId="0" fontId="22" fillId="15" borderId="67" xfId="0" applyFont="1" applyFill="1" applyBorder="1" applyAlignment="1">
      <alignment horizontal="center" vertical="center" wrapText="1"/>
    </xf>
    <xf numFmtId="0" fontId="22" fillId="15" borderId="73" xfId="0" applyFont="1" applyFill="1" applyBorder="1" applyAlignment="1">
      <alignment horizontal="center" vertical="center" wrapText="1"/>
    </xf>
    <xf numFmtId="0" fontId="22" fillId="18" borderId="59" xfId="0" applyFont="1" applyFill="1" applyBorder="1" applyAlignment="1">
      <alignment horizontal="center" vertical="center" wrapText="1"/>
    </xf>
    <xf numFmtId="0" fontId="22" fillId="18" borderId="61" xfId="0" applyFont="1" applyFill="1" applyBorder="1" applyAlignment="1">
      <alignment horizontal="center" vertical="center" wrapText="1"/>
    </xf>
    <xf numFmtId="0" fontId="22" fillId="0" borderId="6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66" xfId="0" applyFont="1" applyBorder="1" applyAlignment="1">
      <alignment horizontal="center" vertical="center" wrapText="1"/>
    </xf>
    <xf numFmtId="0" fontId="22" fillId="10" borderId="59" xfId="0" applyFont="1" applyFill="1" applyBorder="1" applyAlignment="1">
      <alignment horizontal="center" vertical="center" wrapText="1"/>
    </xf>
    <xf numFmtId="0" fontId="22" fillId="10" borderId="61" xfId="0" applyFont="1" applyFill="1" applyBorder="1" applyAlignment="1">
      <alignment horizontal="center" vertical="center" wrapText="1"/>
    </xf>
    <xf numFmtId="0" fontId="22" fillId="12" borderId="59" xfId="0" applyFont="1" applyFill="1" applyBorder="1" applyAlignment="1">
      <alignment horizontal="center" vertical="center" wrapText="1"/>
    </xf>
    <xf numFmtId="0" fontId="22" fillId="12" borderId="61" xfId="0" applyFont="1" applyFill="1" applyBorder="1" applyAlignment="1">
      <alignment horizontal="center" vertical="center" wrapText="1"/>
    </xf>
    <xf numFmtId="0" fontId="22" fillId="13" borderId="67" xfId="0" applyFont="1" applyFill="1" applyBorder="1" applyAlignment="1">
      <alignment horizontal="center" vertical="center"/>
    </xf>
    <xf numFmtId="0" fontId="22" fillId="13" borderId="62" xfId="0" applyFont="1" applyFill="1" applyBorder="1" applyAlignment="1">
      <alignment horizontal="center" vertical="center"/>
    </xf>
    <xf numFmtId="0" fontId="22" fillId="13" borderId="73" xfId="0" applyFont="1" applyFill="1" applyBorder="1" applyAlignment="1">
      <alignment horizontal="center" vertical="center"/>
    </xf>
    <xf numFmtId="0" fontId="22" fillId="10" borderId="58" xfId="0" applyFont="1" applyFill="1" applyBorder="1" applyAlignment="1">
      <alignment horizontal="center" vertical="center"/>
    </xf>
    <xf numFmtId="0" fontId="22" fillId="9" borderId="58" xfId="0" applyFont="1" applyFill="1" applyBorder="1" applyAlignment="1">
      <alignment horizontal="center" vertical="center"/>
    </xf>
    <xf numFmtId="0" fontId="22" fillId="11" borderId="67" xfId="0" applyFont="1" applyFill="1" applyBorder="1" applyAlignment="1">
      <alignment horizontal="center" vertical="center"/>
    </xf>
    <xf numFmtId="0" fontId="22" fillId="11" borderId="62" xfId="0" applyFont="1" applyFill="1" applyBorder="1" applyAlignment="1">
      <alignment horizontal="center" vertical="center"/>
    </xf>
    <xf numFmtId="0" fontId="22" fillId="11" borderId="73" xfId="0" applyFont="1" applyFill="1" applyBorder="1" applyAlignment="1">
      <alignment horizontal="center" vertical="center"/>
    </xf>
    <xf numFmtId="0" fontId="22" fillId="12" borderId="67" xfId="0" applyFont="1" applyFill="1" applyBorder="1" applyAlignment="1">
      <alignment horizontal="center" vertical="center"/>
    </xf>
    <xf numFmtId="0" fontId="22" fillId="12" borderId="62" xfId="0" applyFont="1" applyFill="1" applyBorder="1" applyAlignment="1">
      <alignment horizontal="center" vertical="center"/>
    </xf>
    <xf numFmtId="0" fontId="22" fillId="12" borderId="73" xfId="0" applyFont="1" applyFill="1" applyBorder="1" applyAlignment="1">
      <alignment horizontal="center" vertical="center"/>
    </xf>
    <xf numFmtId="0" fontId="22" fillId="14" borderId="67" xfId="0" applyFont="1" applyFill="1" applyBorder="1" applyAlignment="1">
      <alignment horizontal="center" vertical="center"/>
    </xf>
    <xf numFmtId="0" fontId="22" fillId="14" borderId="62" xfId="0" applyFont="1" applyFill="1" applyBorder="1" applyAlignment="1">
      <alignment horizontal="center" vertical="center"/>
    </xf>
    <xf numFmtId="0" fontId="22" fillId="14" borderId="73" xfId="0" applyFont="1" applyFill="1" applyBorder="1" applyAlignment="1">
      <alignment horizontal="center" vertical="center"/>
    </xf>
    <xf numFmtId="0" fontId="22" fillId="15" borderId="59" xfId="0" applyFont="1" applyFill="1" applyBorder="1" applyAlignment="1">
      <alignment horizontal="center" vertical="center"/>
    </xf>
    <xf numFmtId="0" fontId="22" fillId="15" borderId="62" xfId="0" applyFont="1" applyFill="1" applyBorder="1" applyAlignment="1">
      <alignment horizontal="center" vertical="center"/>
    </xf>
    <xf numFmtId="0" fontId="22" fillId="15" borderId="73" xfId="0" applyFont="1" applyFill="1" applyBorder="1" applyAlignment="1">
      <alignment horizontal="center" vertical="center"/>
    </xf>
    <xf numFmtId="0" fontId="22" fillId="15" borderId="60" xfId="0" applyFont="1" applyFill="1" applyBorder="1" applyAlignment="1">
      <alignment horizontal="center" vertical="center"/>
    </xf>
    <xf numFmtId="0" fontId="22" fillId="15" borderId="61" xfId="0" applyFont="1" applyFill="1" applyBorder="1" applyAlignment="1">
      <alignment horizontal="center" vertical="center"/>
    </xf>
    <xf numFmtId="0" fontId="22" fillId="16" borderId="69" xfId="0" applyFont="1" applyFill="1" applyBorder="1" applyAlignment="1">
      <alignment horizontal="center" vertical="center" wrapText="1"/>
    </xf>
    <xf numFmtId="0" fontId="22" fillId="16" borderId="71" xfId="0" applyFont="1" applyFill="1" applyBorder="1" applyAlignment="1">
      <alignment horizontal="center" vertical="center" wrapText="1"/>
    </xf>
    <xf numFmtId="0" fontId="22" fillId="9" borderId="59" xfId="0" applyFont="1" applyFill="1" applyBorder="1" applyAlignment="1">
      <alignment horizontal="center" vertical="center" wrapText="1"/>
    </xf>
    <xf numFmtId="0" fontId="22" fillId="9" borderId="61" xfId="0" applyFont="1" applyFill="1" applyBorder="1" applyAlignment="1">
      <alignment horizontal="center" vertical="center" wrapText="1"/>
    </xf>
    <xf numFmtId="0" fontId="22" fillId="11" borderId="59" xfId="0" applyFont="1" applyFill="1" applyBorder="1" applyAlignment="1">
      <alignment horizontal="center" vertical="center" wrapText="1"/>
    </xf>
    <xf numFmtId="0" fontId="22" fillId="11" borderId="61" xfId="0" applyFont="1" applyFill="1" applyBorder="1" applyAlignment="1">
      <alignment horizontal="center" vertical="center" wrapText="1"/>
    </xf>
    <xf numFmtId="0" fontId="22" fillId="13" borderId="59" xfId="0" applyFont="1" applyFill="1" applyBorder="1" applyAlignment="1">
      <alignment horizontal="center" vertical="center" wrapText="1"/>
    </xf>
    <xf numFmtId="0" fontId="22" fillId="13" borderId="61" xfId="0" applyFont="1" applyFill="1" applyBorder="1" applyAlignment="1">
      <alignment horizontal="center" vertical="center" wrapText="1"/>
    </xf>
    <xf numFmtId="0" fontId="22" fillId="14" borderId="59" xfId="0" applyFont="1" applyFill="1" applyBorder="1" applyAlignment="1">
      <alignment horizontal="center" vertical="center" wrapText="1"/>
    </xf>
    <xf numFmtId="0" fontId="22" fillId="14" borderId="61" xfId="0" applyFont="1" applyFill="1" applyBorder="1" applyAlignment="1">
      <alignment horizontal="center" vertical="center" wrapText="1"/>
    </xf>
    <xf numFmtId="0" fontId="12" fillId="7" borderId="24" xfId="0" applyFont="1" applyFill="1" applyBorder="1" applyAlignment="1">
      <alignment horizontal="center" vertical="center" wrapText="1"/>
    </xf>
  </cellXfs>
  <cellStyles count="5">
    <cellStyle name="Hiperlink" xfId="3" builtinId="8"/>
    <cellStyle name="Moeda" xfId="1" builtinId="4"/>
    <cellStyle name="Normal" xfId="0" builtinId="0"/>
    <cellStyle name="Porcentagem" xfId="2" builtinId="5"/>
    <cellStyle name="Texto Explicativo" xfId="4"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1DA"/>
      <rgbColor rgb="FF000080"/>
      <rgbColor rgb="FFFF00FF"/>
      <rgbColor rgb="FFFFFF00"/>
      <rgbColor rgb="FF00FFFF"/>
      <rgbColor rgb="FF800080"/>
      <rgbColor rgb="FF800000"/>
      <rgbColor rgb="FF008080"/>
      <rgbColor rgb="FF0000FF"/>
      <rgbColor rgb="FF00B6BD"/>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1F497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6</xdr:col>
      <xdr:colOff>1102809</xdr:colOff>
      <xdr:row>53</xdr:row>
      <xdr:rowOff>154983</xdr:rowOff>
    </xdr:to>
    <xdr:sp macro="" textlink="">
      <xdr:nvSpPr>
        <xdr:cNvPr id="2" name="CustomShape 1" hidden="1">
          <a:extLst>
            <a:ext uri="{FF2B5EF4-FFF2-40B4-BE49-F238E27FC236}">
              <a16:creationId xmlns:a16="http://schemas.microsoft.com/office/drawing/2014/main" id="{F5BFC576-D7C9-4606-84C6-CB3E5F52C5BF}"/>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 name="CustomShape 1" hidden="1">
          <a:extLst>
            <a:ext uri="{FF2B5EF4-FFF2-40B4-BE49-F238E27FC236}">
              <a16:creationId xmlns:a16="http://schemas.microsoft.com/office/drawing/2014/main" id="{A7F71EF1-E096-49D8-BA78-BD0284C81A6D}"/>
            </a:ext>
            <a:ext uri="{147F2762-F138-4A5C-976F-8EAC2B608ADB}">
              <a16:predDERef xmlns:a16="http://schemas.microsoft.com/office/drawing/2014/main" pred="{F5BFC576-D7C9-4606-84C6-CB3E5F52C5BF}"/>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 name="CustomShape 1" hidden="1">
          <a:extLst>
            <a:ext uri="{FF2B5EF4-FFF2-40B4-BE49-F238E27FC236}">
              <a16:creationId xmlns:a16="http://schemas.microsoft.com/office/drawing/2014/main" id="{DBC578F0-D312-43D4-B2C5-8DFC5F79415A}"/>
            </a:ext>
            <a:ext uri="{147F2762-F138-4A5C-976F-8EAC2B608ADB}">
              <a16:predDERef xmlns:a16="http://schemas.microsoft.com/office/drawing/2014/main" pred="{A7F71EF1-E096-49D8-BA78-BD0284C81A6D}"/>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 name="CustomShape 1" hidden="1">
          <a:extLst>
            <a:ext uri="{FF2B5EF4-FFF2-40B4-BE49-F238E27FC236}">
              <a16:creationId xmlns:a16="http://schemas.microsoft.com/office/drawing/2014/main" id="{A46C9009-925A-423B-B0BC-FA7C7F851A6C}"/>
            </a:ext>
            <a:ext uri="{147F2762-F138-4A5C-976F-8EAC2B608ADB}">
              <a16:predDERef xmlns:a16="http://schemas.microsoft.com/office/drawing/2014/main" pred="{DBC578F0-D312-43D4-B2C5-8DFC5F79415A}"/>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6" name="CustomShape 1" hidden="1">
          <a:extLst>
            <a:ext uri="{FF2B5EF4-FFF2-40B4-BE49-F238E27FC236}">
              <a16:creationId xmlns:a16="http://schemas.microsoft.com/office/drawing/2014/main" id="{A01A6B82-9BEF-4620-97DF-88D1A4D2DD99}"/>
            </a:ext>
            <a:ext uri="{147F2762-F138-4A5C-976F-8EAC2B608ADB}">
              <a16:predDERef xmlns:a16="http://schemas.microsoft.com/office/drawing/2014/main" pred="{A46C9009-925A-423B-B0BC-FA7C7F851A6C}"/>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7" name="CustomShape 1" hidden="1">
          <a:extLst>
            <a:ext uri="{FF2B5EF4-FFF2-40B4-BE49-F238E27FC236}">
              <a16:creationId xmlns:a16="http://schemas.microsoft.com/office/drawing/2014/main" id="{F5DA81ED-7F9B-4B5E-9FBE-F29DE35E7B5C}"/>
            </a:ext>
            <a:ext uri="{147F2762-F138-4A5C-976F-8EAC2B608ADB}">
              <a16:predDERef xmlns:a16="http://schemas.microsoft.com/office/drawing/2014/main" pred="{A01A6B82-9BEF-4620-97DF-88D1A4D2DD99}"/>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8" name="CustomShape 1" hidden="1">
          <a:extLst>
            <a:ext uri="{FF2B5EF4-FFF2-40B4-BE49-F238E27FC236}">
              <a16:creationId xmlns:a16="http://schemas.microsoft.com/office/drawing/2014/main" id="{4E221B96-FFD2-4BEA-8181-67B5D5D22387}"/>
            </a:ext>
            <a:ext uri="{147F2762-F138-4A5C-976F-8EAC2B608ADB}">
              <a16:predDERef xmlns:a16="http://schemas.microsoft.com/office/drawing/2014/main" pred="{F5DA81ED-7F9B-4B5E-9FBE-F29DE35E7B5C}"/>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9" name="CustomShape 1" hidden="1">
          <a:extLst>
            <a:ext uri="{FF2B5EF4-FFF2-40B4-BE49-F238E27FC236}">
              <a16:creationId xmlns:a16="http://schemas.microsoft.com/office/drawing/2014/main" id="{A56D89FC-7C2F-49B5-B27A-6D85E3771A52}"/>
            </a:ext>
            <a:ext uri="{147F2762-F138-4A5C-976F-8EAC2B608ADB}">
              <a16:predDERef xmlns:a16="http://schemas.microsoft.com/office/drawing/2014/main" pred="{4E221B96-FFD2-4BEA-8181-67B5D5D22387}"/>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0" name="CustomShape 1" hidden="1">
          <a:extLst>
            <a:ext uri="{FF2B5EF4-FFF2-40B4-BE49-F238E27FC236}">
              <a16:creationId xmlns:a16="http://schemas.microsoft.com/office/drawing/2014/main" id="{0D2E6377-431A-42B1-B1F8-0FF2E0B5C626}"/>
            </a:ext>
            <a:ext uri="{147F2762-F138-4A5C-976F-8EAC2B608ADB}">
              <a16:predDERef xmlns:a16="http://schemas.microsoft.com/office/drawing/2014/main" pred="{A56D89FC-7C2F-49B5-B27A-6D85E3771A52}"/>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1" name="CustomShape 1" hidden="1">
          <a:extLst>
            <a:ext uri="{FF2B5EF4-FFF2-40B4-BE49-F238E27FC236}">
              <a16:creationId xmlns:a16="http://schemas.microsoft.com/office/drawing/2014/main" id="{CBA892E5-B709-4629-BA05-4686A1A4EAC6}"/>
            </a:ext>
            <a:ext uri="{147F2762-F138-4A5C-976F-8EAC2B608ADB}">
              <a16:predDERef xmlns:a16="http://schemas.microsoft.com/office/drawing/2014/main" pred="{0D2E6377-431A-42B1-B1F8-0FF2E0B5C626}"/>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2" name="CustomShape 1" hidden="1">
          <a:extLst>
            <a:ext uri="{FF2B5EF4-FFF2-40B4-BE49-F238E27FC236}">
              <a16:creationId xmlns:a16="http://schemas.microsoft.com/office/drawing/2014/main" id="{AF78279C-B583-4465-9C3D-09BDAEE1FAC2}"/>
            </a:ext>
            <a:ext uri="{147F2762-F138-4A5C-976F-8EAC2B608ADB}">
              <a16:predDERef xmlns:a16="http://schemas.microsoft.com/office/drawing/2014/main" pred="{CBA892E5-B709-4629-BA05-4686A1A4EAC6}"/>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3" name="CustomShape 1" hidden="1">
          <a:extLst>
            <a:ext uri="{FF2B5EF4-FFF2-40B4-BE49-F238E27FC236}">
              <a16:creationId xmlns:a16="http://schemas.microsoft.com/office/drawing/2014/main" id="{2C611793-CA60-4E9A-AEA7-D9EF91FC232E}"/>
            </a:ext>
            <a:ext uri="{147F2762-F138-4A5C-976F-8EAC2B608ADB}">
              <a16:predDERef xmlns:a16="http://schemas.microsoft.com/office/drawing/2014/main" pred="{AF78279C-B583-4465-9C3D-09BDAEE1FAC2}"/>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4" name="CustomShape 1" hidden="1">
          <a:extLst>
            <a:ext uri="{FF2B5EF4-FFF2-40B4-BE49-F238E27FC236}">
              <a16:creationId xmlns:a16="http://schemas.microsoft.com/office/drawing/2014/main" id="{FBF483CB-D194-40E1-8490-291B8DFFDA01}"/>
            </a:ext>
            <a:ext uri="{147F2762-F138-4A5C-976F-8EAC2B608ADB}">
              <a16:predDERef xmlns:a16="http://schemas.microsoft.com/office/drawing/2014/main" pred="{2C611793-CA60-4E9A-AEA7-D9EF91FC232E}"/>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5" name="CustomShape 1" hidden="1">
          <a:extLst>
            <a:ext uri="{FF2B5EF4-FFF2-40B4-BE49-F238E27FC236}">
              <a16:creationId xmlns:a16="http://schemas.microsoft.com/office/drawing/2014/main" id="{88CA41B4-53C5-4593-9505-73C7D4C34256}"/>
            </a:ext>
            <a:ext uri="{147F2762-F138-4A5C-976F-8EAC2B608ADB}">
              <a16:predDERef xmlns:a16="http://schemas.microsoft.com/office/drawing/2014/main" pred="{FBF483CB-D194-40E1-8490-291B8DFFDA01}"/>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6" name="CustomShape 1" hidden="1">
          <a:extLst>
            <a:ext uri="{FF2B5EF4-FFF2-40B4-BE49-F238E27FC236}">
              <a16:creationId xmlns:a16="http://schemas.microsoft.com/office/drawing/2014/main" id="{06E70CA8-F5FA-47C0-BE1B-BB62DEC4A904}"/>
            </a:ext>
            <a:ext uri="{147F2762-F138-4A5C-976F-8EAC2B608ADB}">
              <a16:predDERef xmlns:a16="http://schemas.microsoft.com/office/drawing/2014/main" pred="{88CA41B4-53C5-4593-9505-73C7D4C34256}"/>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7" name="CustomShape 1" hidden="1">
          <a:extLst>
            <a:ext uri="{FF2B5EF4-FFF2-40B4-BE49-F238E27FC236}">
              <a16:creationId xmlns:a16="http://schemas.microsoft.com/office/drawing/2014/main" id="{EC7AF01A-06B7-4A0A-985F-A28EA565C425}"/>
            </a:ext>
            <a:ext uri="{147F2762-F138-4A5C-976F-8EAC2B608ADB}">
              <a16:predDERef xmlns:a16="http://schemas.microsoft.com/office/drawing/2014/main" pred="{06E70CA8-F5FA-47C0-BE1B-BB62DEC4A904}"/>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8" name="CustomShape 1" hidden="1">
          <a:extLst>
            <a:ext uri="{FF2B5EF4-FFF2-40B4-BE49-F238E27FC236}">
              <a16:creationId xmlns:a16="http://schemas.microsoft.com/office/drawing/2014/main" id="{7EE3387F-EBC1-49EE-8CB9-065C8BCC0E7B}"/>
            </a:ext>
            <a:ext uri="{147F2762-F138-4A5C-976F-8EAC2B608ADB}">
              <a16:predDERef xmlns:a16="http://schemas.microsoft.com/office/drawing/2014/main" pred="{EC7AF01A-06B7-4A0A-985F-A28EA565C425}"/>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9" name="CustomShape 1" hidden="1">
          <a:extLst>
            <a:ext uri="{FF2B5EF4-FFF2-40B4-BE49-F238E27FC236}">
              <a16:creationId xmlns:a16="http://schemas.microsoft.com/office/drawing/2014/main" id="{5577CD59-C776-4991-8BA2-B0F9AB0B4425}"/>
            </a:ext>
            <a:ext uri="{147F2762-F138-4A5C-976F-8EAC2B608ADB}">
              <a16:predDERef xmlns:a16="http://schemas.microsoft.com/office/drawing/2014/main" pred="{7EE3387F-EBC1-49EE-8CB9-065C8BCC0E7B}"/>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0" name="CustomShape 1" hidden="1">
          <a:extLst>
            <a:ext uri="{FF2B5EF4-FFF2-40B4-BE49-F238E27FC236}">
              <a16:creationId xmlns:a16="http://schemas.microsoft.com/office/drawing/2014/main" id="{0326050D-2423-4CDB-9178-9F996AA956B3}"/>
            </a:ext>
            <a:ext uri="{147F2762-F138-4A5C-976F-8EAC2B608ADB}">
              <a16:predDERef xmlns:a16="http://schemas.microsoft.com/office/drawing/2014/main" pred="{5577CD59-C776-4991-8BA2-B0F9AB0B4425}"/>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1" name="CustomShape 1" hidden="1">
          <a:extLst>
            <a:ext uri="{FF2B5EF4-FFF2-40B4-BE49-F238E27FC236}">
              <a16:creationId xmlns:a16="http://schemas.microsoft.com/office/drawing/2014/main" id="{5C0D14BF-223A-4501-8463-98E334F82DA8}"/>
            </a:ext>
            <a:ext uri="{147F2762-F138-4A5C-976F-8EAC2B608ADB}">
              <a16:predDERef xmlns:a16="http://schemas.microsoft.com/office/drawing/2014/main" pred="{0326050D-2423-4CDB-9178-9F996AA956B3}"/>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2" name="CustomShape 1" hidden="1">
          <a:extLst>
            <a:ext uri="{FF2B5EF4-FFF2-40B4-BE49-F238E27FC236}">
              <a16:creationId xmlns:a16="http://schemas.microsoft.com/office/drawing/2014/main" id="{F5DD8EA3-F8CB-4BB8-9146-5384F45231C2}"/>
            </a:ext>
            <a:ext uri="{147F2762-F138-4A5C-976F-8EAC2B608ADB}">
              <a16:predDERef xmlns:a16="http://schemas.microsoft.com/office/drawing/2014/main" pred="{5C0D14BF-223A-4501-8463-98E334F82DA8}"/>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3" name="CustomShape 1" hidden="1">
          <a:extLst>
            <a:ext uri="{FF2B5EF4-FFF2-40B4-BE49-F238E27FC236}">
              <a16:creationId xmlns:a16="http://schemas.microsoft.com/office/drawing/2014/main" id="{0A8E59A9-49BC-4A83-B4BB-FCBA36F8EADF}"/>
            </a:ext>
            <a:ext uri="{147F2762-F138-4A5C-976F-8EAC2B608ADB}">
              <a16:predDERef xmlns:a16="http://schemas.microsoft.com/office/drawing/2014/main" pred="{F5DD8EA3-F8CB-4BB8-9146-5384F45231C2}"/>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4" name="CustomShape 1" hidden="1">
          <a:extLst>
            <a:ext uri="{FF2B5EF4-FFF2-40B4-BE49-F238E27FC236}">
              <a16:creationId xmlns:a16="http://schemas.microsoft.com/office/drawing/2014/main" id="{954DA4E6-9A9A-40E4-A01A-F0F50429A007}"/>
            </a:ext>
            <a:ext uri="{147F2762-F138-4A5C-976F-8EAC2B608ADB}">
              <a16:predDERef xmlns:a16="http://schemas.microsoft.com/office/drawing/2014/main" pred="{0A8E59A9-49BC-4A83-B4BB-FCBA36F8EADF}"/>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5" name="CustomShape 1" hidden="1">
          <a:extLst>
            <a:ext uri="{FF2B5EF4-FFF2-40B4-BE49-F238E27FC236}">
              <a16:creationId xmlns:a16="http://schemas.microsoft.com/office/drawing/2014/main" id="{B345534F-03AD-4314-96C3-02A6A2AB14FC}"/>
            </a:ext>
            <a:ext uri="{147F2762-F138-4A5C-976F-8EAC2B608ADB}">
              <a16:predDERef xmlns:a16="http://schemas.microsoft.com/office/drawing/2014/main" pred="{954DA4E6-9A9A-40E4-A01A-F0F50429A007}"/>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6" name="CustomShape 1" hidden="1">
          <a:extLst>
            <a:ext uri="{FF2B5EF4-FFF2-40B4-BE49-F238E27FC236}">
              <a16:creationId xmlns:a16="http://schemas.microsoft.com/office/drawing/2014/main" id="{3EB8CBA8-6495-4E55-9A00-4A8C274BD405}"/>
            </a:ext>
            <a:ext uri="{147F2762-F138-4A5C-976F-8EAC2B608ADB}">
              <a16:predDERef xmlns:a16="http://schemas.microsoft.com/office/drawing/2014/main" pred="{B345534F-03AD-4314-96C3-02A6A2AB14FC}"/>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7" name="CustomShape 1" hidden="1">
          <a:extLst>
            <a:ext uri="{FF2B5EF4-FFF2-40B4-BE49-F238E27FC236}">
              <a16:creationId xmlns:a16="http://schemas.microsoft.com/office/drawing/2014/main" id="{0B7C7841-5EA3-4001-B777-0AB318B6533E}"/>
            </a:ext>
            <a:ext uri="{147F2762-F138-4A5C-976F-8EAC2B608ADB}">
              <a16:predDERef xmlns:a16="http://schemas.microsoft.com/office/drawing/2014/main" pred="{3EB8CBA8-6495-4E55-9A00-4A8C274BD405}"/>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8" name="CustomShape 1" hidden="1">
          <a:extLst>
            <a:ext uri="{FF2B5EF4-FFF2-40B4-BE49-F238E27FC236}">
              <a16:creationId xmlns:a16="http://schemas.microsoft.com/office/drawing/2014/main" id="{387E95AF-D75F-4C21-8E2B-76059C78F042}"/>
            </a:ext>
            <a:ext uri="{147F2762-F138-4A5C-976F-8EAC2B608ADB}">
              <a16:predDERef xmlns:a16="http://schemas.microsoft.com/office/drawing/2014/main" pred="{0B7C7841-5EA3-4001-B777-0AB318B6533E}"/>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9" name="CustomShape 1" hidden="1">
          <a:extLst>
            <a:ext uri="{FF2B5EF4-FFF2-40B4-BE49-F238E27FC236}">
              <a16:creationId xmlns:a16="http://schemas.microsoft.com/office/drawing/2014/main" id="{6D5D728F-2EC3-46E2-9E1F-EE0936D478B8}"/>
            </a:ext>
            <a:ext uri="{147F2762-F138-4A5C-976F-8EAC2B608ADB}">
              <a16:predDERef xmlns:a16="http://schemas.microsoft.com/office/drawing/2014/main" pred="{387E95AF-D75F-4C21-8E2B-76059C78F042}"/>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0" name="CustomShape 1" hidden="1">
          <a:extLst>
            <a:ext uri="{FF2B5EF4-FFF2-40B4-BE49-F238E27FC236}">
              <a16:creationId xmlns:a16="http://schemas.microsoft.com/office/drawing/2014/main" id="{CCD32174-7CC7-40CE-BB8E-D70F3BFADB16}"/>
            </a:ext>
            <a:ext uri="{147F2762-F138-4A5C-976F-8EAC2B608ADB}">
              <a16:predDERef xmlns:a16="http://schemas.microsoft.com/office/drawing/2014/main" pred="{6D5D728F-2EC3-46E2-9E1F-EE0936D478B8}"/>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1" name="CustomShape 1" hidden="1">
          <a:extLst>
            <a:ext uri="{FF2B5EF4-FFF2-40B4-BE49-F238E27FC236}">
              <a16:creationId xmlns:a16="http://schemas.microsoft.com/office/drawing/2014/main" id="{CBCA9D7C-0BD5-4A6A-AF1F-DA981AB3F938}"/>
            </a:ext>
            <a:ext uri="{147F2762-F138-4A5C-976F-8EAC2B608ADB}">
              <a16:predDERef xmlns:a16="http://schemas.microsoft.com/office/drawing/2014/main" pred="{CCD32174-7CC7-40CE-BB8E-D70F3BFADB16}"/>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2" name="CustomShape 1" hidden="1">
          <a:extLst>
            <a:ext uri="{FF2B5EF4-FFF2-40B4-BE49-F238E27FC236}">
              <a16:creationId xmlns:a16="http://schemas.microsoft.com/office/drawing/2014/main" id="{10F8E047-7CFF-4D43-833E-B7EB2C62BE49}"/>
            </a:ext>
            <a:ext uri="{147F2762-F138-4A5C-976F-8EAC2B608ADB}">
              <a16:predDERef xmlns:a16="http://schemas.microsoft.com/office/drawing/2014/main" pred="{CBCA9D7C-0BD5-4A6A-AF1F-DA981AB3F938}"/>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3" name="CustomShape 1" hidden="1">
          <a:extLst>
            <a:ext uri="{FF2B5EF4-FFF2-40B4-BE49-F238E27FC236}">
              <a16:creationId xmlns:a16="http://schemas.microsoft.com/office/drawing/2014/main" id="{88F77CFE-39AD-420E-83C1-15AF452E6F56}"/>
            </a:ext>
            <a:ext uri="{147F2762-F138-4A5C-976F-8EAC2B608ADB}">
              <a16:predDERef xmlns:a16="http://schemas.microsoft.com/office/drawing/2014/main" pred="{10F8E047-7CFF-4D43-833E-B7EB2C62BE49}"/>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4" name="CustomShape 1" hidden="1">
          <a:extLst>
            <a:ext uri="{FF2B5EF4-FFF2-40B4-BE49-F238E27FC236}">
              <a16:creationId xmlns:a16="http://schemas.microsoft.com/office/drawing/2014/main" id="{560BAEBC-F713-43E7-90C3-25B2278B345D}"/>
            </a:ext>
            <a:ext uri="{147F2762-F138-4A5C-976F-8EAC2B608ADB}">
              <a16:predDERef xmlns:a16="http://schemas.microsoft.com/office/drawing/2014/main" pred="{88F77CFE-39AD-420E-83C1-15AF452E6F56}"/>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5" name="CustomShape 1" hidden="1">
          <a:extLst>
            <a:ext uri="{FF2B5EF4-FFF2-40B4-BE49-F238E27FC236}">
              <a16:creationId xmlns:a16="http://schemas.microsoft.com/office/drawing/2014/main" id="{4ABFD4D4-4D98-4F99-8AA0-1CD6828C3DC3}"/>
            </a:ext>
            <a:ext uri="{147F2762-F138-4A5C-976F-8EAC2B608ADB}">
              <a16:predDERef xmlns:a16="http://schemas.microsoft.com/office/drawing/2014/main" pred="{560BAEBC-F713-43E7-90C3-25B2278B345D}"/>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6" name="CustomShape 1" hidden="1">
          <a:extLst>
            <a:ext uri="{FF2B5EF4-FFF2-40B4-BE49-F238E27FC236}">
              <a16:creationId xmlns:a16="http://schemas.microsoft.com/office/drawing/2014/main" id="{E8FA6A16-7BA1-4D05-BAA0-52586657A1D5}"/>
            </a:ext>
            <a:ext uri="{147F2762-F138-4A5C-976F-8EAC2B608ADB}">
              <a16:predDERef xmlns:a16="http://schemas.microsoft.com/office/drawing/2014/main" pred="{4ABFD4D4-4D98-4F99-8AA0-1CD6828C3DC3}"/>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7" name="CustomShape 1" hidden="1">
          <a:extLst>
            <a:ext uri="{FF2B5EF4-FFF2-40B4-BE49-F238E27FC236}">
              <a16:creationId xmlns:a16="http://schemas.microsoft.com/office/drawing/2014/main" id="{DC9B26CB-9471-4121-BAEC-62DB3137E5AF}"/>
            </a:ext>
            <a:ext uri="{147F2762-F138-4A5C-976F-8EAC2B608ADB}">
              <a16:predDERef xmlns:a16="http://schemas.microsoft.com/office/drawing/2014/main" pred="{E8FA6A16-7BA1-4D05-BAA0-52586657A1D5}"/>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8" name="CustomShape 1" hidden="1">
          <a:extLst>
            <a:ext uri="{FF2B5EF4-FFF2-40B4-BE49-F238E27FC236}">
              <a16:creationId xmlns:a16="http://schemas.microsoft.com/office/drawing/2014/main" id="{7ACE144A-9985-4BD9-A293-3DA9537EB28B}"/>
            </a:ext>
            <a:ext uri="{147F2762-F138-4A5C-976F-8EAC2B608ADB}">
              <a16:predDERef xmlns:a16="http://schemas.microsoft.com/office/drawing/2014/main" pred="{DC9B26CB-9471-4121-BAEC-62DB3137E5AF}"/>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9" name="CustomShape 1" hidden="1">
          <a:extLst>
            <a:ext uri="{FF2B5EF4-FFF2-40B4-BE49-F238E27FC236}">
              <a16:creationId xmlns:a16="http://schemas.microsoft.com/office/drawing/2014/main" id="{306F558B-B14E-48B8-B06F-610CDCB2D415}"/>
            </a:ext>
            <a:ext uri="{147F2762-F138-4A5C-976F-8EAC2B608ADB}">
              <a16:predDERef xmlns:a16="http://schemas.microsoft.com/office/drawing/2014/main" pred="{7ACE144A-9985-4BD9-A293-3DA9537EB28B}"/>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0" name="CustomShape 1" hidden="1">
          <a:extLst>
            <a:ext uri="{FF2B5EF4-FFF2-40B4-BE49-F238E27FC236}">
              <a16:creationId xmlns:a16="http://schemas.microsoft.com/office/drawing/2014/main" id="{42B114B3-9920-46F0-9A9E-A7144514A2C9}"/>
            </a:ext>
            <a:ext uri="{147F2762-F138-4A5C-976F-8EAC2B608ADB}">
              <a16:predDERef xmlns:a16="http://schemas.microsoft.com/office/drawing/2014/main" pred="{306F558B-B14E-48B8-B06F-610CDCB2D415}"/>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1" name="CustomShape 1" hidden="1">
          <a:extLst>
            <a:ext uri="{FF2B5EF4-FFF2-40B4-BE49-F238E27FC236}">
              <a16:creationId xmlns:a16="http://schemas.microsoft.com/office/drawing/2014/main" id="{398E0B00-FC42-48A3-B53B-955B6565279E}"/>
            </a:ext>
            <a:ext uri="{147F2762-F138-4A5C-976F-8EAC2B608ADB}">
              <a16:predDERef xmlns:a16="http://schemas.microsoft.com/office/drawing/2014/main" pred="{42B114B3-9920-46F0-9A9E-A7144514A2C9}"/>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2" name="CustomShape 1" hidden="1">
          <a:extLst>
            <a:ext uri="{FF2B5EF4-FFF2-40B4-BE49-F238E27FC236}">
              <a16:creationId xmlns:a16="http://schemas.microsoft.com/office/drawing/2014/main" id="{2D4F4528-1AF5-4316-A117-7FB77A62E0A3}"/>
            </a:ext>
            <a:ext uri="{147F2762-F138-4A5C-976F-8EAC2B608ADB}">
              <a16:predDERef xmlns:a16="http://schemas.microsoft.com/office/drawing/2014/main" pred="{398E0B00-FC42-48A3-B53B-955B6565279E}"/>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3" name="CustomShape 1" hidden="1">
          <a:extLst>
            <a:ext uri="{FF2B5EF4-FFF2-40B4-BE49-F238E27FC236}">
              <a16:creationId xmlns:a16="http://schemas.microsoft.com/office/drawing/2014/main" id="{9D959890-BCAE-4FF1-9498-70434440E037}"/>
            </a:ext>
            <a:ext uri="{147F2762-F138-4A5C-976F-8EAC2B608ADB}">
              <a16:predDERef xmlns:a16="http://schemas.microsoft.com/office/drawing/2014/main" pred="{2D4F4528-1AF5-4316-A117-7FB77A62E0A3}"/>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4" name="CustomShape 1" hidden="1">
          <a:extLst>
            <a:ext uri="{FF2B5EF4-FFF2-40B4-BE49-F238E27FC236}">
              <a16:creationId xmlns:a16="http://schemas.microsoft.com/office/drawing/2014/main" id="{EFE05C16-AB42-47AE-9225-180DB8001B95}"/>
            </a:ext>
            <a:ext uri="{147F2762-F138-4A5C-976F-8EAC2B608ADB}">
              <a16:predDERef xmlns:a16="http://schemas.microsoft.com/office/drawing/2014/main" pred="{9D959890-BCAE-4FF1-9498-70434440E037}"/>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5" name="CustomShape 1" hidden="1">
          <a:extLst>
            <a:ext uri="{FF2B5EF4-FFF2-40B4-BE49-F238E27FC236}">
              <a16:creationId xmlns:a16="http://schemas.microsoft.com/office/drawing/2014/main" id="{24DA44EE-1858-48CD-837C-4F7A15AEAA70}"/>
            </a:ext>
            <a:ext uri="{147F2762-F138-4A5C-976F-8EAC2B608ADB}">
              <a16:predDERef xmlns:a16="http://schemas.microsoft.com/office/drawing/2014/main" pred="{EFE05C16-AB42-47AE-9225-180DB8001B95}"/>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6" name="CustomShape 1" hidden="1">
          <a:extLst>
            <a:ext uri="{FF2B5EF4-FFF2-40B4-BE49-F238E27FC236}">
              <a16:creationId xmlns:a16="http://schemas.microsoft.com/office/drawing/2014/main" id="{B65C2494-2FC3-419E-9AA5-A6B0789D4F44}"/>
            </a:ext>
            <a:ext uri="{147F2762-F138-4A5C-976F-8EAC2B608ADB}">
              <a16:predDERef xmlns:a16="http://schemas.microsoft.com/office/drawing/2014/main" pred="{24DA44EE-1858-48CD-837C-4F7A15AEAA70}"/>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7" name="CustomShape 1" hidden="1">
          <a:extLst>
            <a:ext uri="{FF2B5EF4-FFF2-40B4-BE49-F238E27FC236}">
              <a16:creationId xmlns:a16="http://schemas.microsoft.com/office/drawing/2014/main" id="{C55986DB-2E8E-4C66-B711-BDF83668C902}"/>
            </a:ext>
            <a:ext uri="{147F2762-F138-4A5C-976F-8EAC2B608ADB}">
              <a16:predDERef xmlns:a16="http://schemas.microsoft.com/office/drawing/2014/main" pred="{B65C2494-2FC3-419E-9AA5-A6B0789D4F44}"/>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8" name="CustomShape 1" hidden="1">
          <a:extLst>
            <a:ext uri="{FF2B5EF4-FFF2-40B4-BE49-F238E27FC236}">
              <a16:creationId xmlns:a16="http://schemas.microsoft.com/office/drawing/2014/main" id="{00FE1A00-1BDF-4E5A-86D3-9F0B2E301A1C}"/>
            </a:ext>
            <a:ext uri="{147F2762-F138-4A5C-976F-8EAC2B608ADB}">
              <a16:predDERef xmlns:a16="http://schemas.microsoft.com/office/drawing/2014/main" pred="{C55986DB-2E8E-4C66-B711-BDF83668C902}"/>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9" name="CustomShape 1" hidden="1">
          <a:extLst>
            <a:ext uri="{FF2B5EF4-FFF2-40B4-BE49-F238E27FC236}">
              <a16:creationId xmlns:a16="http://schemas.microsoft.com/office/drawing/2014/main" id="{35BED3DF-0E9E-4105-BF21-22424EE0030F}"/>
            </a:ext>
            <a:ext uri="{147F2762-F138-4A5C-976F-8EAC2B608ADB}">
              <a16:predDERef xmlns:a16="http://schemas.microsoft.com/office/drawing/2014/main" pred="{00FE1A00-1BDF-4E5A-86D3-9F0B2E301A1C}"/>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0" name="CustomShape 1" hidden="1">
          <a:extLst>
            <a:ext uri="{FF2B5EF4-FFF2-40B4-BE49-F238E27FC236}">
              <a16:creationId xmlns:a16="http://schemas.microsoft.com/office/drawing/2014/main" id="{4E155C23-4C20-42E4-972F-F07156A5CE4B}"/>
            </a:ext>
            <a:ext uri="{147F2762-F138-4A5C-976F-8EAC2B608ADB}">
              <a16:predDERef xmlns:a16="http://schemas.microsoft.com/office/drawing/2014/main" pred="{35BED3DF-0E9E-4105-BF21-22424EE0030F}"/>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1" name="CustomShape 1" hidden="1">
          <a:extLst>
            <a:ext uri="{FF2B5EF4-FFF2-40B4-BE49-F238E27FC236}">
              <a16:creationId xmlns:a16="http://schemas.microsoft.com/office/drawing/2014/main" id="{FAEC28A4-39F9-4479-A123-CB5A1779D467}"/>
            </a:ext>
            <a:ext uri="{147F2762-F138-4A5C-976F-8EAC2B608ADB}">
              <a16:predDERef xmlns:a16="http://schemas.microsoft.com/office/drawing/2014/main" pred="{4E155C23-4C20-42E4-972F-F07156A5CE4B}"/>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2" name="CustomShape 1" hidden="1">
          <a:extLst>
            <a:ext uri="{FF2B5EF4-FFF2-40B4-BE49-F238E27FC236}">
              <a16:creationId xmlns:a16="http://schemas.microsoft.com/office/drawing/2014/main" id="{E05F38EF-295B-4460-82CC-3C57C1B25CBA}"/>
            </a:ext>
            <a:ext uri="{147F2762-F138-4A5C-976F-8EAC2B608ADB}">
              <a16:predDERef xmlns:a16="http://schemas.microsoft.com/office/drawing/2014/main" pred="{FAEC28A4-39F9-4479-A123-CB5A1779D467}"/>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3" name="CustomShape 1" hidden="1">
          <a:extLst>
            <a:ext uri="{FF2B5EF4-FFF2-40B4-BE49-F238E27FC236}">
              <a16:creationId xmlns:a16="http://schemas.microsoft.com/office/drawing/2014/main" id="{CE0E8EBA-592C-4269-859E-AEA0507B5D67}"/>
            </a:ext>
            <a:ext uri="{147F2762-F138-4A5C-976F-8EAC2B608ADB}">
              <a16:predDERef xmlns:a16="http://schemas.microsoft.com/office/drawing/2014/main" pred="{E05F38EF-295B-4460-82CC-3C57C1B25CBA}"/>
            </a:ext>
          </a:extLst>
        </xdr:cNvPr>
        <xdr:cNvSpPr/>
      </xdr:nvSpPr>
      <xdr:spPr>
        <a:xfrm>
          <a:off x="0" y="981075"/>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6</xdr:col>
      <xdr:colOff>1102809</xdr:colOff>
      <xdr:row>53</xdr:row>
      <xdr:rowOff>154983</xdr:rowOff>
    </xdr:to>
    <xdr:sp macro="" textlink="">
      <xdr:nvSpPr>
        <xdr:cNvPr id="2" name="CustomShape 1" hidden="1">
          <a:extLst>
            <a:ext uri="{FF2B5EF4-FFF2-40B4-BE49-F238E27FC236}">
              <a16:creationId xmlns:a16="http://schemas.microsoft.com/office/drawing/2014/main" id="{401C5557-BBB0-482B-A4D5-98C356130C2F}"/>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 name="CustomShape 1" hidden="1">
          <a:extLst>
            <a:ext uri="{FF2B5EF4-FFF2-40B4-BE49-F238E27FC236}">
              <a16:creationId xmlns:a16="http://schemas.microsoft.com/office/drawing/2014/main" id="{D1E5B37F-20AC-45CD-8CCC-921EC407145A}"/>
            </a:ext>
            <a:ext uri="{147F2762-F138-4A5C-976F-8EAC2B608ADB}">
              <a16:predDERef xmlns:a16="http://schemas.microsoft.com/office/drawing/2014/main" pred="{401C5557-BBB0-482B-A4D5-98C356130C2F}"/>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 name="CustomShape 1" hidden="1">
          <a:extLst>
            <a:ext uri="{FF2B5EF4-FFF2-40B4-BE49-F238E27FC236}">
              <a16:creationId xmlns:a16="http://schemas.microsoft.com/office/drawing/2014/main" id="{6404FE50-9321-441A-8100-066695099286}"/>
            </a:ext>
            <a:ext uri="{147F2762-F138-4A5C-976F-8EAC2B608ADB}">
              <a16:predDERef xmlns:a16="http://schemas.microsoft.com/office/drawing/2014/main" pred="{D1E5B37F-20AC-45CD-8CCC-921EC407145A}"/>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 name="CustomShape 1" hidden="1">
          <a:extLst>
            <a:ext uri="{FF2B5EF4-FFF2-40B4-BE49-F238E27FC236}">
              <a16:creationId xmlns:a16="http://schemas.microsoft.com/office/drawing/2014/main" id="{BE0022E1-6250-4094-944F-B3159E5743AA}"/>
            </a:ext>
            <a:ext uri="{147F2762-F138-4A5C-976F-8EAC2B608ADB}">
              <a16:predDERef xmlns:a16="http://schemas.microsoft.com/office/drawing/2014/main" pred="{6404FE50-9321-441A-8100-066695099286}"/>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6" name="CustomShape 1" hidden="1">
          <a:extLst>
            <a:ext uri="{FF2B5EF4-FFF2-40B4-BE49-F238E27FC236}">
              <a16:creationId xmlns:a16="http://schemas.microsoft.com/office/drawing/2014/main" id="{028CA723-B013-46BD-897D-0540381AF4E9}"/>
            </a:ext>
            <a:ext uri="{147F2762-F138-4A5C-976F-8EAC2B608ADB}">
              <a16:predDERef xmlns:a16="http://schemas.microsoft.com/office/drawing/2014/main" pred="{BE0022E1-6250-4094-944F-B3159E5743AA}"/>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7" name="CustomShape 1" hidden="1">
          <a:extLst>
            <a:ext uri="{FF2B5EF4-FFF2-40B4-BE49-F238E27FC236}">
              <a16:creationId xmlns:a16="http://schemas.microsoft.com/office/drawing/2014/main" id="{49D9D1B6-6153-4B78-B765-17C9DE74F77E}"/>
            </a:ext>
            <a:ext uri="{147F2762-F138-4A5C-976F-8EAC2B608ADB}">
              <a16:predDERef xmlns:a16="http://schemas.microsoft.com/office/drawing/2014/main" pred="{028CA723-B013-46BD-897D-0540381AF4E9}"/>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8" name="CustomShape 1" hidden="1">
          <a:extLst>
            <a:ext uri="{FF2B5EF4-FFF2-40B4-BE49-F238E27FC236}">
              <a16:creationId xmlns:a16="http://schemas.microsoft.com/office/drawing/2014/main" id="{75BF6330-3D86-4B2C-BA93-B151DB421B86}"/>
            </a:ext>
            <a:ext uri="{147F2762-F138-4A5C-976F-8EAC2B608ADB}">
              <a16:predDERef xmlns:a16="http://schemas.microsoft.com/office/drawing/2014/main" pred="{49D9D1B6-6153-4B78-B765-17C9DE74F77E}"/>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9" name="CustomShape 1" hidden="1">
          <a:extLst>
            <a:ext uri="{FF2B5EF4-FFF2-40B4-BE49-F238E27FC236}">
              <a16:creationId xmlns:a16="http://schemas.microsoft.com/office/drawing/2014/main" id="{D94A48C6-3FA2-4B74-997D-1D51C361EA84}"/>
            </a:ext>
            <a:ext uri="{147F2762-F138-4A5C-976F-8EAC2B608ADB}">
              <a16:predDERef xmlns:a16="http://schemas.microsoft.com/office/drawing/2014/main" pred="{75BF6330-3D86-4B2C-BA93-B151DB421B86}"/>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0" name="CustomShape 1" hidden="1">
          <a:extLst>
            <a:ext uri="{FF2B5EF4-FFF2-40B4-BE49-F238E27FC236}">
              <a16:creationId xmlns:a16="http://schemas.microsoft.com/office/drawing/2014/main" id="{E9DC3AF9-A149-4C35-8B46-7B49483214F8}"/>
            </a:ext>
            <a:ext uri="{147F2762-F138-4A5C-976F-8EAC2B608ADB}">
              <a16:predDERef xmlns:a16="http://schemas.microsoft.com/office/drawing/2014/main" pred="{D94A48C6-3FA2-4B74-997D-1D51C361EA84}"/>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1" name="CustomShape 1" hidden="1">
          <a:extLst>
            <a:ext uri="{FF2B5EF4-FFF2-40B4-BE49-F238E27FC236}">
              <a16:creationId xmlns:a16="http://schemas.microsoft.com/office/drawing/2014/main" id="{941C93DF-D61B-4495-BA0F-18F7A639F324}"/>
            </a:ext>
            <a:ext uri="{147F2762-F138-4A5C-976F-8EAC2B608ADB}">
              <a16:predDERef xmlns:a16="http://schemas.microsoft.com/office/drawing/2014/main" pred="{E9DC3AF9-A149-4C35-8B46-7B49483214F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2" name="CustomShape 1" hidden="1">
          <a:extLst>
            <a:ext uri="{FF2B5EF4-FFF2-40B4-BE49-F238E27FC236}">
              <a16:creationId xmlns:a16="http://schemas.microsoft.com/office/drawing/2014/main" id="{838C7816-A540-47FA-A263-CAC4A7A19DDA}"/>
            </a:ext>
            <a:ext uri="{147F2762-F138-4A5C-976F-8EAC2B608ADB}">
              <a16:predDERef xmlns:a16="http://schemas.microsoft.com/office/drawing/2014/main" pred="{941C93DF-D61B-4495-BA0F-18F7A639F324}"/>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3" name="CustomShape 1" hidden="1">
          <a:extLst>
            <a:ext uri="{FF2B5EF4-FFF2-40B4-BE49-F238E27FC236}">
              <a16:creationId xmlns:a16="http://schemas.microsoft.com/office/drawing/2014/main" id="{C8506154-690B-4131-B391-09331D24AC78}"/>
            </a:ext>
            <a:ext uri="{147F2762-F138-4A5C-976F-8EAC2B608ADB}">
              <a16:predDERef xmlns:a16="http://schemas.microsoft.com/office/drawing/2014/main" pred="{838C7816-A540-47FA-A263-CAC4A7A19DDA}"/>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4" name="CustomShape 1" hidden="1">
          <a:extLst>
            <a:ext uri="{FF2B5EF4-FFF2-40B4-BE49-F238E27FC236}">
              <a16:creationId xmlns:a16="http://schemas.microsoft.com/office/drawing/2014/main" id="{9923F399-2462-49FA-9BD8-C7B63D65410F}"/>
            </a:ext>
            <a:ext uri="{147F2762-F138-4A5C-976F-8EAC2B608ADB}">
              <a16:predDERef xmlns:a16="http://schemas.microsoft.com/office/drawing/2014/main" pred="{C8506154-690B-4131-B391-09331D24AC7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5" name="CustomShape 1" hidden="1">
          <a:extLst>
            <a:ext uri="{FF2B5EF4-FFF2-40B4-BE49-F238E27FC236}">
              <a16:creationId xmlns:a16="http://schemas.microsoft.com/office/drawing/2014/main" id="{C2B9CB98-8EFB-4A12-90B9-43E14CC17A67}"/>
            </a:ext>
            <a:ext uri="{147F2762-F138-4A5C-976F-8EAC2B608ADB}">
              <a16:predDERef xmlns:a16="http://schemas.microsoft.com/office/drawing/2014/main" pred="{9923F399-2462-49FA-9BD8-C7B63D65410F}"/>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6" name="CustomShape 1" hidden="1">
          <a:extLst>
            <a:ext uri="{FF2B5EF4-FFF2-40B4-BE49-F238E27FC236}">
              <a16:creationId xmlns:a16="http://schemas.microsoft.com/office/drawing/2014/main" id="{EA325CB2-1C50-4E05-8F50-4160C79F0977}"/>
            </a:ext>
            <a:ext uri="{147F2762-F138-4A5C-976F-8EAC2B608ADB}">
              <a16:predDERef xmlns:a16="http://schemas.microsoft.com/office/drawing/2014/main" pred="{C2B9CB98-8EFB-4A12-90B9-43E14CC17A67}"/>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7" name="CustomShape 1" hidden="1">
          <a:extLst>
            <a:ext uri="{FF2B5EF4-FFF2-40B4-BE49-F238E27FC236}">
              <a16:creationId xmlns:a16="http://schemas.microsoft.com/office/drawing/2014/main" id="{5B262426-4229-4E83-A384-A9B68D46760F}"/>
            </a:ext>
            <a:ext uri="{147F2762-F138-4A5C-976F-8EAC2B608ADB}">
              <a16:predDERef xmlns:a16="http://schemas.microsoft.com/office/drawing/2014/main" pred="{EA325CB2-1C50-4E05-8F50-4160C79F0977}"/>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8" name="CustomShape 1" hidden="1">
          <a:extLst>
            <a:ext uri="{FF2B5EF4-FFF2-40B4-BE49-F238E27FC236}">
              <a16:creationId xmlns:a16="http://schemas.microsoft.com/office/drawing/2014/main" id="{C88F3B2C-6E4C-4802-B678-09C324F2C820}"/>
            </a:ext>
            <a:ext uri="{147F2762-F138-4A5C-976F-8EAC2B608ADB}">
              <a16:predDERef xmlns:a16="http://schemas.microsoft.com/office/drawing/2014/main" pred="{5B262426-4229-4E83-A384-A9B68D46760F}"/>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9" name="CustomShape 1" hidden="1">
          <a:extLst>
            <a:ext uri="{FF2B5EF4-FFF2-40B4-BE49-F238E27FC236}">
              <a16:creationId xmlns:a16="http://schemas.microsoft.com/office/drawing/2014/main" id="{9DFD64F4-C0A0-49D3-84DC-7F5D6B3BD72C}"/>
            </a:ext>
            <a:ext uri="{147F2762-F138-4A5C-976F-8EAC2B608ADB}">
              <a16:predDERef xmlns:a16="http://schemas.microsoft.com/office/drawing/2014/main" pred="{C88F3B2C-6E4C-4802-B678-09C324F2C820}"/>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0" name="CustomShape 1" hidden="1">
          <a:extLst>
            <a:ext uri="{FF2B5EF4-FFF2-40B4-BE49-F238E27FC236}">
              <a16:creationId xmlns:a16="http://schemas.microsoft.com/office/drawing/2014/main" id="{51C335F0-AC03-4188-AC6D-5B09EBFBD67F}"/>
            </a:ext>
            <a:ext uri="{147F2762-F138-4A5C-976F-8EAC2B608ADB}">
              <a16:predDERef xmlns:a16="http://schemas.microsoft.com/office/drawing/2014/main" pred="{9DFD64F4-C0A0-49D3-84DC-7F5D6B3BD72C}"/>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1" name="CustomShape 1" hidden="1">
          <a:extLst>
            <a:ext uri="{FF2B5EF4-FFF2-40B4-BE49-F238E27FC236}">
              <a16:creationId xmlns:a16="http://schemas.microsoft.com/office/drawing/2014/main" id="{055F6DCA-B640-4BB4-804C-BF1195EEE3A9}"/>
            </a:ext>
            <a:ext uri="{147F2762-F138-4A5C-976F-8EAC2B608ADB}">
              <a16:predDERef xmlns:a16="http://schemas.microsoft.com/office/drawing/2014/main" pred="{51C335F0-AC03-4188-AC6D-5B09EBFBD67F}"/>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2" name="CustomShape 1" hidden="1">
          <a:extLst>
            <a:ext uri="{FF2B5EF4-FFF2-40B4-BE49-F238E27FC236}">
              <a16:creationId xmlns:a16="http://schemas.microsoft.com/office/drawing/2014/main" id="{D7EEC175-1D2C-490B-83AE-0537A02CF0F4}"/>
            </a:ext>
            <a:ext uri="{147F2762-F138-4A5C-976F-8EAC2B608ADB}">
              <a16:predDERef xmlns:a16="http://schemas.microsoft.com/office/drawing/2014/main" pred="{055F6DCA-B640-4BB4-804C-BF1195EEE3A9}"/>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3" name="CustomShape 1" hidden="1">
          <a:extLst>
            <a:ext uri="{FF2B5EF4-FFF2-40B4-BE49-F238E27FC236}">
              <a16:creationId xmlns:a16="http://schemas.microsoft.com/office/drawing/2014/main" id="{4D4E2ABE-DB49-48F6-A00B-F88E86637D9B}"/>
            </a:ext>
            <a:ext uri="{147F2762-F138-4A5C-976F-8EAC2B608ADB}">
              <a16:predDERef xmlns:a16="http://schemas.microsoft.com/office/drawing/2014/main" pred="{D7EEC175-1D2C-490B-83AE-0537A02CF0F4}"/>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4" name="CustomShape 1" hidden="1">
          <a:extLst>
            <a:ext uri="{FF2B5EF4-FFF2-40B4-BE49-F238E27FC236}">
              <a16:creationId xmlns:a16="http://schemas.microsoft.com/office/drawing/2014/main" id="{D51CDB11-C898-4911-989A-A95117F81962}"/>
            </a:ext>
            <a:ext uri="{147F2762-F138-4A5C-976F-8EAC2B608ADB}">
              <a16:predDERef xmlns:a16="http://schemas.microsoft.com/office/drawing/2014/main" pred="{4D4E2ABE-DB49-48F6-A00B-F88E86637D9B}"/>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5" name="CustomShape 1" hidden="1">
          <a:extLst>
            <a:ext uri="{FF2B5EF4-FFF2-40B4-BE49-F238E27FC236}">
              <a16:creationId xmlns:a16="http://schemas.microsoft.com/office/drawing/2014/main" id="{679AE1FA-A80E-4C6D-A9F9-823ACCE82513}"/>
            </a:ext>
            <a:ext uri="{147F2762-F138-4A5C-976F-8EAC2B608ADB}">
              <a16:predDERef xmlns:a16="http://schemas.microsoft.com/office/drawing/2014/main" pred="{D51CDB11-C898-4911-989A-A95117F81962}"/>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6" name="CustomShape 1" hidden="1">
          <a:extLst>
            <a:ext uri="{FF2B5EF4-FFF2-40B4-BE49-F238E27FC236}">
              <a16:creationId xmlns:a16="http://schemas.microsoft.com/office/drawing/2014/main" id="{25766D76-F617-4201-BADA-E29A4843D4A8}"/>
            </a:ext>
            <a:ext uri="{147F2762-F138-4A5C-976F-8EAC2B608ADB}">
              <a16:predDERef xmlns:a16="http://schemas.microsoft.com/office/drawing/2014/main" pred="{679AE1FA-A80E-4C6D-A9F9-823ACCE82513}"/>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7" name="CustomShape 1" hidden="1">
          <a:extLst>
            <a:ext uri="{FF2B5EF4-FFF2-40B4-BE49-F238E27FC236}">
              <a16:creationId xmlns:a16="http://schemas.microsoft.com/office/drawing/2014/main" id="{58FCB2CB-9181-457C-A7F6-252642F6A128}"/>
            </a:ext>
            <a:ext uri="{147F2762-F138-4A5C-976F-8EAC2B608ADB}">
              <a16:predDERef xmlns:a16="http://schemas.microsoft.com/office/drawing/2014/main" pred="{25766D76-F617-4201-BADA-E29A4843D4A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8" name="CustomShape 1" hidden="1">
          <a:extLst>
            <a:ext uri="{FF2B5EF4-FFF2-40B4-BE49-F238E27FC236}">
              <a16:creationId xmlns:a16="http://schemas.microsoft.com/office/drawing/2014/main" id="{462EEB08-1B5D-4C4A-A632-8E18DF4D9B78}"/>
            </a:ext>
            <a:ext uri="{147F2762-F138-4A5C-976F-8EAC2B608ADB}">
              <a16:predDERef xmlns:a16="http://schemas.microsoft.com/office/drawing/2014/main" pred="{58FCB2CB-9181-457C-A7F6-252642F6A12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9" name="CustomShape 1" hidden="1">
          <a:extLst>
            <a:ext uri="{FF2B5EF4-FFF2-40B4-BE49-F238E27FC236}">
              <a16:creationId xmlns:a16="http://schemas.microsoft.com/office/drawing/2014/main" id="{BFCFA52E-C26A-4B98-B285-2C92418A54A8}"/>
            </a:ext>
            <a:ext uri="{147F2762-F138-4A5C-976F-8EAC2B608ADB}">
              <a16:predDERef xmlns:a16="http://schemas.microsoft.com/office/drawing/2014/main" pred="{462EEB08-1B5D-4C4A-A632-8E18DF4D9B7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0" name="CustomShape 1" hidden="1">
          <a:extLst>
            <a:ext uri="{FF2B5EF4-FFF2-40B4-BE49-F238E27FC236}">
              <a16:creationId xmlns:a16="http://schemas.microsoft.com/office/drawing/2014/main" id="{82388B62-C590-4D93-B0E2-86CFB3577679}"/>
            </a:ext>
            <a:ext uri="{147F2762-F138-4A5C-976F-8EAC2B608ADB}">
              <a16:predDERef xmlns:a16="http://schemas.microsoft.com/office/drawing/2014/main" pred="{BFCFA52E-C26A-4B98-B285-2C92418A54A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1" name="CustomShape 1" hidden="1">
          <a:extLst>
            <a:ext uri="{FF2B5EF4-FFF2-40B4-BE49-F238E27FC236}">
              <a16:creationId xmlns:a16="http://schemas.microsoft.com/office/drawing/2014/main" id="{2F718264-7CC9-4026-8BC5-AB3350DCBE39}"/>
            </a:ext>
            <a:ext uri="{147F2762-F138-4A5C-976F-8EAC2B608ADB}">
              <a16:predDERef xmlns:a16="http://schemas.microsoft.com/office/drawing/2014/main" pred="{82388B62-C590-4D93-B0E2-86CFB3577679}"/>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2" name="CustomShape 1" hidden="1">
          <a:extLst>
            <a:ext uri="{FF2B5EF4-FFF2-40B4-BE49-F238E27FC236}">
              <a16:creationId xmlns:a16="http://schemas.microsoft.com/office/drawing/2014/main" id="{DCEDE964-CDA4-41C6-BB01-C60C81887948}"/>
            </a:ext>
            <a:ext uri="{147F2762-F138-4A5C-976F-8EAC2B608ADB}">
              <a16:predDERef xmlns:a16="http://schemas.microsoft.com/office/drawing/2014/main" pred="{2F718264-7CC9-4026-8BC5-AB3350DCBE39}"/>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3" name="CustomShape 1" hidden="1">
          <a:extLst>
            <a:ext uri="{FF2B5EF4-FFF2-40B4-BE49-F238E27FC236}">
              <a16:creationId xmlns:a16="http://schemas.microsoft.com/office/drawing/2014/main" id="{E73B983D-4973-4838-8B97-B37ECC287DFB}"/>
            </a:ext>
            <a:ext uri="{147F2762-F138-4A5C-976F-8EAC2B608ADB}">
              <a16:predDERef xmlns:a16="http://schemas.microsoft.com/office/drawing/2014/main" pred="{DCEDE964-CDA4-41C6-BB01-C60C8188794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4" name="CustomShape 1" hidden="1">
          <a:extLst>
            <a:ext uri="{FF2B5EF4-FFF2-40B4-BE49-F238E27FC236}">
              <a16:creationId xmlns:a16="http://schemas.microsoft.com/office/drawing/2014/main" id="{5FC4F924-748F-44A7-AC69-E989E2BB3159}"/>
            </a:ext>
            <a:ext uri="{147F2762-F138-4A5C-976F-8EAC2B608ADB}">
              <a16:predDERef xmlns:a16="http://schemas.microsoft.com/office/drawing/2014/main" pred="{E73B983D-4973-4838-8B97-B37ECC287DFB}"/>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5" name="CustomShape 1" hidden="1">
          <a:extLst>
            <a:ext uri="{FF2B5EF4-FFF2-40B4-BE49-F238E27FC236}">
              <a16:creationId xmlns:a16="http://schemas.microsoft.com/office/drawing/2014/main" id="{4A533CA0-EE08-4F1B-94EC-81282E959317}"/>
            </a:ext>
            <a:ext uri="{147F2762-F138-4A5C-976F-8EAC2B608ADB}">
              <a16:predDERef xmlns:a16="http://schemas.microsoft.com/office/drawing/2014/main" pred="{5FC4F924-748F-44A7-AC69-E989E2BB3159}"/>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6" name="CustomShape 1" hidden="1">
          <a:extLst>
            <a:ext uri="{FF2B5EF4-FFF2-40B4-BE49-F238E27FC236}">
              <a16:creationId xmlns:a16="http://schemas.microsoft.com/office/drawing/2014/main" id="{232F3497-A1F5-4679-8A24-8F2A84087F1D}"/>
            </a:ext>
            <a:ext uri="{147F2762-F138-4A5C-976F-8EAC2B608ADB}">
              <a16:predDERef xmlns:a16="http://schemas.microsoft.com/office/drawing/2014/main" pred="{4A533CA0-EE08-4F1B-94EC-81282E959317}"/>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7" name="CustomShape 1" hidden="1">
          <a:extLst>
            <a:ext uri="{FF2B5EF4-FFF2-40B4-BE49-F238E27FC236}">
              <a16:creationId xmlns:a16="http://schemas.microsoft.com/office/drawing/2014/main" id="{C719771A-AF5D-4F07-843D-8150CC024096}"/>
            </a:ext>
            <a:ext uri="{147F2762-F138-4A5C-976F-8EAC2B608ADB}">
              <a16:predDERef xmlns:a16="http://schemas.microsoft.com/office/drawing/2014/main" pred="{232F3497-A1F5-4679-8A24-8F2A84087F1D}"/>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8" name="CustomShape 1" hidden="1">
          <a:extLst>
            <a:ext uri="{FF2B5EF4-FFF2-40B4-BE49-F238E27FC236}">
              <a16:creationId xmlns:a16="http://schemas.microsoft.com/office/drawing/2014/main" id="{65306DBC-6F5D-4C36-AA80-D184902D30E1}"/>
            </a:ext>
            <a:ext uri="{147F2762-F138-4A5C-976F-8EAC2B608ADB}">
              <a16:predDERef xmlns:a16="http://schemas.microsoft.com/office/drawing/2014/main" pred="{C719771A-AF5D-4F07-843D-8150CC024096}"/>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9" name="CustomShape 1" hidden="1">
          <a:extLst>
            <a:ext uri="{FF2B5EF4-FFF2-40B4-BE49-F238E27FC236}">
              <a16:creationId xmlns:a16="http://schemas.microsoft.com/office/drawing/2014/main" id="{BAEB822F-5FB5-402B-9603-EDD58A1F1B4C}"/>
            </a:ext>
            <a:ext uri="{147F2762-F138-4A5C-976F-8EAC2B608ADB}">
              <a16:predDERef xmlns:a16="http://schemas.microsoft.com/office/drawing/2014/main" pred="{65306DBC-6F5D-4C36-AA80-D184902D30E1}"/>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0" name="CustomShape 1" hidden="1">
          <a:extLst>
            <a:ext uri="{FF2B5EF4-FFF2-40B4-BE49-F238E27FC236}">
              <a16:creationId xmlns:a16="http://schemas.microsoft.com/office/drawing/2014/main" id="{E3D4C87E-3837-4D05-A603-25F0BD1635F9}"/>
            </a:ext>
            <a:ext uri="{147F2762-F138-4A5C-976F-8EAC2B608ADB}">
              <a16:predDERef xmlns:a16="http://schemas.microsoft.com/office/drawing/2014/main" pred="{BAEB822F-5FB5-402B-9603-EDD58A1F1B4C}"/>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1" name="CustomShape 1" hidden="1">
          <a:extLst>
            <a:ext uri="{FF2B5EF4-FFF2-40B4-BE49-F238E27FC236}">
              <a16:creationId xmlns:a16="http://schemas.microsoft.com/office/drawing/2014/main" id="{01918A7C-E5D5-40B1-A0DB-B503E7EAB968}"/>
            </a:ext>
            <a:ext uri="{147F2762-F138-4A5C-976F-8EAC2B608ADB}">
              <a16:predDERef xmlns:a16="http://schemas.microsoft.com/office/drawing/2014/main" pred="{E3D4C87E-3837-4D05-A603-25F0BD1635F9}"/>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2" name="CustomShape 1" hidden="1">
          <a:extLst>
            <a:ext uri="{FF2B5EF4-FFF2-40B4-BE49-F238E27FC236}">
              <a16:creationId xmlns:a16="http://schemas.microsoft.com/office/drawing/2014/main" id="{58381E81-3E39-432F-B74D-69F2A1DEA2A1}"/>
            </a:ext>
            <a:ext uri="{147F2762-F138-4A5C-976F-8EAC2B608ADB}">
              <a16:predDERef xmlns:a16="http://schemas.microsoft.com/office/drawing/2014/main" pred="{01918A7C-E5D5-40B1-A0DB-B503E7EAB96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3" name="CustomShape 1" hidden="1">
          <a:extLst>
            <a:ext uri="{FF2B5EF4-FFF2-40B4-BE49-F238E27FC236}">
              <a16:creationId xmlns:a16="http://schemas.microsoft.com/office/drawing/2014/main" id="{8BDCBD16-1FCD-43A5-9684-C86AAE6632BC}"/>
            </a:ext>
            <a:ext uri="{147F2762-F138-4A5C-976F-8EAC2B608ADB}">
              <a16:predDERef xmlns:a16="http://schemas.microsoft.com/office/drawing/2014/main" pred="{58381E81-3E39-432F-B74D-69F2A1DEA2A1}"/>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4" name="CustomShape 1" hidden="1">
          <a:extLst>
            <a:ext uri="{FF2B5EF4-FFF2-40B4-BE49-F238E27FC236}">
              <a16:creationId xmlns:a16="http://schemas.microsoft.com/office/drawing/2014/main" id="{34180F11-7AFE-447F-ADF6-6BF0BD97C54E}"/>
            </a:ext>
            <a:ext uri="{147F2762-F138-4A5C-976F-8EAC2B608ADB}">
              <a16:predDERef xmlns:a16="http://schemas.microsoft.com/office/drawing/2014/main" pred="{8BDCBD16-1FCD-43A5-9684-C86AAE6632BC}"/>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5" name="CustomShape 1" hidden="1">
          <a:extLst>
            <a:ext uri="{FF2B5EF4-FFF2-40B4-BE49-F238E27FC236}">
              <a16:creationId xmlns:a16="http://schemas.microsoft.com/office/drawing/2014/main" id="{6A30C795-6644-4ADB-A761-5E661332872D}"/>
            </a:ext>
            <a:ext uri="{147F2762-F138-4A5C-976F-8EAC2B608ADB}">
              <a16:predDERef xmlns:a16="http://schemas.microsoft.com/office/drawing/2014/main" pred="{34180F11-7AFE-447F-ADF6-6BF0BD97C54E}"/>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6" name="CustomShape 1" hidden="1">
          <a:extLst>
            <a:ext uri="{FF2B5EF4-FFF2-40B4-BE49-F238E27FC236}">
              <a16:creationId xmlns:a16="http://schemas.microsoft.com/office/drawing/2014/main" id="{19B70423-85A1-4473-83BE-6E77AD8D67FE}"/>
            </a:ext>
            <a:ext uri="{147F2762-F138-4A5C-976F-8EAC2B608ADB}">
              <a16:predDERef xmlns:a16="http://schemas.microsoft.com/office/drawing/2014/main" pred="{6A30C795-6644-4ADB-A761-5E661332872D}"/>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7" name="CustomShape 1" hidden="1">
          <a:extLst>
            <a:ext uri="{FF2B5EF4-FFF2-40B4-BE49-F238E27FC236}">
              <a16:creationId xmlns:a16="http://schemas.microsoft.com/office/drawing/2014/main" id="{54984F32-27B9-4A7B-B4E2-AE1A97D03290}"/>
            </a:ext>
            <a:ext uri="{147F2762-F138-4A5C-976F-8EAC2B608ADB}">
              <a16:predDERef xmlns:a16="http://schemas.microsoft.com/office/drawing/2014/main" pred="{19B70423-85A1-4473-83BE-6E77AD8D67FE}"/>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8" name="CustomShape 1" hidden="1">
          <a:extLst>
            <a:ext uri="{FF2B5EF4-FFF2-40B4-BE49-F238E27FC236}">
              <a16:creationId xmlns:a16="http://schemas.microsoft.com/office/drawing/2014/main" id="{CA7D90BE-C5EB-4F46-9F4C-703D7874B808}"/>
            </a:ext>
            <a:ext uri="{147F2762-F138-4A5C-976F-8EAC2B608ADB}">
              <a16:predDERef xmlns:a16="http://schemas.microsoft.com/office/drawing/2014/main" pred="{54984F32-27B9-4A7B-B4E2-AE1A97D03290}"/>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9" name="CustomShape 1" hidden="1">
          <a:extLst>
            <a:ext uri="{FF2B5EF4-FFF2-40B4-BE49-F238E27FC236}">
              <a16:creationId xmlns:a16="http://schemas.microsoft.com/office/drawing/2014/main" id="{DAD53FF0-16D1-4807-822A-FBCC102B184D}"/>
            </a:ext>
            <a:ext uri="{147F2762-F138-4A5C-976F-8EAC2B608ADB}">
              <a16:predDERef xmlns:a16="http://schemas.microsoft.com/office/drawing/2014/main" pred="{CA7D90BE-C5EB-4F46-9F4C-703D7874B808}"/>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0" name="CustomShape 1" hidden="1">
          <a:extLst>
            <a:ext uri="{FF2B5EF4-FFF2-40B4-BE49-F238E27FC236}">
              <a16:creationId xmlns:a16="http://schemas.microsoft.com/office/drawing/2014/main" id="{8E8D32EE-1B87-4298-B4ED-F8EDF7E402B6}"/>
            </a:ext>
            <a:ext uri="{147F2762-F138-4A5C-976F-8EAC2B608ADB}">
              <a16:predDERef xmlns:a16="http://schemas.microsoft.com/office/drawing/2014/main" pred="{DAD53FF0-16D1-4807-822A-FBCC102B184D}"/>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1" name="CustomShape 1" hidden="1">
          <a:extLst>
            <a:ext uri="{FF2B5EF4-FFF2-40B4-BE49-F238E27FC236}">
              <a16:creationId xmlns:a16="http://schemas.microsoft.com/office/drawing/2014/main" id="{58B17CF0-DEC8-43C0-A306-9CE44B0FA772}"/>
            </a:ext>
            <a:ext uri="{147F2762-F138-4A5C-976F-8EAC2B608ADB}">
              <a16:predDERef xmlns:a16="http://schemas.microsoft.com/office/drawing/2014/main" pred="{8E8D32EE-1B87-4298-B4ED-F8EDF7E402B6}"/>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2" name="CustomShape 1" hidden="1">
          <a:extLst>
            <a:ext uri="{FF2B5EF4-FFF2-40B4-BE49-F238E27FC236}">
              <a16:creationId xmlns:a16="http://schemas.microsoft.com/office/drawing/2014/main" id="{D7728EDC-A560-42AB-9A4C-31E4E5BA2476}"/>
            </a:ext>
            <a:ext uri="{147F2762-F138-4A5C-976F-8EAC2B608ADB}">
              <a16:predDERef xmlns:a16="http://schemas.microsoft.com/office/drawing/2014/main" pred="{58B17CF0-DEC8-43C0-A306-9CE44B0FA772}"/>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3" name="CustomShape 1" hidden="1">
          <a:extLst>
            <a:ext uri="{FF2B5EF4-FFF2-40B4-BE49-F238E27FC236}">
              <a16:creationId xmlns:a16="http://schemas.microsoft.com/office/drawing/2014/main" id="{45D498B4-F735-4BB3-9635-DCB7EA20EBC7}"/>
            </a:ext>
            <a:ext uri="{147F2762-F138-4A5C-976F-8EAC2B608ADB}">
              <a16:predDERef xmlns:a16="http://schemas.microsoft.com/office/drawing/2014/main" pred="{D7728EDC-A560-42AB-9A4C-31E4E5BA2476}"/>
            </a:ext>
          </a:extLst>
        </xdr:cNvPr>
        <xdr:cNvSpPr/>
      </xdr:nvSpPr>
      <xdr:spPr>
        <a:xfrm>
          <a:off x="0" y="971550"/>
          <a:ext cx="9522909" cy="9337083"/>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6</xdr:col>
      <xdr:colOff>1102809</xdr:colOff>
      <xdr:row>53</xdr:row>
      <xdr:rowOff>154983</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 name="CustomShape 1" hidden="1">
          <a:extLst>
            <a:ext uri="{FF2B5EF4-FFF2-40B4-BE49-F238E27FC236}">
              <a16:creationId xmlns:a16="http://schemas.microsoft.com/office/drawing/2014/main" id="{00000000-0008-0000-0100-000003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 name="CustomShape 1" hidden="1">
          <a:extLst>
            <a:ext uri="{FF2B5EF4-FFF2-40B4-BE49-F238E27FC236}">
              <a16:creationId xmlns:a16="http://schemas.microsoft.com/office/drawing/2014/main" id="{00000000-0008-0000-0100-000004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 name="CustomShape 1" hidden="1">
          <a:extLst>
            <a:ext uri="{FF2B5EF4-FFF2-40B4-BE49-F238E27FC236}">
              <a16:creationId xmlns:a16="http://schemas.microsoft.com/office/drawing/2014/main" id="{00000000-0008-0000-0100-000005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6" name="CustomShape 1" hidden="1">
          <a:extLst>
            <a:ext uri="{FF2B5EF4-FFF2-40B4-BE49-F238E27FC236}">
              <a16:creationId xmlns:a16="http://schemas.microsoft.com/office/drawing/2014/main" id="{00000000-0008-0000-0100-000006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7" name="CustomShape 1" hidden="1">
          <a:extLst>
            <a:ext uri="{FF2B5EF4-FFF2-40B4-BE49-F238E27FC236}">
              <a16:creationId xmlns:a16="http://schemas.microsoft.com/office/drawing/2014/main" id="{00000000-0008-0000-0100-000007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8" name="CustomShape 1" hidden="1">
          <a:extLst>
            <a:ext uri="{FF2B5EF4-FFF2-40B4-BE49-F238E27FC236}">
              <a16:creationId xmlns:a16="http://schemas.microsoft.com/office/drawing/2014/main" id="{00000000-0008-0000-0100-000008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9" name="CustomShape 1" hidden="1">
          <a:extLst>
            <a:ext uri="{FF2B5EF4-FFF2-40B4-BE49-F238E27FC236}">
              <a16:creationId xmlns:a16="http://schemas.microsoft.com/office/drawing/2014/main" id="{00000000-0008-0000-0100-000009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0" name="CustomShape 1" hidden="1">
          <a:extLst>
            <a:ext uri="{FF2B5EF4-FFF2-40B4-BE49-F238E27FC236}">
              <a16:creationId xmlns:a16="http://schemas.microsoft.com/office/drawing/2014/main" id="{00000000-0008-0000-0100-00000A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1" name="CustomShape 1" hidden="1">
          <a:extLst>
            <a:ext uri="{FF2B5EF4-FFF2-40B4-BE49-F238E27FC236}">
              <a16:creationId xmlns:a16="http://schemas.microsoft.com/office/drawing/2014/main" id="{00000000-0008-0000-0100-00000B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2" name="CustomShape 1" hidden="1">
          <a:extLst>
            <a:ext uri="{FF2B5EF4-FFF2-40B4-BE49-F238E27FC236}">
              <a16:creationId xmlns:a16="http://schemas.microsoft.com/office/drawing/2014/main" id="{00000000-0008-0000-0100-00000C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3" name="CustomShape 1" hidden="1">
          <a:extLst>
            <a:ext uri="{FF2B5EF4-FFF2-40B4-BE49-F238E27FC236}">
              <a16:creationId xmlns:a16="http://schemas.microsoft.com/office/drawing/2014/main" id="{00000000-0008-0000-0100-00000D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4" name="CustomShape 1" hidden="1">
          <a:extLst>
            <a:ext uri="{FF2B5EF4-FFF2-40B4-BE49-F238E27FC236}">
              <a16:creationId xmlns:a16="http://schemas.microsoft.com/office/drawing/2014/main" id="{00000000-0008-0000-0100-00000E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5" name="CustomShape 1" hidden="1">
          <a:extLst>
            <a:ext uri="{FF2B5EF4-FFF2-40B4-BE49-F238E27FC236}">
              <a16:creationId xmlns:a16="http://schemas.microsoft.com/office/drawing/2014/main" id="{00000000-0008-0000-0100-00000F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6" name="CustomShape 1" hidden="1">
          <a:extLst>
            <a:ext uri="{FF2B5EF4-FFF2-40B4-BE49-F238E27FC236}">
              <a16:creationId xmlns:a16="http://schemas.microsoft.com/office/drawing/2014/main" id="{00000000-0008-0000-0100-000010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7" name="CustomShape 1" hidden="1">
          <a:extLst>
            <a:ext uri="{FF2B5EF4-FFF2-40B4-BE49-F238E27FC236}">
              <a16:creationId xmlns:a16="http://schemas.microsoft.com/office/drawing/2014/main" id="{00000000-0008-0000-0100-000011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8" name="CustomShape 1" hidden="1">
          <a:extLst>
            <a:ext uri="{FF2B5EF4-FFF2-40B4-BE49-F238E27FC236}">
              <a16:creationId xmlns:a16="http://schemas.microsoft.com/office/drawing/2014/main" id="{00000000-0008-0000-0100-000012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19" name="CustomShape 1" hidden="1">
          <a:extLst>
            <a:ext uri="{FF2B5EF4-FFF2-40B4-BE49-F238E27FC236}">
              <a16:creationId xmlns:a16="http://schemas.microsoft.com/office/drawing/2014/main" id="{00000000-0008-0000-0100-000013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0" name="CustomShape 1" hidden="1">
          <a:extLst>
            <a:ext uri="{FF2B5EF4-FFF2-40B4-BE49-F238E27FC236}">
              <a16:creationId xmlns:a16="http://schemas.microsoft.com/office/drawing/2014/main" id="{00000000-0008-0000-0100-000014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1" name="CustomShape 1" hidden="1">
          <a:extLst>
            <a:ext uri="{FF2B5EF4-FFF2-40B4-BE49-F238E27FC236}">
              <a16:creationId xmlns:a16="http://schemas.microsoft.com/office/drawing/2014/main" id="{00000000-0008-0000-0100-000015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2" name="CustomShape 1" hidden="1">
          <a:extLst>
            <a:ext uri="{FF2B5EF4-FFF2-40B4-BE49-F238E27FC236}">
              <a16:creationId xmlns:a16="http://schemas.microsoft.com/office/drawing/2014/main" id="{00000000-0008-0000-0100-000016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3" name="CustomShape 1" hidden="1">
          <a:extLst>
            <a:ext uri="{FF2B5EF4-FFF2-40B4-BE49-F238E27FC236}">
              <a16:creationId xmlns:a16="http://schemas.microsoft.com/office/drawing/2014/main" id="{00000000-0008-0000-0100-000017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4" name="CustomShape 1" hidden="1">
          <a:extLst>
            <a:ext uri="{FF2B5EF4-FFF2-40B4-BE49-F238E27FC236}">
              <a16:creationId xmlns:a16="http://schemas.microsoft.com/office/drawing/2014/main" id="{00000000-0008-0000-0100-000018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5" name="CustomShape 1" hidden="1">
          <a:extLst>
            <a:ext uri="{FF2B5EF4-FFF2-40B4-BE49-F238E27FC236}">
              <a16:creationId xmlns:a16="http://schemas.microsoft.com/office/drawing/2014/main" id="{00000000-0008-0000-0100-000019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6" name="CustomShape 1" hidden="1">
          <a:extLst>
            <a:ext uri="{FF2B5EF4-FFF2-40B4-BE49-F238E27FC236}">
              <a16:creationId xmlns:a16="http://schemas.microsoft.com/office/drawing/2014/main" id="{00000000-0008-0000-0100-00001A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7" name="CustomShape 1" hidden="1">
          <a:extLst>
            <a:ext uri="{FF2B5EF4-FFF2-40B4-BE49-F238E27FC236}">
              <a16:creationId xmlns:a16="http://schemas.microsoft.com/office/drawing/2014/main" id="{00000000-0008-0000-0100-00001B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8" name="CustomShape 1" hidden="1">
          <a:extLst>
            <a:ext uri="{FF2B5EF4-FFF2-40B4-BE49-F238E27FC236}">
              <a16:creationId xmlns:a16="http://schemas.microsoft.com/office/drawing/2014/main" id="{00000000-0008-0000-0100-00001C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29" name="CustomShape 1" hidden="1">
          <a:extLst>
            <a:ext uri="{FF2B5EF4-FFF2-40B4-BE49-F238E27FC236}">
              <a16:creationId xmlns:a16="http://schemas.microsoft.com/office/drawing/2014/main" id="{00000000-0008-0000-0100-00001D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0" name="CustomShape 1" hidden="1">
          <a:extLst>
            <a:ext uri="{FF2B5EF4-FFF2-40B4-BE49-F238E27FC236}">
              <a16:creationId xmlns:a16="http://schemas.microsoft.com/office/drawing/2014/main" id="{00000000-0008-0000-0100-00001E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1" name="CustomShape 1" hidden="1">
          <a:extLst>
            <a:ext uri="{FF2B5EF4-FFF2-40B4-BE49-F238E27FC236}">
              <a16:creationId xmlns:a16="http://schemas.microsoft.com/office/drawing/2014/main" id="{00000000-0008-0000-0100-00001F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2" name="CustomShape 1" hidden="1">
          <a:extLst>
            <a:ext uri="{FF2B5EF4-FFF2-40B4-BE49-F238E27FC236}">
              <a16:creationId xmlns:a16="http://schemas.microsoft.com/office/drawing/2014/main" id="{00000000-0008-0000-0100-000020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3" name="CustomShape 1" hidden="1">
          <a:extLst>
            <a:ext uri="{FF2B5EF4-FFF2-40B4-BE49-F238E27FC236}">
              <a16:creationId xmlns:a16="http://schemas.microsoft.com/office/drawing/2014/main" id="{00000000-0008-0000-0100-000021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4" name="CustomShape 1" hidden="1">
          <a:extLst>
            <a:ext uri="{FF2B5EF4-FFF2-40B4-BE49-F238E27FC236}">
              <a16:creationId xmlns:a16="http://schemas.microsoft.com/office/drawing/2014/main" id="{00000000-0008-0000-0100-000022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5" name="CustomShape 1" hidden="1">
          <a:extLst>
            <a:ext uri="{FF2B5EF4-FFF2-40B4-BE49-F238E27FC236}">
              <a16:creationId xmlns:a16="http://schemas.microsoft.com/office/drawing/2014/main" id="{00000000-0008-0000-0100-000023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6" name="CustomShape 1" hidden="1">
          <a:extLst>
            <a:ext uri="{FF2B5EF4-FFF2-40B4-BE49-F238E27FC236}">
              <a16:creationId xmlns:a16="http://schemas.microsoft.com/office/drawing/2014/main" id="{00000000-0008-0000-0100-000024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7" name="CustomShape 1" hidden="1">
          <a:extLst>
            <a:ext uri="{FF2B5EF4-FFF2-40B4-BE49-F238E27FC236}">
              <a16:creationId xmlns:a16="http://schemas.microsoft.com/office/drawing/2014/main" id="{00000000-0008-0000-0100-000025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8" name="CustomShape 1" hidden="1">
          <a:extLst>
            <a:ext uri="{FF2B5EF4-FFF2-40B4-BE49-F238E27FC236}">
              <a16:creationId xmlns:a16="http://schemas.microsoft.com/office/drawing/2014/main" id="{00000000-0008-0000-0100-000026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39" name="CustomShape 1" hidden="1">
          <a:extLst>
            <a:ext uri="{FF2B5EF4-FFF2-40B4-BE49-F238E27FC236}">
              <a16:creationId xmlns:a16="http://schemas.microsoft.com/office/drawing/2014/main" id="{00000000-0008-0000-0100-000027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0" name="CustomShape 1" hidden="1">
          <a:extLst>
            <a:ext uri="{FF2B5EF4-FFF2-40B4-BE49-F238E27FC236}">
              <a16:creationId xmlns:a16="http://schemas.microsoft.com/office/drawing/2014/main" id="{00000000-0008-0000-0100-000028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1" name="CustomShape 1" hidden="1">
          <a:extLst>
            <a:ext uri="{FF2B5EF4-FFF2-40B4-BE49-F238E27FC236}">
              <a16:creationId xmlns:a16="http://schemas.microsoft.com/office/drawing/2014/main" id="{00000000-0008-0000-0100-000029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2" name="CustomShape 1" hidden="1">
          <a:extLst>
            <a:ext uri="{FF2B5EF4-FFF2-40B4-BE49-F238E27FC236}">
              <a16:creationId xmlns:a16="http://schemas.microsoft.com/office/drawing/2014/main" id="{00000000-0008-0000-0100-00002A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3" name="CustomShape 1" hidden="1">
          <a:extLst>
            <a:ext uri="{FF2B5EF4-FFF2-40B4-BE49-F238E27FC236}">
              <a16:creationId xmlns:a16="http://schemas.microsoft.com/office/drawing/2014/main" id="{00000000-0008-0000-0100-00002B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4" name="CustomShape 1" hidden="1">
          <a:extLst>
            <a:ext uri="{FF2B5EF4-FFF2-40B4-BE49-F238E27FC236}">
              <a16:creationId xmlns:a16="http://schemas.microsoft.com/office/drawing/2014/main" id="{00000000-0008-0000-0100-00002C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5" name="CustomShape 1" hidden="1">
          <a:extLst>
            <a:ext uri="{FF2B5EF4-FFF2-40B4-BE49-F238E27FC236}">
              <a16:creationId xmlns:a16="http://schemas.microsoft.com/office/drawing/2014/main" id="{00000000-0008-0000-0100-00002D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6" name="CustomShape 1" hidden="1">
          <a:extLst>
            <a:ext uri="{FF2B5EF4-FFF2-40B4-BE49-F238E27FC236}">
              <a16:creationId xmlns:a16="http://schemas.microsoft.com/office/drawing/2014/main" id="{00000000-0008-0000-0100-00002E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7" name="CustomShape 1" hidden="1">
          <a:extLst>
            <a:ext uri="{FF2B5EF4-FFF2-40B4-BE49-F238E27FC236}">
              <a16:creationId xmlns:a16="http://schemas.microsoft.com/office/drawing/2014/main" id="{00000000-0008-0000-0100-00002F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8" name="CustomShape 1" hidden="1">
          <a:extLst>
            <a:ext uri="{FF2B5EF4-FFF2-40B4-BE49-F238E27FC236}">
              <a16:creationId xmlns:a16="http://schemas.microsoft.com/office/drawing/2014/main" id="{00000000-0008-0000-0100-000030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49" name="CustomShape 1" hidden="1">
          <a:extLst>
            <a:ext uri="{FF2B5EF4-FFF2-40B4-BE49-F238E27FC236}">
              <a16:creationId xmlns:a16="http://schemas.microsoft.com/office/drawing/2014/main" id="{00000000-0008-0000-0100-000031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0" name="CustomShape 1" hidden="1">
          <a:extLst>
            <a:ext uri="{FF2B5EF4-FFF2-40B4-BE49-F238E27FC236}">
              <a16:creationId xmlns:a16="http://schemas.microsoft.com/office/drawing/2014/main" id="{00000000-0008-0000-0100-000032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1" name="CustomShape 1" hidden="1">
          <a:extLst>
            <a:ext uri="{FF2B5EF4-FFF2-40B4-BE49-F238E27FC236}">
              <a16:creationId xmlns:a16="http://schemas.microsoft.com/office/drawing/2014/main" id="{00000000-0008-0000-0100-000033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2" name="CustomShape 1" hidden="1">
          <a:extLst>
            <a:ext uri="{FF2B5EF4-FFF2-40B4-BE49-F238E27FC236}">
              <a16:creationId xmlns:a16="http://schemas.microsoft.com/office/drawing/2014/main" id="{00000000-0008-0000-0100-000034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6</xdr:row>
      <xdr:rowOff>0</xdr:rowOff>
    </xdr:from>
    <xdr:to>
      <xdr:col>6</xdr:col>
      <xdr:colOff>1102809</xdr:colOff>
      <xdr:row>53</xdr:row>
      <xdr:rowOff>154983</xdr:rowOff>
    </xdr:to>
    <xdr:sp macro="" textlink="">
      <xdr:nvSpPr>
        <xdr:cNvPr id="53" name="CustomShape 1" hidden="1">
          <a:extLst>
            <a:ext uri="{FF2B5EF4-FFF2-40B4-BE49-F238E27FC236}">
              <a16:creationId xmlns:a16="http://schemas.microsoft.com/office/drawing/2014/main" id="{00000000-0008-0000-0100-000035000000}"/>
            </a:ext>
          </a:extLst>
        </xdr:cNvPr>
        <xdr:cNvSpPr/>
      </xdr:nvSpPr>
      <xdr:spPr>
        <a:xfrm>
          <a:off x="0" y="0"/>
          <a:ext cx="10075320" cy="940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6</xdr:row>
      <xdr:rowOff>0</xdr:rowOff>
    </xdr:from>
    <xdr:to>
      <xdr:col>7</xdr:col>
      <xdr:colOff>0</xdr:colOff>
      <xdr:row>59</xdr:row>
      <xdr:rowOff>57150</xdr:rowOff>
    </xdr:to>
    <xdr:sp macro="" textlink="">
      <xdr:nvSpPr>
        <xdr:cNvPr id="1116" name="shapetype_202" hidden="1">
          <a:extLst>
            <a:ext uri="{FF2B5EF4-FFF2-40B4-BE49-F238E27FC236}">
              <a16:creationId xmlns:a16="http://schemas.microsoft.com/office/drawing/2014/main" id="{00000000-0008-0000-0100-00005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14" name="shapetype_202" hidden="1">
          <a:extLst>
            <a:ext uri="{FF2B5EF4-FFF2-40B4-BE49-F238E27FC236}">
              <a16:creationId xmlns:a16="http://schemas.microsoft.com/office/drawing/2014/main" id="{00000000-0008-0000-0100-00005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12" name="shapetype_202" hidden="1">
          <a:extLst>
            <a:ext uri="{FF2B5EF4-FFF2-40B4-BE49-F238E27FC236}">
              <a16:creationId xmlns:a16="http://schemas.microsoft.com/office/drawing/2014/main" id="{00000000-0008-0000-0100-00005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10" name="shapetype_202" hidden="1">
          <a:extLst>
            <a:ext uri="{FF2B5EF4-FFF2-40B4-BE49-F238E27FC236}">
              <a16:creationId xmlns:a16="http://schemas.microsoft.com/office/drawing/2014/main" id="{00000000-0008-0000-0100-00005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08" name="shapetype_202" hidden="1">
          <a:extLst>
            <a:ext uri="{FF2B5EF4-FFF2-40B4-BE49-F238E27FC236}">
              <a16:creationId xmlns:a16="http://schemas.microsoft.com/office/drawing/2014/main" id="{00000000-0008-0000-0100-00005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06" name="shapetype_202" hidden="1">
          <a:extLst>
            <a:ext uri="{FF2B5EF4-FFF2-40B4-BE49-F238E27FC236}">
              <a16:creationId xmlns:a16="http://schemas.microsoft.com/office/drawing/2014/main" id="{00000000-0008-0000-0100-00005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04" name="shapetype_202" hidden="1">
          <a:extLst>
            <a:ext uri="{FF2B5EF4-FFF2-40B4-BE49-F238E27FC236}">
              <a16:creationId xmlns:a16="http://schemas.microsoft.com/office/drawing/2014/main" id="{00000000-0008-0000-0100-00005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02" name="shapetype_202" hidden="1">
          <a:extLst>
            <a:ext uri="{FF2B5EF4-FFF2-40B4-BE49-F238E27FC236}">
              <a16:creationId xmlns:a16="http://schemas.microsoft.com/office/drawing/2014/main" id="{00000000-0008-0000-0100-00004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100" name="shapetype_202" hidden="1">
          <a:extLst>
            <a:ext uri="{FF2B5EF4-FFF2-40B4-BE49-F238E27FC236}">
              <a16:creationId xmlns:a16="http://schemas.microsoft.com/office/drawing/2014/main" id="{00000000-0008-0000-0100-00004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98" name="shapetype_202" hidden="1">
          <a:extLst>
            <a:ext uri="{FF2B5EF4-FFF2-40B4-BE49-F238E27FC236}">
              <a16:creationId xmlns:a16="http://schemas.microsoft.com/office/drawing/2014/main" id="{00000000-0008-0000-0100-00004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96" name="shapetype_202" hidden="1">
          <a:extLst>
            <a:ext uri="{FF2B5EF4-FFF2-40B4-BE49-F238E27FC236}">
              <a16:creationId xmlns:a16="http://schemas.microsoft.com/office/drawing/2014/main" id="{00000000-0008-0000-0100-00004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94" name="shapetype_202" hidden="1">
          <a:extLst>
            <a:ext uri="{FF2B5EF4-FFF2-40B4-BE49-F238E27FC236}">
              <a16:creationId xmlns:a16="http://schemas.microsoft.com/office/drawing/2014/main" id="{00000000-0008-0000-0100-00004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92" name="shapetype_202" hidden="1">
          <a:extLst>
            <a:ext uri="{FF2B5EF4-FFF2-40B4-BE49-F238E27FC236}">
              <a16:creationId xmlns:a16="http://schemas.microsoft.com/office/drawing/2014/main" id="{00000000-0008-0000-0100-00004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90" name="shapetype_202" hidden="1">
          <a:extLst>
            <a:ext uri="{FF2B5EF4-FFF2-40B4-BE49-F238E27FC236}">
              <a16:creationId xmlns:a16="http://schemas.microsoft.com/office/drawing/2014/main" id="{00000000-0008-0000-0100-00004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88" name="shapetype_202" hidden="1">
          <a:extLst>
            <a:ext uri="{FF2B5EF4-FFF2-40B4-BE49-F238E27FC236}">
              <a16:creationId xmlns:a16="http://schemas.microsoft.com/office/drawing/2014/main" id="{00000000-0008-0000-0100-00004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86" name="shapetype_202" hidden="1">
          <a:extLst>
            <a:ext uri="{FF2B5EF4-FFF2-40B4-BE49-F238E27FC236}">
              <a16:creationId xmlns:a16="http://schemas.microsoft.com/office/drawing/2014/main" id="{00000000-0008-0000-0100-00003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84" name="shapetype_202" hidden="1">
          <a:extLst>
            <a:ext uri="{FF2B5EF4-FFF2-40B4-BE49-F238E27FC236}">
              <a16:creationId xmlns:a16="http://schemas.microsoft.com/office/drawing/2014/main" id="{00000000-0008-0000-0100-00003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82" name="shapetype_202" hidden="1">
          <a:extLst>
            <a:ext uri="{FF2B5EF4-FFF2-40B4-BE49-F238E27FC236}">
              <a16:creationId xmlns:a16="http://schemas.microsoft.com/office/drawing/2014/main" id="{00000000-0008-0000-0100-00003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80" name="shapetype_202" hidden="1">
          <a:extLst>
            <a:ext uri="{FF2B5EF4-FFF2-40B4-BE49-F238E27FC236}">
              <a16:creationId xmlns:a16="http://schemas.microsoft.com/office/drawing/2014/main" id="{00000000-0008-0000-0100-00003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78" name="shapetype_202" hidden="1">
          <a:extLst>
            <a:ext uri="{FF2B5EF4-FFF2-40B4-BE49-F238E27FC236}">
              <a16:creationId xmlns:a16="http://schemas.microsoft.com/office/drawing/2014/main" id="{00000000-0008-0000-0100-00003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76" name="shapetype_202" hidden="1">
          <a:extLst>
            <a:ext uri="{FF2B5EF4-FFF2-40B4-BE49-F238E27FC236}">
              <a16:creationId xmlns:a16="http://schemas.microsoft.com/office/drawing/2014/main" id="{00000000-0008-0000-0100-00003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74" name="shapetype_202" hidden="1">
          <a:extLst>
            <a:ext uri="{FF2B5EF4-FFF2-40B4-BE49-F238E27FC236}">
              <a16:creationId xmlns:a16="http://schemas.microsoft.com/office/drawing/2014/main" id="{00000000-0008-0000-0100-00003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72" name="shapetype_202" hidden="1">
          <a:extLst>
            <a:ext uri="{FF2B5EF4-FFF2-40B4-BE49-F238E27FC236}">
              <a16:creationId xmlns:a16="http://schemas.microsoft.com/office/drawing/2014/main" id="{00000000-0008-0000-01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70" name="shapetype_202" hidden="1">
          <a:extLst>
            <a:ext uri="{FF2B5EF4-FFF2-40B4-BE49-F238E27FC236}">
              <a16:creationId xmlns:a16="http://schemas.microsoft.com/office/drawing/2014/main" id="{00000000-0008-0000-01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68" name="shapetype_202" hidden="1">
          <a:extLst>
            <a:ext uri="{FF2B5EF4-FFF2-40B4-BE49-F238E27FC236}">
              <a16:creationId xmlns:a16="http://schemas.microsoft.com/office/drawing/2014/main" id="{00000000-0008-0000-01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66" name="shapetype_202" hidden="1">
          <a:extLst>
            <a:ext uri="{FF2B5EF4-FFF2-40B4-BE49-F238E27FC236}">
              <a16:creationId xmlns:a16="http://schemas.microsoft.com/office/drawing/2014/main" id="{00000000-0008-0000-01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64" name="shapetype_202" hidden="1">
          <a:extLst>
            <a:ext uri="{FF2B5EF4-FFF2-40B4-BE49-F238E27FC236}">
              <a16:creationId xmlns:a16="http://schemas.microsoft.com/office/drawing/2014/main" id="{00000000-0008-0000-01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62" name="shapetype_202" hidden="1">
          <a:extLst>
            <a:ext uri="{FF2B5EF4-FFF2-40B4-BE49-F238E27FC236}">
              <a16:creationId xmlns:a16="http://schemas.microsoft.com/office/drawing/2014/main" id="{00000000-0008-0000-01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60" name="shapetype_202" hidden="1">
          <a:extLst>
            <a:ext uri="{FF2B5EF4-FFF2-40B4-BE49-F238E27FC236}">
              <a16:creationId xmlns:a16="http://schemas.microsoft.com/office/drawing/2014/main" id="{00000000-0008-0000-01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58" name="shapetype_202" hidden="1">
          <a:extLst>
            <a:ext uri="{FF2B5EF4-FFF2-40B4-BE49-F238E27FC236}">
              <a16:creationId xmlns:a16="http://schemas.microsoft.com/office/drawing/2014/main" id="{00000000-0008-0000-01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56" name="shapetype_202" hidden="1">
          <a:extLst>
            <a:ext uri="{FF2B5EF4-FFF2-40B4-BE49-F238E27FC236}">
              <a16:creationId xmlns:a16="http://schemas.microsoft.com/office/drawing/2014/main" id="{00000000-0008-0000-01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54" name="shapetype_202" hidden="1">
          <a:extLst>
            <a:ext uri="{FF2B5EF4-FFF2-40B4-BE49-F238E27FC236}">
              <a16:creationId xmlns:a16="http://schemas.microsoft.com/office/drawing/2014/main" id="{00000000-0008-0000-01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52" name="shapetype_202" hidden="1">
          <a:extLst>
            <a:ext uri="{FF2B5EF4-FFF2-40B4-BE49-F238E27FC236}">
              <a16:creationId xmlns:a16="http://schemas.microsoft.com/office/drawing/2014/main" id="{00000000-0008-0000-01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50" name="shapetype_202" hidden="1">
          <a:extLst>
            <a:ext uri="{FF2B5EF4-FFF2-40B4-BE49-F238E27FC236}">
              <a16:creationId xmlns:a16="http://schemas.microsoft.com/office/drawing/2014/main" id="{00000000-0008-0000-01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48" name="shapetype_202" hidden="1">
          <a:extLst>
            <a:ext uri="{FF2B5EF4-FFF2-40B4-BE49-F238E27FC236}">
              <a16:creationId xmlns:a16="http://schemas.microsoft.com/office/drawing/2014/main" id="{00000000-0008-0000-01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46" name="shapetype_202" hidden="1">
          <a:extLst>
            <a:ext uri="{FF2B5EF4-FFF2-40B4-BE49-F238E27FC236}">
              <a16:creationId xmlns:a16="http://schemas.microsoft.com/office/drawing/2014/main" id="{00000000-0008-0000-01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44" name="shapetype_202" hidden="1">
          <a:extLst>
            <a:ext uri="{FF2B5EF4-FFF2-40B4-BE49-F238E27FC236}">
              <a16:creationId xmlns:a16="http://schemas.microsoft.com/office/drawing/2014/main" id="{00000000-0008-0000-01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42" name="shapetype_202" hidden="1">
          <a:extLst>
            <a:ext uri="{FF2B5EF4-FFF2-40B4-BE49-F238E27FC236}">
              <a16:creationId xmlns:a16="http://schemas.microsoft.com/office/drawing/2014/main" id="{00000000-0008-0000-01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40" name="shapetype_202" hidden="1">
          <a:extLst>
            <a:ext uri="{FF2B5EF4-FFF2-40B4-BE49-F238E27FC236}">
              <a16:creationId xmlns:a16="http://schemas.microsoft.com/office/drawing/2014/main" id="{00000000-0008-0000-01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38" name="shapetype_202" hidden="1">
          <a:extLst>
            <a:ext uri="{FF2B5EF4-FFF2-40B4-BE49-F238E27FC236}">
              <a16:creationId xmlns:a16="http://schemas.microsoft.com/office/drawing/2014/main" id="{00000000-0008-0000-01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36" name="shapetype_202" hidden="1">
          <a:extLst>
            <a:ext uri="{FF2B5EF4-FFF2-40B4-BE49-F238E27FC236}">
              <a16:creationId xmlns:a16="http://schemas.microsoft.com/office/drawing/2014/main" id="{00000000-0008-0000-01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34" name="shapetype_202" hidden="1">
          <a:extLst>
            <a:ext uri="{FF2B5EF4-FFF2-40B4-BE49-F238E27FC236}">
              <a16:creationId xmlns:a16="http://schemas.microsoft.com/office/drawing/2014/main" id="{00000000-0008-0000-01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32" name="shapetype_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30" name="shapetype_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28" name="shapetype_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6</xdr:row>
      <xdr:rowOff>0</xdr:rowOff>
    </xdr:from>
    <xdr:to>
      <xdr:col>7</xdr:col>
      <xdr:colOff>0</xdr:colOff>
      <xdr:row>59</xdr:row>
      <xdr:rowOff>57150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9"/>
  <sheetViews>
    <sheetView zoomScale="95" zoomScaleNormal="95" workbookViewId="0">
      <selection activeCell="H16" sqref="H16:J16"/>
    </sheetView>
  </sheetViews>
  <sheetFormatPr defaultRowHeight="12.75"/>
  <cols>
    <col min="1" max="1" width="3.42578125" style="1" customWidth="1"/>
    <col min="2" max="2" width="4.42578125" style="1" customWidth="1"/>
    <col min="3" max="3" width="12.42578125" style="1" customWidth="1"/>
    <col min="4" max="4" width="8.85546875" style="1" customWidth="1"/>
    <col min="5" max="5" width="13.140625" style="1" customWidth="1"/>
    <col min="6" max="6" width="6.7109375" style="2" customWidth="1"/>
    <col min="7" max="7" width="6" style="1" customWidth="1"/>
    <col min="8" max="10" width="9.5703125" style="1" customWidth="1"/>
    <col min="11" max="1025" width="11.42578125" style="1" customWidth="1"/>
  </cols>
  <sheetData>
    <row r="1" spans="2:10" ht="14.25" customHeight="1">
      <c r="B1" s="191"/>
      <c r="C1" s="191"/>
      <c r="D1" s="191"/>
      <c r="E1" s="191"/>
      <c r="F1" s="191"/>
      <c r="G1" s="191"/>
      <c r="H1" s="191"/>
      <c r="I1" s="191"/>
      <c r="J1" s="191"/>
    </row>
    <row r="2" spans="2:10" ht="17.25" customHeight="1">
      <c r="B2" s="192" t="s">
        <v>0</v>
      </c>
      <c r="C2" s="192"/>
      <c r="D2" s="192"/>
      <c r="E2" s="192"/>
      <c r="F2" s="192"/>
      <c r="G2" s="192"/>
      <c r="H2" s="192"/>
      <c r="I2" s="192"/>
      <c r="J2" s="192"/>
    </row>
    <row r="3" spans="2:10" ht="17.25" customHeight="1">
      <c r="B3" s="180"/>
      <c r="C3" s="180"/>
      <c r="D3" s="180"/>
      <c r="E3" s="180"/>
      <c r="F3" s="180"/>
      <c r="G3" s="180"/>
      <c r="H3" s="180"/>
      <c r="I3" s="180"/>
      <c r="J3" s="180"/>
    </row>
    <row r="4" spans="2:10" s="1" customFormat="1" ht="17.25" customHeight="1">
      <c r="B4" s="3"/>
      <c r="C4" s="4" t="s">
        <v>1</v>
      </c>
      <c r="D4" s="193" t="s">
        <v>2</v>
      </c>
      <c r="E4" s="193"/>
    </row>
    <row r="5" spans="2:10" s="1" customFormat="1" ht="17.25" customHeight="1">
      <c r="B5" s="3"/>
      <c r="C5" s="4" t="s">
        <v>3</v>
      </c>
      <c r="D5" s="194" t="s">
        <v>4</v>
      </c>
      <c r="E5" s="194"/>
    </row>
    <row r="6" spans="2:10" ht="15.95" customHeight="1">
      <c r="B6" s="180"/>
      <c r="C6" s="180"/>
      <c r="D6" s="180"/>
      <c r="E6" s="180"/>
      <c r="F6" s="180"/>
      <c r="G6" s="180"/>
      <c r="H6" s="180"/>
      <c r="I6" s="180"/>
      <c r="J6" s="180"/>
    </row>
    <row r="7" spans="2:10" ht="20.100000000000001" customHeight="1">
      <c r="B7" s="181" t="s">
        <v>5</v>
      </c>
      <c r="C7" s="181"/>
      <c r="D7" s="181"/>
      <c r="E7" s="181"/>
      <c r="F7" s="181"/>
      <c r="G7" s="181"/>
      <c r="H7" s="181"/>
      <c r="I7" s="181"/>
      <c r="J7" s="181"/>
    </row>
    <row r="8" spans="2:10" ht="20.100000000000001" customHeight="1">
      <c r="B8" s="180"/>
      <c r="C8" s="180"/>
      <c r="D8" s="180"/>
      <c r="E8" s="180"/>
      <c r="F8" s="180"/>
      <c r="G8" s="180"/>
      <c r="H8" s="180"/>
      <c r="I8" s="180"/>
      <c r="J8" s="180"/>
    </row>
    <row r="9" spans="2:10" ht="12.75" customHeight="1">
      <c r="B9" s="5" t="s">
        <v>6</v>
      </c>
      <c r="C9" s="186" t="s">
        <v>7</v>
      </c>
      <c r="D9" s="186"/>
      <c r="E9" s="186"/>
      <c r="F9" s="186"/>
      <c r="G9" s="186"/>
      <c r="H9" s="190"/>
      <c r="I9" s="190"/>
      <c r="J9" s="190"/>
    </row>
    <row r="10" spans="2:10" ht="12.75" customHeight="1">
      <c r="B10" s="5" t="s">
        <v>8</v>
      </c>
      <c r="C10" s="186" t="s">
        <v>9</v>
      </c>
      <c r="D10" s="186"/>
      <c r="E10" s="186"/>
      <c r="F10" s="186"/>
      <c r="G10" s="186"/>
      <c r="H10" s="187" t="s">
        <v>10</v>
      </c>
      <c r="I10" s="187"/>
      <c r="J10" s="187"/>
    </row>
    <row r="11" spans="2:10" ht="30" customHeight="1">
      <c r="B11" s="6" t="s">
        <v>11</v>
      </c>
      <c r="C11" s="188" t="s">
        <v>12</v>
      </c>
      <c r="D11" s="188"/>
      <c r="E11" s="188"/>
      <c r="F11" s="188"/>
      <c r="G11" s="188"/>
      <c r="H11" s="189" t="s">
        <v>13</v>
      </c>
      <c r="I11" s="189"/>
      <c r="J11" s="189"/>
    </row>
    <row r="12" spans="2:10" ht="38.25" customHeight="1">
      <c r="B12" s="5" t="s">
        <v>14</v>
      </c>
      <c r="C12" s="186" t="s">
        <v>15</v>
      </c>
      <c r="D12" s="186"/>
      <c r="E12" s="186"/>
      <c r="F12" s="186"/>
      <c r="G12" s="186"/>
      <c r="H12" s="187">
        <v>12</v>
      </c>
      <c r="I12" s="187"/>
      <c r="J12" s="187"/>
    </row>
    <row r="13" spans="2:10" ht="20.100000000000001" customHeight="1">
      <c r="B13" s="180"/>
      <c r="C13" s="180"/>
      <c r="D13" s="180"/>
      <c r="E13" s="180"/>
      <c r="F13" s="180"/>
      <c r="G13" s="180"/>
      <c r="H13" s="180"/>
      <c r="I13" s="180"/>
      <c r="J13" s="180"/>
    </row>
    <row r="14" spans="2:10" ht="20.100000000000001" customHeight="1">
      <c r="B14" s="181" t="s">
        <v>16</v>
      </c>
      <c r="C14" s="181"/>
      <c r="D14" s="181"/>
      <c r="E14" s="181"/>
      <c r="F14" s="181"/>
      <c r="G14" s="181"/>
      <c r="H14" s="181"/>
      <c r="I14" s="181"/>
      <c r="J14" s="181"/>
    </row>
    <row r="15" spans="2:10" ht="20.100000000000001" customHeight="1">
      <c r="B15" s="182" t="s">
        <v>17</v>
      </c>
      <c r="C15" s="182"/>
      <c r="D15" s="182"/>
      <c r="E15" s="182" t="s">
        <v>18</v>
      </c>
      <c r="F15" s="182"/>
      <c r="G15" s="182"/>
      <c r="H15" s="182" t="s">
        <v>19</v>
      </c>
      <c r="I15" s="182"/>
      <c r="J15" s="182"/>
    </row>
    <row r="16" spans="2:10" ht="22.5" customHeight="1">
      <c r="B16" s="178" t="s">
        <v>20</v>
      </c>
      <c r="C16" s="178"/>
      <c r="D16" s="178"/>
      <c r="E16" s="179" t="s">
        <v>21</v>
      </c>
      <c r="F16" s="179"/>
      <c r="G16" s="179"/>
      <c r="H16" s="183">
        <f>'Resumo Preço m²'!F79</f>
        <v>11521.340000000002</v>
      </c>
      <c r="I16" s="184"/>
      <c r="J16" s="185"/>
    </row>
    <row r="17" spans="2:10" ht="22.5" customHeight="1">
      <c r="B17" s="178" t="s">
        <v>22</v>
      </c>
      <c r="C17" s="178"/>
      <c r="D17" s="178"/>
      <c r="E17" s="179" t="s">
        <v>23</v>
      </c>
      <c r="F17" s="179"/>
      <c r="G17" s="179"/>
      <c r="H17" s="178">
        <v>6</v>
      </c>
      <c r="I17" s="178"/>
      <c r="J17" s="178"/>
    </row>
    <row r="18" spans="2:10" ht="20.100000000000001" customHeight="1"/>
    <row r="19" spans="2:10" ht="20.100000000000001" customHeight="1"/>
  </sheetData>
  <mergeCells count="27">
    <mergeCell ref="B1:J1"/>
    <mergeCell ref="B2:J2"/>
    <mergeCell ref="B3:J3"/>
    <mergeCell ref="D4:E4"/>
    <mergeCell ref="D5:E5"/>
    <mergeCell ref="B6:J6"/>
    <mergeCell ref="B7:J7"/>
    <mergeCell ref="B8:J8"/>
    <mergeCell ref="C9:G9"/>
    <mergeCell ref="H9:J9"/>
    <mergeCell ref="C10:G10"/>
    <mergeCell ref="H10:J10"/>
    <mergeCell ref="C11:G11"/>
    <mergeCell ref="H11:J11"/>
    <mergeCell ref="C12:G12"/>
    <mergeCell ref="H12:J12"/>
    <mergeCell ref="B17:D17"/>
    <mergeCell ref="E17:G17"/>
    <mergeCell ref="H17:J17"/>
    <mergeCell ref="B13:J13"/>
    <mergeCell ref="B14:J14"/>
    <mergeCell ref="B15:D15"/>
    <mergeCell ref="E15:G15"/>
    <mergeCell ref="H15:J15"/>
    <mergeCell ref="B16:D16"/>
    <mergeCell ref="E16:G16"/>
    <mergeCell ref="H16:J16"/>
  </mergeCells>
  <pageMargins left="0.25" right="0.25" top="0.75" bottom="0.75" header="0.3" footer="0.3"/>
  <pageSetup paperSize="9" firstPageNumber="0" fitToHeight="0" orientation="portrait" horizontalDpi="300" verticalDpi="300"/>
  <headerFooter>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59EB4-0BC1-4DB2-8316-E5F2926770FE}">
  <sheetPr>
    <pageSetUpPr fitToPage="1"/>
  </sheetPr>
  <dimension ref="A1:AMK143"/>
  <sheetViews>
    <sheetView topLeftCell="A111" zoomScale="95" zoomScaleNormal="95" workbookViewId="0">
      <selection activeCell="D116" sqref="D116:F116"/>
    </sheetView>
  </sheetViews>
  <sheetFormatPr defaultRowHeight="12.75"/>
  <cols>
    <col min="1" max="1" width="4.42578125" style="1" customWidth="1"/>
    <col min="2" max="2" width="5.140625" style="1" customWidth="1"/>
    <col min="3" max="3" width="69.7109375" style="1" customWidth="1"/>
    <col min="4" max="4" width="15.5703125" style="1" customWidth="1"/>
    <col min="5" max="6" width="15.7109375" style="1" customWidth="1"/>
    <col min="7" max="7" width="20.5703125" style="2" customWidth="1"/>
    <col min="8" max="1025" width="11.42578125" style="1" customWidth="1"/>
  </cols>
  <sheetData>
    <row r="1" spans="2:6">
      <c r="B1" s="247" t="s">
        <v>24</v>
      </c>
      <c r="C1" s="248"/>
      <c r="D1" s="248"/>
      <c r="E1" s="248"/>
      <c r="F1" s="248"/>
    </row>
    <row r="2" spans="2:6">
      <c r="B2" s="248"/>
      <c r="C2" s="248"/>
      <c r="D2" s="248"/>
      <c r="E2" s="248"/>
      <c r="F2" s="248"/>
    </row>
    <row r="3" spans="2:6">
      <c r="B3" s="248"/>
      <c r="C3" s="248"/>
      <c r="D3" s="248"/>
      <c r="E3" s="248"/>
      <c r="F3" s="248"/>
    </row>
    <row r="4" spans="2:6">
      <c r="B4" s="248"/>
      <c r="C4" s="248"/>
      <c r="D4" s="248"/>
      <c r="E4" s="248"/>
      <c r="F4" s="248"/>
    </row>
    <row r="5" spans="2:6">
      <c r="B5" s="248"/>
      <c r="C5" s="248"/>
      <c r="D5" s="248"/>
      <c r="E5" s="248"/>
      <c r="F5" s="248"/>
    </row>
    <row r="6" spans="2:6">
      <c r="B6" s="248"/>
      <c r="C6" s="248"/>
      <c r="D6" s="248"/>
      <c r="E6" s="248"/>
      <c r="F6" s="248"/>
    </row>
    <row r="7" spans="2:6" s="2" customFormat="1" ht="23.25" customHeight="1">
      <c r="B7" s="1"/>
      <c r="C7" s="249" t="s">
        <v>25</v>
      </c>
      <c r="D7" s="250"/>
      <c r="E7" s="250"/>
      <c r="F7" s="251"/>
    </row>
    <row r="8" spans="2:6" s="2" customFormat="1" ht="17.25" customHeight="1">
      <c r="B8" s="1"/>
      <c r="C8" s="7" t="s">
        <v>26</v>
      </c>
      <c r="D8" s="8"/>
      <c r="E8" s="8"/>
      <c r="F8" s="8"/>
    </row>
    <row r="9" spans="2:6" s="2" customFormat="1" ht="15.95" customHeight="1">
      <c r="B9" s="1"/>
      <c r="C9" s="9" t="s">
        <v>27</v>
      </c>
      <c r="D9" s="252" t="s">
        <v>28</v>
      </c>
      <c r="E9" s="252"/>
      <c r="F9" s="252"/>
    </row>
    <row r="10" spans="2:6" s="2" customFormat="1" ht="15.95" customHeight="1">
      <c r="B10" s="1"/>
      <c r="C10" s="10" t="s">
        <v>29</v>
      </c>
      <c r="D10" s="243">
        <f>ROUND((30.4375*5/7)-(10*(5/7))/12-(5/12),2)</f>
        <v>20.73</v>
      </c>
      <c r="E10" s="243"/>
      <c r="F10" s="243"/>
    </row>
    <row r="11" spans="2:6" s="2" customFormat="1" ht="15.95" customHeight="1">
      <c r="B11" s="1"/>
      <c r="C11" s="10" t="s">
        <v>30</v>
      </c>
      <c r="D11" s="253" t="s">
        <v>31</v>
      </c>
      <c r="E11" s="254"/>
      <c r="F11" s="255"/>
    </row>
    <row r="12" spans="2:6" s="2" customFormat="1" ht="15.95" customHeight="1">
      <c r="B12" s="1"/>
      <c r="C12" s="11" t="s">
        <v>32</v>
      </c>
      <c r="D12" s="196">
        <v>1233.1500000000001</v>
      </c>
      <c r="E12" s="196"/>
      <c r="F12" s="196"/>
    </row>
    <row r="13" spans="2:6" s="2" customFormat="1" ht="15.95" customHeight="1">
      <c r="B13" s="1"/>
      <c r="C13" s="11" t="s">
        <v>33</v>
      </c>
      <c r="D13" s="243" t="s">
        <v>34</v>
      </c>
      <c r="E13" s="243"/>
      <c r="F13" s="243"/>
    </row>
    <row r="14" spans="2:6" s="2" customFormat="1" ht="15.95" customHeight="1">
      <c r="B14" s="1"/>
      <c r="C14" s="12" t="s">
        <v>35</v>
      </c>
      <c r="D14" s="244">
        <v>44562</v>
      </c>
      <c r="E14" s="244"/>
      <c r="F14" s="244"/>
    </row>
    <row r="15" spans="2:6" s="2" customFormat="1" ht="15.95" customHeight="1">
      <c r="B15" s="1"/>
      <c r="C15" s="1"/>
      <c r="D15" s="13"/>
    </row>
    <row r="16" spans="2:6" s="2" customFormat="1" ht="12" customHeight="1">
      <c r="B16" s="1"/>
      <c r="C16" s="1"/>
    </row>
    <row r="17" spans="2:1025" s="2" customFormat="1" ht="15.75" customHeight="1">
      <c r="B17" s="14"/>
      <c r="C17" s="245" t="s">
        <v>36</v>
      </c>
      <c r="D17" s="245"/>
      <c r="E17" s="245"/>
      <c r="F17" s="245"/>
    </row>
    <row r="18" spans="2:1025" s="2" customFormat="1" ht="15.95" customHeight="1">
      <c r="B18" s="15">
        <v>1</v>
      </c>
      <c r="C18" s="16" t="s">
        <v>37</v>
      </c>
      <c r="D18" s="246" t="s">
        <v>38</v>
      </c>
      <c r="E18" s="246"/>
      <c r="F18" s="246"/>
    </row>
    <row r="19" spans="2:1025" s="2" customFormat="1" ht="15.95" customHeight="1">
      <c r="B19" s="17" t="s">
        <v>6</v>
      </c>
      <c r="C19" s="18" t="s">
        <v>39</v>
      </c>
      <c r="D19" s="215">
        <f>D12</f>
        <v>1233.1500000000001</v>
      </c>
      <c r="E19" s="215"/>
      <c r="F19" s="215"/>
    </row>
    <row r="20" spans="2:1025" s="2" customFormat="1" ht="15.95" customHeight="1">
      <c r="B20" s="17" t="s">
        <v>8</v>
      </c>
      <c r="C20" s="18" t="s">
        <v>40</v>
      </c>
      <c r="D20" s="210"/>
      <c r="E20" s="210"/>
      <c r="F20" s="210"/>
    </row>
    <row r="21" spans="2:1025" ht="15.95" customHeight="1">
      <c r="B21" s="17" t="s">
        <v>11</v>
      </c>
      <c r="C21" s="18" t="s">
        <v>41</v>
      </c>
      <c r="D21" s="210">
        <f>0.2*1070</f>
        <v>214</v>
      </c>
      <c r="E21" s="210"/>
      <c r="F21" s="210"/>
      <c r="ALW21"/>
      <c r="ALX21"/>
      <c r="ALY21"/>
      <c r="ALZ21"/>
      <c r="AMA21"/>
      <c r="AMB21"/>
      <c r="AMC21"/>
      <c r="AMD21"/>
      <c r="AME21"/>
      <c r="AMF21"/>
      <c r="AMG21"/>
      <c r="AMH21"/>
      <c r="AMI21"/>
      <c r="AMJ21"/>
      <c r="AMK21"/>
    </row>
    <row r="22" spans="2:1025" ht="15.95" customHeight="1">
      <c r="B22" s="17" t="s">
        <v>14</v>
      </c>
      <c r="C22" s="19" t="s">
        <v>42</v>
      </c>
      <c r="D22" s="241"/>
      <c r="E22" s="241"/>
      <c r="F22" s="241"/>
      <c r="ALW22"/>
      <c r="ALX22"/>
      <c r="ALY22"/>
      <c r="ALZ22"/>
      <c r="AMA22"/>
      <c r="AMB22"/>
      <c r="AMC22"/>
      <c r="AMD22"/>
      <c r="AME22"/>
      <c r="AMF22"/>
      <c r="AMG22"/>
      <c r="AMH22"/>
      <c r="AMI22"/>
      <c r="AMJ22"/>
      <c r="AMK22"/>
    </row>
    <row r="23" spans="2:1025" ht="15.95" customHeight="1">
      <c r="B23" s="17" t="s">
        <v>43</v>
      </c>
      <c r="C23" s="19" t="s">
        <v>44</v>
      </c>
      <c r="D23" s="241"/>
      <c r="E23" s="241"/>
      <c r="F23" s="241"/>
      <c r="ALW23"/>
      <c r="ALX23"/>
      <c r="ALY23"/>
      <c r="ALZ23"/>
      <c r="AMA23"/>
      <c r="AMB23"/>
      <c r="AMC23"/>
      <c r="AMD23"/>
      <c r="AME23"/>
      <c r="AMF23"/>
      <c r="AMG23"/>
      <c r="AMH23"/>
      <c r="AMI23"/>
      <c r="AMJ23"/>
      <c r="AMK23"/>
    </row>
    <row r="24" spans="2:1025" ht="15.95" customHeight="1">
      <c r="B24" s="17" t="s">
        <v>45</v>
      </c>
      <c r="C24" s="19" t="s">
        <v>46</v>
      </c>
      <c r="D24" s="241"/>
      <c r="E24" s="241"/>
      <c r="F24" s="241"/>
      <c r="ALW24"/>
      <c r="ALX24"/>
      <c r="ALY24"/>
      <c r="ALZ24"/>
      <c r="AMA24"/>
      <c r="AMB24"/>
      <c r="AMC24"/>
      <c r="AMD24"/>
      <c r="AME24"/>
      <c r="AMF24"/>
      <c r="AMG24"/>
      <c r="AMH24"/>
      <c r="AMI24"/>
      <c r="AMJ24"/>
      <c r="AMK24"/>
    </row>
    <row r="25" spans="2:1025" ht="15.95" customHeight="1">
      <c r="B25" s="17" t="s">
        <v>47</v>
      </c>
      <c r="C25" s="19" t="s">
        <v>48</v>
      </c>
      <c r="D25" s="241"/>
      <c r="E25" s="241"/>
      <c r="F25" s="241"/>
      <c r="ALW25"/>
      <c r="ALX25"/>
      <c r="ALY25"/>
      <c r="ALZ25"/>
      <c r="AMA25"/>
      <c r="AMB25"/>
      <c r="AMC25"/>
      <c r="AMD25"/>
      <c r="AME25"/>
      <c r="AMF25"/>
      <c r="AMG25"/>
      <c r="AMH25"/>
      <c r="AMI25"/>
      <c r="AMJ25"/>
      <c r="AMK25"/>
    </row>
    <row r="26" spans="2:1025" ht="15.95" customHeight="1">
      <c r="B26" s="20"/>
      <c r="C26" s="21" t="s">
        <v>49</v>
      </c>
      <c r="D26" s="242">
        <f>SUM(D19:F25)</f>
        <v>1447.15</v>
      </c>
      <c r="E26" s="242"/>
      <c r="F26" s="242"/>
      <c r="ALW26"/>
      <c r="ALX26"/>
      <c r="ALY26"/>
      <c r="ALZ26"/>
      <c r="AMA26"/>
      <c r="AMB26"/>
      <c r="AMC26"/>
      <c r="AMD26"/>
      <c r="AME26"/>
      <c r="AMF26"/>
      <c r="AMG26"/>
      <c r="AMH26"/>
      <c r="AMI26"/>
      <c r="AMJ26"/>
      <c r="AMK26"/>
    </row>
    <row r="27" spans="2:1025" ht="15.95" customHeight="1">
      <c r="C27" s="236"/>
      <c r="D27" s="236"/>
      <c r="E27" s="236"/>
      <c r="F27" s="236"/>
      <c r="ALW27"/>
      <c r="ALX27"/>
      <c r="ALY27"/>
      <c r="ALZ27"/>
      <c r="AMA27"/>
      <c r="AMB27"/>
      <c r="AMC27"/>
      <c r="AMD27"/>
      <c r="AME27"/>
      <c r="AMF27"/>
      <c r="AMG27"/>
      <c r="AMH27"/>
      <c r="AMI27"/>
      <c r="AMJ27"/>
      <c r="AMK27"/>
    </row>
    <row r="28" spans="2:1025" ht="15.95" customHeight="1">
      <c r="B28" s="22"/>
      <c r="C28" s="237" t="s">
        <v>50</v>
      </c>
      <c r="D28" s="237"/>
      <c r="E28" s="237"/>
      <c r="F28" s="237"/>
      <c r="ALW28"/>
      <c r="ALX28"/>
      <c r="ALY28"/>
      <c r="ALZ28"/>
      <c r="AMA28"/>
      <c r="AMB28"/>
      <c r="AMC28"/>
      <c r="AMD28"/>
      <c r="AME28"/>
      <c r="AMF28"/>
      <c r="AMG28"/>
      <c r="AMH28"/>
      <c r="AMI28"/>
      <c r="AMJ28"/>
      <c r="AMK28"/>
    </row>
    <row r="29" spans="2:1025" ht="15.95" customHeight="1">
      <c r="B29" s="23"/>
      <c r="C29" s="238" t="s">
        <v>51</v>
      </c>
      <c r="D29" s="238"/>
      <c r="E29" s="238"/>
      <c r="F29" s="238"/>
      <c r="ALW29"/>
      <c r="ALX29"/>
      <c r="ALY29"/>
      <c r="ALZ29"/>
      <c r="AMA29"/>
      <c r="AMB29"/>
      <c r="AMC29"/>
      <c r="AMD29"/>
      <c r="AME29"/>
      <c r="AMF29"/>
      <c r="AMG29"/>
      <c r="AMH29"/>
      <c r="AMI29"/>
      <c r="AMJ29"/>
      <c r="AMK29"/>
    </row>
    <row r="30" spans="2:1025" ht="15.95" customHeight="1">
      <c r="B30" s="24" t="s">
        <v>52</v>
      </c>
      <c r="C30" s="25" t="s">
        <v>53</v>
      </c>
      <c r="D30" s="239" t="s">
        <v>54</v>
      </c>
      <c r="E30" s="239"/>
      <c r="F30" s="239"/>
      <c r="ALW30"/>
      <c r="ALX30"/>
      <c r="ALY30"/>
      <c r="ALZ30"/>
      <c r="AMA30"/>
      <c r="AMB30"/>
      <c r="AMC30"/>
      <c r="AMD30"/>
      <c r="AME30"/>
      <c r="AMF30"/>
      <c r="AMG30"/>
      <c r="AMH30"/>
      <c r="AMI30"/>
      <c r="AMJ30"/>
      <c r="AMK30"/>
    </row>
    <row r="31" spans="2:1025" ht="15.95" customHeight="1">
      <c r="B31" s="26" t="s">
        <v>6</v>
      </c>
      <c r="C31" s="27" t="s">
        <v>55</v>
      </c>
      <c r="D31" s="240">
        <f>ROUND(D26*(1/12),2)</f>
        <v>120.6</v>
      </c>
      <c r="E31" s="240"/>
      <c r="F31" s="240"/>
      <c r="ALW31"/>
      <c r="ALX31"/>
      <c r="ALY31"/>
      <c r="ALZ31"/>
      <c r="AMA31"/>
      <c r="AMB31"/>
      <c r="AMC31"/>
      <c r="AMD31"/>
      <c r="AME31"/>
      <c r="AMF31"/>
      <c r="AMG31"/>
      <c r="AMH31"/>
      <c r="AMI31"/>
      <c r="AMJ31"/>
      <c r="AMK31"/>
    </row>
    <row r="32" spans="2:1025" ht="15.95" customHeight="1">
      <c r="B32" s="28" t="s">
        <v>8</v>
      </c>
      <c r="C32" s="29" t="s">
        <v>56</v>
      </c>
      <c r="D32" s="234">
        <v>0</v>
      </c>
      <c r="E32" s="234"/>
      <c r="F32" s="234"/>
      <c r="ALW32"/>
      <c r="ALX32"/>
      <c r="ALY32"/>
      <c r="ALZ32"/>
      <c r="AMA32"/>
      <c r="AMB32"/>
      <c r="AMC32"/>
      <c r="AMD32"/>
      <c r="AME32"/>
      <c r="AMF32"/>
      <c r="AMG32"/>
      <c r="AMH32"/>
      <c r="AMI32"/>
      <c r="AMJ32"/>
      <c r="AMK32"/>
    </row>
    <row r="33" spans="2:1025" ht="15.95" customHeight="1">
      <c r="B33" s="30" t="s">
        <v>11</v>
      </c>
      <c r="C33" s="29" t="s">
        <v>57</v>
      </c>
      <c r="D33" s="234">
        <f>ROUND(D26*(1/3)/12,2)</f>
        <v>40.200000000000003</v>
      </c>
      <c r="E33" s="234"/>
      <c r="F33" s="234"/>
      <c r="ALW33"/>
      <c r="ALX33"/>
      <c r="ALY33"/>
      <c r="ALZ33"/>
      <c r="AMA33"/>
      <c r="AMB33"/>
      <c r="AMC33"/>
      <c r="AMD33"/>
      <c r="AME33"/>
      <c r="AMF33"/>
      <c r="AMG33"/>
      <c r="AMH33"/>
      <c r="AMI33"/>
      <c r="AMJ33"/>
      <c r="AMK33"/>
    </row>
    <row r="34" spans="2:1025" ht="15.95" customHeight="1">
      <c r="B34" s="31"/>
      <c r="C34" s="32" t="s">
        <v>58</v>
      </c>
      <c r="D34" s="211">
        <f>SUM(D31:F33)</f>
        <v>160.80000000000001</v>
      </c>
      <c r="E34" s="211"/>
      <c r="F34" s="211"/>
      <c r="ALW34"/>
      <c r="ALX34"/>
      <c r="ALY34"/>
      <c r="ALZ34"/>
      <c r="AMA34"/>
      <c r="AMB34"/>
      <c r="AMC34"/>
      <c r="AMD34"/>
      <c r="AME34"/>
      <c r="AMF34"/>
      <c r="AMG34"/>
      <c r="AMH34"/>
      <c r="AMI34"/>
      <c r="AMJ34"/>
      <c r="AMK34"/>
    </row>
    <row r="35" spans="2:1025" ht="15.95" customHeight="1">
      <c r="B35" s="2"/>
      <c r="C35" s="225" t="s">
        <v>59</v>
      </c>
      <c r="D35" s="225"/>
      <c r="E35" s="225"/>
      <c r="F35" s="225"/>
      <c r="ALW35"/>
      <c r="ALX35"/>
      <c r="ALY35"/>
      <c r="ALZ35"/>
      <c r="AMA35"/>
      <c r="AMB35"/>
      <c r="AMC35"/>
      <c r="AMD35"/>
      <c r="AME35"/>
      <c r="AMF35"/>
      <c r="AMG35"/>
      <c r="AMH35"/>
      <c r="AMI35"/>
      <c r="AMJ35"/>
      <c r="AMK35"/>
    </row>
    <row r="36" spans="2:1025" ht="15.95" customHeight="1">
      <c r="B36" s="2"/>
      <c r="C36" s="226"/>
      <c r="D36" s="226"/>
      <c r="E36" s="226"/>
      <c r="F36" s="226"/>
      <c r="ALW36"/>
      <c r="ALX36"/>
      <c r="ALY36"/>
      <c r="ALZ36"/>
      <c r="AMA36"/>
      <c r="AMB36"/>
      <c r="AMC36"/>
      <c r="AMD36"/>
      <c r="AME36"/>
      <c r="AMF36"/>
      <c r="AMG36"/>
      <c r="AMH36"/>
      <c r="AMI36"/>
      <c r="AMJ36"/>
      <c r="AMK36"/>
    </row>
    <row r="37" spans="2:1025" ht="15.95" customHeight="1">
      <c r="B37" s="2"/>
      <c r="C37" s="226"/>
      <c r="D37" s="226"/>
      <c r="E37" s="226"/>
      <c r="F37" s="226"/>
      <c r="ALW37"/>
      <c r="ALX37"/>
      <c r="ALY37"/>
      <c r="ALZ37"/>
      <c r="AMA37"/>
      <c r="AMB37"/>
      <c r="AMC37"/>
      <c r="AMD37"/>
      <c r="AME37"/>
      <c r="AMF37"/>
      <c r="AMG37"/>
      <c r="AMH37"/>
      <c r="AMI37"/>
      <c r="AMJ37"/>
      <c r="AMK37"/>
    </row>
    <row r="38" spans="2:1025" ht="15.95" customHeight="1">
      <c r="B38" s="2"/>
      <c r="C38" s="226"/>
      <c r="D38" s="226"/>
      <c r="E38" s="226"/>
      <c r="F38" s="226"/>
      <c r="ALW38"/>
      <c r="ALX38"/>
      <c r="ALY38"/>
      <c r="ALZ38"/>
      <c r="AMA38"/>
      <c r="AMB38"/>
      <c r="AMC38"/>
      <c r="AMD38"/>
      <c r="AME38"/>
      <c r="AMF38"/>
      <c r="AMG38"/>
      <c r="AMH38"/>
      <c r="AMI38"/>
      <c r="AMJ38"/>
      <c r="AMK38"/>
    </row>
    <row r="39" spans="2:1025" ht="15.95" customHeight="1">
      <c r="ALW39"/>
      <c r="ALX39"/>
      <c r="ALY39"/>
      <c r="ALZ39"/>
      <c r="AMA39"/>
      <c r="AMB39"/>
      <c r="AMC39"/>
      <c r="AMD39"/>
      <c r="AME39"/>
      <c r="AMF39"/>
      <c r="AMG39"/>
      <c r="AMH39"/>
      <c r="AMI39"/>
      <c r="AMJ39"/>
      <c r="AMK39"/>
    </row>
    <row r="40" spans="2:1025" ht="13.5" customHeight="1">
      <c r="B40" s="33"/>
      <c r="C40" s="235" t="s">
        <v>60</v>
      </c>
      <c r="D40" s="235"/>
      <c r="E40" s="235"/>
      <c r="F40" s="235"/>
      <c r="ALW40"/>
      <c r="ALX40"/>
      <c r="ALY40"/>
      <c r="ALZ40"/>
      <c r="AMA40"/>
      <c r="AMB40"/>
      <c r="AMC40"/>
      <c r="AMD40"/>
      <c r="AME40"/>
      <c r="AMF40"/>
      <c r="AMG40"/>
      <c r="AMH40"/>
      <c r="AMI40"/>
      <c r="AMJ40"/>
      <c r="AMK40"/>
    </row>
    <row r="41" spans="2:1025" ht="13.5" customHeight="1">
      <c r="B41" s="34" t="s">
        <v>61</v>
      </c>
      <c r="C41" s="35" t="s">
        <v>62</v>
      </c>
      <c r="D41" s="36" t="s">
        <v>63</v>
      </c>
      <c r="E41" s="199" t="s">
        <v>38</v>
      </c>
      <c r="F41" s="199"/>
      <c r="ALW41"/>
      <c r="ALX41"/>
      <c r="ALY41"/>
      <c r="ALZ41"/>
      <c r="AMA41"/>
      <c r="AMB41"/>
      <c r="AMC41"/>
      <c r="AMD41"/>
      <c r="AME41"/>
      <c r="AMF41"/>
      <c r="AMG41"/>
      <c r="AMH41"/>
      <c r="AMI41"/>
      <c r="AMJ41"/>
      <c r="AMK41"/>
    </row>
    <row r="42" spans="2:1025" ht="14.25" customHeight="1">
      <c r="B42" s="30" t="s">
        <v>6</v>
      </c>
      <c r="C42" s="37" t="s">
        <v>64</v>
      </c>
      <c r="D42" s="38">
        <v>0.2</v>
      </c>
      <c r="E42" s="206">
        <f>ROUND(($D$26+D34)*D42,2)</f>
        <v>321.58999999999997</v>
      </c>
      <c r="F42" s="206"/>
      <c r="ALW42"/>
      <c r="ALX42"/>
      <c r="ALY42"/>
      <c r="ALZ42"/>
      <c r="AMA42"/>
      <c r="AMB42"/>
      <c r="AMC42"/>
      <c r="AMD42"/>
      <c r="AME42"/>
      <c r="AMF42"/>
      <c r="AMG42"/>
      <c r="AMH42"/>
      <c r="AMI42"/>
      <c r="AMJ42"/>
      <c r="AMK42"/>
    </row>
    <row r="43" spans="2:1025" ht="14.25" customHeight="1">
      <c r="B43" s="30" t="s">
        <v>8</v>
      </c>
      <c r="C43" s="39" t="s">
        <v>65</v>
      </c>
      <c r="D43" s="40">
        <v>2.5000000000000001E-2</v>
      </c>
      <c r="E43" s="232">
        <f>ROUND(($D$26+D34)*D43,2)</f>
        <v>40.200000000000003</v>
      </c>
      <c r="F43" s="232"/>
      <c r="ALW43"/>
      <c r="ALX43"/>
      <c r="ALY43"/>
      <c r="ALZ43"/>
      <c r="AMA43"/>
      <c r="AMB43"/>
      <c r="AMC43"/>
      <c r="AMD43"/>
      <c r="AME43"/>
      <c r="AMF43"/>
      <c r="AMG43"/>
      <c r="AMH43"/>
      <c r="AMI43"/>
      <c r="AMJ43"/>
      <c r="AMK43"/>
    </row>
    <row r="44" spans="2:1025" ht="14.25" customHeight="1">
      <c r="B44" s="30" t="s">
        <v>11</v>
      </c>
      <c r="C44" s="41" t="s">
        <v>66</v>
      </c>
      <c r="D44" s="42">
        <v>0.03</v>
      </c>
      <c r="E44" s="233">
        <f>ROUND(($D$26+D34)*D44,2)</f>
        <v>48.24</v>
      </c>
      <c r="F44" s="233"/>
      <c r="ALW44"/>
      <c r="ALX44"/>
      <c r="ALY44"/>
      <c r="ALZ44"/>
      <c r="AMA44"/>
      <c r="AMB44"/>
      <c r="AMC44"/>
      <c r="AMD44"/>
      <c r="AME44"/>
      <c r="AMF44"/>
      <c r="AMG44"/>
      <c r="AMH44"/>
      <c r="AMI44"/>
      <c r="AMJ44"/>
      <c r="AMK44"/>
    </row>
    <row r="45" spans="2:1025" ht="14.25" customHeight="1">
      <c r="B45" s="30" t="s">
        <v>14</v>
      </c>
      <c r="C45" s="39" t="s">
        <v>67</v>
      </c>
      <c r="D45" s="40">
        <v>1.4999999999999999E-2</v>
      </c>
      <c r="E45" s="232">
        <f>ROUND(($D$26+D34)*D45,2)</f>
        <v>24.12</v>
      </c>
      <c r="F45" s="232"/>
      <c r="ALW45"/>
      <c r="ALX45"/>
      <c r="ALY45"/>
      <c r="ALZ45"/>
      <c r="AMA45"/>
      <c r="AMB45"/>
      <c r="AMC45"/>
      <c r="AMD45"/>
      <c r="AME45"/>
      <c r="AMF45"/>
      <c r="AMG45"/>
      <c r="AMH45"/>
      <c r="AMI45"/>
      <c r="AMJ45"/>
      <c r="AMK45"/>
    </row>
    <row r="46" spans="2:1025" ht="14.25" customHeight="1">
      <c r="B46" s="30" t="s">
        <v>43</v>
      </c>
      <c r="C46" s="39" t="s">
        <v>68</v>
      </c>
      <c r="D46" s="40">
        <v>0.01</v>
      </c>
      <c r="E46" s="232">
        <f>ROUND(($D$26+D34)*D46,2)</f>
        <v>16.079999999999998</v>
      </c>
      <c r="F46" s="232"/>
      <c r="ALW46"/>
      <c r="ALX46"/>
      <c r="ALY46"/>
      <c r="ALZ46"/>
      <c r="AMA46"/>
      <c r="AMB46"/>
      <c r="AMC46"/>
      <c r="AMD46"/>
      <c r="AME46"/>
      <c r="AMF46"/>
      <c r="AMG46"/>
      <c r="AMH46"/>
      <c r="AMI46"/>
      <c r="AMJ46"/>
      <c r="AMK46"/>
    </row>
    <row r="47" spans="2:1025" ht="14.25" customHeight="1">
      <c r="B47" s="30" t="s">
        <v>45</v>
      </c>
      <c r="C47" s="39" t="s">
        <v>69</v>
      </c>
      <c r="D47" s="40">
        <v>6.0000000000000001E-3</v>
      </c>
      <c r="E47" s="232">
        <f>ROUND(($D$26+D34)*D47,2)</f>
        <v>9.65</v>
      </c>
      <c r="F47" s="232"/>
      <c r="ALW47"/>
      <c r="ALX47"/>
      <c r="ALY47"/>
      <c r="ALZ47"/>
      <c r="AMA47"/>
      <c r="AMB47"/>
      <c r="AMC47"/>
      <c r="AMD47"/>
      <c r="AME47"/>
      <c r="AMF47"/>
      <c r="AMG47"/>
      <c r="AMH47"/>
      <c r="AMI47"/>
      <c r="AMJ47"/>
      <c r="AMK47"/>
    </row>
    <row r="48" spans="2:1025" ht="14.25" customHeight="1">
      <c r="B48" s="30" t="s">
        <v>47</v>
      </c>
      <c r="C48" s="39" t="s">
        <v>70</v>
      </c>
      <c r="D48" s="40">
        <v>2E-3</v>
      </c>
      <c r="E48" s="232">
        <f>ROUND(($D$26+D34)*D48,2)</f>
        <v>3.22</v>
      </c>
      <c r="F48" s="232"/>
      <c r="ALW48"/>
      <c r="ALX48"/>
      <c r="ALY48"/>
      <c r="ALZ48"/>
      <c r="AMA48"/>
      <c r="AMB48"/>
      <c r="AMC48"/>
      <c r="AMD48"/>
      <c r="AME48"/>
      <c r="AMF48"/>
      <c r="AMG48"/>
      <c r="AMH48"/>
      <c r="AMI48"/>
      <c r="AMJ48"/>
      <c r="AMK48"/>
    </row>
    <row r="49" spans="2:1025" ht="14.25" customHeight="1">
      <c r="B49" s="30" t="s">
        <v>71</v>
      </c>
      <c r="C49" s="41" t="s">
        <v>72</v>
      </c>
      <c r="D49" s="43">
        <v>0.08</v>
      </c>
      <c r="E49" s="201">
        <f>ROUND(($D$26+D34)*D49,2)</f>
        <v>128.63999999999999</v>
      </c>
      <c r="F49" s="201"/>
      <c r="ALW49"/>
      <c r="ALX49"/>
      <c r="ALY49"/>
      <c r="ALZ49"/>
      <c r="AMA49"/>
      <c r="AMB49"/>
      <c r="AMC49"/>
      <c r="AMD49"/>
      <c r="AME49"/>
      <c r="AMF49"/>
      <c r="AMG49"/>
      <c r="AMH49"/>
      <c r="AMI49"/>
      <c r="AMJ49"/>
      <c r="AMK49"/>
    </row>
    <row r="50" spans="2:1025" ht="14.25" customHeight="1">
      <c r="B50" s="44"/>
      <c r="C50" s="45" t="s">
        <v>73</v>
      </c>
      <c r="D50" s="46">
        <f>SUM(D42:D49)</f>
        <v>0.36800000000000005</v>
      </c>
      <c r="E50" s="202">
        <f>SUM(E42:F49)</f>
        <v>591.74</v>
      </c>
      <c r="F50" s="202"/>
      <c r="ALW50"/>
      <c r="ALX50"/>
      <c r="ALY50"/>
      <c r="ALZ50"/>
      <c r="AMA50"/>
      <c r="AMB50"/>
      <c r="AMC50"/>
      <c r="AMD50"/>
      <c r="AME50"/>
      <c r="AMF50"/>
      <c r="AMG50"/>
      <c r="AMH50"/>
      <c r="AMI50"/>
      <c r="AMJ50"/>
      <c r="AMK50"/>
    </row>
    <row r="51" spans="2:1025" ht="14.25" customHeight="1">
      <c r="C51" s="47" t="s">
        <v>74</v>
      </c>
      <c r="ALW51"/>
      <c r="ALX51"/>
      <c r="ALY51"/>
      <c r="ALZ51"/>
      <c r="AMA51"/>
      <c r="AMB51"/>
      <c r="AMC51"/>
      <c r="AMD51"/>
      <c r="AME51"/>
      <c r="AMF51"/>
      <c r="AMG51"/>
      <c r="AMH51"/>
      <c r="AMI51"/>
      <c r="AMJ51"/>
      <c r="AMK51"/>
    </row>
    <row r="52" spans="2:1025" ht="14.25" customHeight="1">
      <c r="C52" s="47"/>
      <c r="ALW52"/>
      <c r="ALX52"/>
      <c r="ALY52"/>
      <c r="ALZ52"/>
      <c r="AMA52"/>
      <c r="AMB52"/>
      <c r="AMC52"/>
      <c r="AMD52"/>
      <c r="AME52"/>
      <c r="AMF52"/>
      <c r="AMG52"/>
      <c r="AMH52"/>
      <c r="AMI52"/>
      <c r="AMJ52"/>
      <c r="AMK52"/>
    </row>
    <row r="53" spans="2:1025" ht="14.25" customHeight="1">
      <c r="B53" s="22"/>
      <c r="C53" s="229" t="s">
        <v>75</v>
      </c>
      <c r="D53" s="229"/>
      <c r="E53" s="229"/>
      <c r="F53" s="229"/>
      <c r="ALW53"/>
      <c r="ALX53"/>
      <c r="ALY53"/>
      <c r="ALZ53"/>
      <c r="AMA53"/>
      <c r="AMB53"/>
      <c r="AMC53"/>
      <c r="AMD53"/>
      <c r="AME53"/>
      <c r="AMF53"/>
      <c r="AMG53"/>
      <c r="AMH53"/>
      <c r="AMI53"/>
      <c r="AMJ53"/>
      <c r="AMK53"/>
    </row>
    <row r="54" spans="2:1025" ht="14.25" customHeight="1">
      <c r="B54" s="34" t="s">
        <v>76</v>
      </c>
      <c r="C54" s="48" t="s">
        <v>77</v>
      </c>
      <c r="D54" s="230" t="s">
        <v>38</v>
      </c>
      <c r="E54" s="230"/>
      <c r="F54" s="230"/>
      <c r="ALW54"/>
      <c r="ALX54"/>
      <c r="ALY54"/>
      <c r="ALZ54"/>
      <c r="AMA54"/>
      <c r="AMB54"/>
      <c r="AMC54"/>
      <c r="AMD54"/>
      <c r="AME54"/>
      <c r="AMF54"/>
      <c r="AMG54"/>
      <c r="AMH54"/>
      <c r="AMI54"/>
      <c r="AMJ54"/>
      <c r="AMK54"/>
    </row>
    <row r="55" spans="2:1025" ht="14.25" customHeight="1">
      <c r="B55" s="30" t="s">
        <v>6</v>
      </c>
      <c r="C55" s="49" t="s">
        <v>78</v>
      </c>
      <c r="D55" s="231">
        <f>ROUND(4.2*2*D10-(D19*0.06),2)</f>
        <v>100.14</v>
      </c>
      <c r="E55" s="231"/>
      <c r="F55" s="231"/>
      <c r="ALW55"/>
      <c r="ALX55"/>
      <c r="ALY55"/>
      <c r="ALZ55"/>
      <c r="AMA55"/>
      <c r="AMB55"/>
      <c r="AMC55"/>
      <c r="AMD55"/>
      <c r="AME55"/>
      <c r="AMF55"/>
      <c r="AMG55"/>
      <c r="AMH55"/>
      <c r="AMI55"/>
      <c r="AMJ55"/>
      <c r="AMK55"/>
    </row>
    <row r="56" spans="2:1025" ht="14.25" customHeight="1">
      <c r="B56" s="30" t="s">
        <v>8</v>
      </c>
      <c r="C56" s="50" t="s">
        <v>79</v>
      </c>
      <c r="D56" s="210">
        <f>ROUND((17.99*22)*(1-0.035),2)</f>
        <v>381.93</v>
      </c>
      <c r="E56" s="210"/>
      <c r="F56" s="210"/>
      <c r="ALW56"/>
      <c r="ALX56"/>
      <c r="ALY56"/>
      <c r="ALZ56"/>
      <c r="AMA56"/>
      <c r="AMB56"/>
      <c r="AMC56"/>
      <c r="AMD56"/>
      <c r="AME56"/>
      <c r="AMF56"/>
      <c r="AMG56"/>
      <c r="AMH56"/>
      <c r="AMI56"/>
      <c r="AMJ56"/>
      <c r="AMK56"/>
    </row>
    <row r="57" spans="2:1025" ht="14.25" customHeight="1">
      <c r="B57" s="30" t="s">
        <v>11</v>
      </c>
      <c r="C57" s="118" t="s">
        <v>80</v>
      </c>
      <c r="D57" s="210">
        <v>83.3</v>
      </c>
      <c r="E57" s="210"/>
      <c r="F57" s="210"/>
      <c r="ALW57"/>
      <c r="ALX57"/>
      <c r="ALY57"/>
      <c r="ALZ57"/>
      <c r="AMA57"/>
      <c r="AMB57"/>
      <c r="AMC57"/>
      <c r="AMD57"/>
      <c r="AME57"/>
      <c r="AMF57"/>
      <c r="AMG57"/>
      <c r="AMH57"/>
      <c r="AMI57"/>
      <c r="AMJ57"/>
      <c r="AMK57"/>
    </row>
    <row r="58" spans="2:1025" ht="14.25" customHeight="1">
      <c r="B58" s="30" t="s">
        <v>14</v>
      </c>
      <c r="C58" s="118" t="s">
        <v>81</v>
      </c>
      <c r="D58" s="210">
        <f>ROUND(((246.63*6)/12)*0.0624*0.75,2)</f>
        <v>5.77</v>
      </c>
      <c r="E58" s="210"/>
      <c r="F58" s="210"/>
      <c r="ALW58"/>
      <c r="ALX58"/>
      <c r="ALY58"/>
      <c r="ALZ58"/>
      <c r="AMA58"/>
      <c r="AMB58"/>
      <c r="AMC58"/>
      <c r="AMD58"/>
      <c r="AME58"/>
      <c r="AMF58"/>
      <c r="AMG58"/>
      <c r="AMH58"/>
      <c r="AMI58"/>
      <c r="AMJ58"/>
      <c r="AMK58"/>
    </row>
    <row r="59" spans="2:1025" ht="14.25" customHeight="1">
      <c r="B59" s="30" t="s">
        <v>43</v>
      </c>
      <c r="C59" s="118" t="s">
        <v>82</v>
      </c>
      <c r="D59" s="210">
        <v>5</v>
      </c>
      <c r="E59" s="210"/>
      <c r="F59" s="210"/>
      <c r="ALW59"/>
      <c r="ALX59"/>
      <c r="ALY59"/>
      <c r="ALZ59"/>
      <c r="AMA59"/>
      <c r="AMB59"/>
      <c r="AMC59"/>
      <c r="AMD59"/>
      <c r="AME59"/>
      <c r="AMF59"/>
      <c r="AMG59"/>
      <c r="AMH59"/>
      <c r="AMI59"/>
      <c r="AMJ59"/>
      <c r="AMK59"/>
    </row>
    <row r="60" spans="2:1025" ht="14.25" customHeight="1">
      <c r="B60" s="30" t="s">
        <v>45</v>
      </c>
      <c r="C60" s="51" t="s">
        <v>83</v>
      </c>
      <c r="D60" s="210">
        <v>3</v>
      </c>
      <c r="E60" s="210"/>
      <c r="F60" s="210"/>
      <c r="ALW60"/>
      <c r="ALX60"/>
      <c r="ALY60"/>
      <c r="ALZ60"/>
      <c r="AMA60"/>
      <c r="AMB60"/>
      <c r="AMC60"/>
      <c r="AMD60"/>
      <c r="AME60"/>
      <c r="AMF60"/>
      <c r="AMG60"/>
      <c r="AMH60"/>
      <c r="AMI60"/>
      <c r="AMJ60"/>
      <c r="AMK60"/>
    </row>
    <row r="61" spans="2:1025" ht="14.25" customHeight="1">
      <c r="B61" s="30" t="s">
        <v>47</v>
      </c>
      <c r="C61" s="50" t="s">
        <v>84</v>
      </c>
      <c r="D61" s="210">
        <v>8</v>
      </c>
      <c r="E61" s="210"/>
      <c r="F61" s="210"/>
      <c r="ALW61"/>
      <c r="ALX61"/>
      <c r="ALY61"/>
      <c r="ALZ61"/>
      <c r="AMA61"/>
      <c r="AMB61"/>
      <c r="AMC61"/>
      <c r="AMD61"/>
      <c r="AME61"/>
      <c r="AMF61"/>
      <c r="AMG61"/>
      <c r="AMH61"/>
      <c r="AMI61"/>
      <c r="AMJ61"/>
      <c r="AMK61"/>
    </row>
    <row r="62" spans="2:1025" ht="14.25" customHeight="1">
      <c r="B62" s="44"/>
      <c r="C62" s="52" t="s">
        <v>85</v>
      </c>
      <c r="D62" s="228">
        <f>SUM(D55:F61)</f>
        <v>587.14</v>
      </c>
      <c r="E62" s="228"/>
      <c r="F62" s="228"/>
      <c r="ALW62"/>
      <c r="ALX62"/>
      <c r="ALY62"/>
      <c r="ALZ62"/>
      <c r="AMA62"/>
      <c r="AMB62"/>
      <c r="AMC62"/>
      <c r="AMD62"/>
      <c r="AME62"/>
      <c r="AMF62"/>
      <c r="AMG62"/>
      <c r="AMH62"/>
      <c r="AMI62"/>
      <c r="AMJ62"/>
      <c r="AMK62"/>
    </row>
    <row r="63" spans="2:1025" ht="14.25" customHeight="1">
      <c r="C63" s="225" t="s">
        <v>86</v>
      </c>
      <c r="D63" s="225"/>
      <c r="E63" s="225"/>
      <c r="F63" s="225"/>
      <c r="ALW63"/>
      <c r="ALX63"/>
      <c r="ALY63"/>
      <c r="ALZ63"/>
      <c r="AMA63"/>
      <c r="AMB63"/>
      <c r="AMC63"/>
      <c r="AMD63"/>
      <c r="AME63"/>
      <c r="AMF63"/>
      <c r="AMG63"/>
      <c r="AMH63"/>
      <c r="AMI63"/>
      <c r="AMJ63"/>
      <c r="AMK63"/>
    </row>
    <row r="64" spans="2:1025" ht="14.25" customHeight="1">
      <c r="C64" s="226"/>
      <c r="D64" s="226"/>
      <c r="E64" s="226"/>
      <c r="F64" s="226"/>
      <c r="ALW64"/>
      <c r="ALX64"/>
      <c r="ALY64"/>
      <c r="ALZ64"/>
      <c r="AMA64"/>
      <c r="AMB64"/>
      <c r="AMC64"/>
      <c r="AMD64"/>
      <c r="AME64"/>
      <c r="AMF64"/>
      <c r="AMG64"/>
      <c r="AMH64"/>
      <c r="AMI64"/>
      <c r="AMJ64"/>
      <c r="AMK64"/>
    </row>
    <row r="65" spans="2:1025" ht="14.25" customHeight="1">
      <c r="C65" s="226"/>
      <c r="D65" s="226"/>
      <c r="E65" s="226"/>
      <c r="F65" s="226"/>
      <c r="ALW65"/>
      <c r="ALX65"/>
      <c r="ALY65"/>
      <c r="ALZ65"/>
      <c r="AMA65"/>
      <c r="AMB65"/>
      <c r="AMC65"/>
      <c r="AMD65"/>
      <c r="AME65"/>
      <c r="AMF65"/>
      <c r="AMG65"/>
      <c r="AMH65"/>
      <c r="AMI65"/>
      <c r="AMJ65"/>
      <c r="AMK65"/>
    </row>
    <row r="66" spans="2:1025" ht="14.25" customHeight="1">
      <c r="C66" s="226"/>
      <c r="D66" s="226"/>
      <c r="E66" s="226"/>
      <c r="F66" s="226"/>
      <c r="ALW66"/>
      <c r="ALX66"/>
      <c r="ALY66"/>
      <c r="ALZ66"/>
      <c r="AMA66"/>
      <c r="AMB66"/>
      <c r="AMC66"/>
      <c r="AMD66"/>
      <c r="AME66"/>
      <c r="AMF66"/>
      <c r="AMG66"/>
      <c r="AMH66"/>
      <c r="AMI66"/>
      <c r="AMJ66"/>
      <c r="AMK66"/>
    </row>
    <row r="67" spans="2:1025" ht="14.25" customHeight="1">
      <c r="B67" s="55"/>
      <c r="C67" s="212" t="s">
        <v>87</v>
      </c>
      <c r="D67" s="212"/>
      <c r="E67" s="212"/>
      <c r="F67" s="212"/>
      <c r="ALW67"/>
      <c r="ALX67"/>
      <c r="ALY67"/>
      <c r="ALZ67"/>
      <c r="AMA67"/>
      <c r="AMB67"/>
      <c r="AMC67"/>
      <c r="AMD67"/>
      <c r="AME67"/>
      <c r="AMF67"/>
      <c r="AMG67"/>
      <c r="AMH67"/>
      <c r="AMI67"/>
      <c r="AMJ67"/>
      <c r="AMK67"/>
    </row>
    <row r="68" spans="2:1025" ht="14.25" customHeight="1">
      <c r="B68" s="57">
        <v>2</v>
      </c>
      <c r="C68" s="58" t="s">
        <v>88</v>
      </c>
      <c r="D68" s="213" t="s">
        <v>54</v>
      </c>
      <c r="E68" s="213"/>
      <c r="F68" s="213"/>
      <c r="ALW68"/>
      <c r="ALX68"/>
      <c r="ALY68"/>
      <c r="ALZ68"/>
      <c r="AMA68"/>
      <c r="AMB68"/>
      <c r="AMC68"/>
      <c r="AMD68"/>
      <c r="AME68"/>
      <c r="AMF68"/>
      <c r="AMG68"/>
      <c r="AMH68"/>
      <c r="AMI68"/>
      <c r="AMJ68"/>
      <c r="AMK68"/>
    </row>
    <row r="69" spans="2:1025" ht="14.25" customHeight="1">
      <c r="B69" s="59" t="s">
        <v>52</v>
      </c>
      <c r="C69" s="60" t="s">
        <v>53</v>
      </c>
      <c r="D69" s="214">
        <f>D34</f>
        <v>160.80000000000001</v>
      </c>
      <c r="E69" s="214"/>
      <c r="F69" s="214"/>
      <c r="ALW69"/>
      <c r="ALX69"/>
      <c r="ALY69"/>
      <c r="ALZ69"/>
      <c r="AMA69"/>
      <c r="AMB69"/>
      <c r="AMC69"/>
      <c r="AMD69"/>
      <c r="AME69"/>
      <c r="AMF69"/>
      <c r="AMG69"/>
      <c r="AMH69"/>
      <c r="AMI69"/>
      <c r="AMJ69"/>
      <c r="AMK69"/>
    </row>
    <row r="70" spans="2:1025" ht="14.25" customHeight="1">
      <c r="B70" s="61" t="s">
        <v>61</v>
      </c>
      <c r="C70" s="62" t="s">
        <v>62</v>
      </c>
      <c r="D70" s="215">
        <f>E50</f>
        <v>591.74</v>
      </c>
      <c r="E70" s="215"/>
      <c r="F70" s="215"/>
      <c r="ALW70"/>
      <c r="ALX70"/>
      <c r="ALY70"/>
      <c r="ALZ70"/>
      <c r="AMA70"/>
      <c r="AMB70"/>
      <c r="AMC70"/>
      <c r="AMD70"/>
      <c r="AME70"/>
      <c r="AMF70"/>
      <c r="AMG70"/>
      <c r="AMH70"/>
      <c r="AMI70"/>
      <c r="AMJ70"/>
      <c r="AMK70"/>
    </row>
    <row r="71" spans="2:1025" ht="14.25" customHeight="1">
      <c r="B71" s="63" t="s">
        <v>76</v>
      </c>
      <c r="C71" s="64" t="s">
        <v>77</v>
      </c>
      <c r="D71" s="227">
        <f>D62</f>
        <v>587.14</v>
      </c>
      <c r="E71" s="227"/>
      <c r="F71" s="227"/>
      <c r="ALW71"/>
      <c r="ALX71"/>
      <c r="ALY71"/>
      <c r="ALZ71"/>
      <c r="AMA71"/>
      <c r="AMB71"/>
      <c r="AMC71"/>
      <c r="AMD71"/>
      <c r="AME71"/>
      <c r="AMF71"/>
      <c r="AMG71"/>
      <c r="AMH71"/>
      <c r="AMI71"/>
      <c r="AMJ71"/>
      <c r="AMK71"/>
    </row>
    <row r="72" spans="2:1025" ht="14.25" customHeight="1">
      <c r="B72" s="55"/>
      <c r="C72" s="56" t="s">
        <v>58</v>
      </c>
      <c r="D72" s="223">
        <f>SUM(D69:F71)</f>
        <v>1339.6799999999998</v>
      </c>
      <c r="E72" s="223"/>
      <c r="F72" s="223"/>
      <c r="ALW72"/>
      <c r="ALX72"/>
      <c r="ALY72"/>
      <c r="ALZ72"/>
      <c r="AMA72"/>
      <c r="AMB72"/>
      <c r="AMC72"/>
      <c r="AMD72"/>
      <c r="AME72"/>
      <c r="AMF72"/>
      <c r="AMG72"/>
      <c r="AMH72"/>
      <c r="AMI72"/>
      <c r="AMJ72"/>
      <c r="AMK72"/>
    </row>
    <row r="73" spans="2:1025" ht="14.25" customHeight="1">
      <c r="C73" s="53"/>
      <c r="D73" s="54"/>
      <c r="E73" s="54"/>
      <c r="F73" s="54"/>
      <c r="ALW73"/>
      <c r="ALX73"/>
      <c r="ALY73"/>
      <c r="ALZ73"/>
      <c r="AMA73"/>
      <c r="AMB73"/>
      <c r="AMC73"/>
      <c r="AMD73"/>
      <c r="AME73"/>
      <c r="AMF73"/>
      <c r="AMG73"/>
      <c r="AMH73"/>
      <c r="AMI73"/>
      <c r="AMJ73"/>
      <c r="AMK73"/>
    </row>
    <row r="74" spans="2:1025" ht="14.25" customHeight="1">
      <c r="B74" s="14"/>
      <c r="C74" s="212" t="s">
        <v>89</v>
      </c>
      <c r="D74" s="212"/>
      <c r="E74" s="212"/>
      <c r="F74" s="212"/>
      <c r="ALW74"/>
      <c r="ALX74"/>
      <c r="ALY74"/>
      <c r="ALZ74"/>
      <c r="AMA74"/>
      <c r="AMB74"/>
      <c r="AMC74"/>
      <c r="AMD74"/>
      <c r="AME74"/>
      <c r="AMF74"/>
      <c r="AMG74"/>
      <c r="AMH74"/>
      <c r="AMI74"/>
      <c r="AMJ74"/>
      <c r="AMK74"/>
    </row>
    <row r="75" spans="2:1025" ht="14.25" customHeight="1">
      <c r="B75" s="15">
        <v>3</v>
      </c>
      <c r="C75" s="65" t="s">
        <v>90</v>
      </c>
      <c r="D75" s="224" t="s">
        <v>38</v>
      </c>
      <c r="E75" s="224"/>
      <c r="F75" s="224"/>
      <c r="ALW75"/>
      <c r="ALX75"/>
      <c r="ALY75"/>
      <c r="ALZ75"/>
      <c r="AMA75"/>
      <c r="AMB75"/>
      <c r="AMC75"/>
      <c r="AMD75"/>
      <c r="AME75"/>
      <c r="AMF75"/>
      <c r="AMG75"/>
      <c r="AMH75"/>
      <c r="AMI75"/>
      <c r="AMJ75"/>
      <c r="AMK75"/>
    </row>
    <row r="76" spans="2:1025" ht="14.25" customHeight="1">
      <c r="B76" s="17" t="s">
        <v>6</v>
      </c>
      <c r="C76" s="66" t="s">
        <v>91</v>
      </c>
      <c r="D76" s="206">
        <f>ROUND(((D26+D69)/12)*0.4921,2)</f>
        <v>65.94</v>
      </c>
      <c r="E76" s="206"/>
      <c r="F76" s="206"/>
      <c r="H76" s="117"/>
      <c r="ALW76"/>
      <c r="ALX76"/>
      <c r="ALY76"/>
      <c r="ALZ76"/>
      <c r="AMA76"/>
      <c r="AMB76"/>
      <c r="AMC76"/>
      <c r="AMD76"/>
      <c r="AME76"/>
      <c r="AMF76"/>
      <c r="AMG76"/>
      <c r="AMH76"/>
      <c r="AMI76"/>
      <c r="AMJ76"/>
      <c r="AMK76"/>
    </row>
    <row r="77" spans="2:1025" ht="14.25" customHeight="1">
      <c r="B77" s="17" t="s">
        <v>8</v>
      </c>
      <c r="C77" s="67" t="s">
        <v>92</v>
      </c>
      <c r="D77" s="201">
        <f>ROUND(D76*D49,2)</f>
        <v>5.28</v>
      </c>
      <c r="E77" s="201"/>
      <c r="F77" s="201"/>
    </row>
    <row r="78" spans="2:1025" ht="14.25" customHeight="1">
      <c r="B78" s="17" t="s">
        <v>11</v>
      </c>
      <c r="C78" s="67" t="s">
        <v>93</v>
      </c>
      <c r="D78" s="201">
        <f>ROUND(($D$26+$D$69)*0.4*0.08*0.2426,2)</f>
        <v>12.48</v>
      </c>
      <c r="E78" s="201"/>
      <c r="F78" s="201"/>
    </row>
    <row r="79" spans="2:1025" ht="14.25" customHeight="1">
      <c r="B79" s="17" t="s">
        <v>14</v>
      </c>
      <c r="C79" s="67" t="s">
        <v>94</v>
      </c>
      <c r="D79" s="201">
        <f>ROUND((((D26+D72)/12)*0.4921)*7/30,2)</f>
        <v>26.67</v>
      </c>
      <c r="E79" s="201"/>
      <c r="F79" s="201"/>
    </row>
    <row r="80" spans="2:1025" ht="14.25" customHeight="1">
      <c r="B80" s="17" t="s">
        <v>43</v>
      </c>
      <c r="C80" s="67" t="s">
        <v>95</v>
      </c>
      <c r="D80" s="201">
        <f>ROUND(D79*D50,2)</f>
        <v>9.81</v>
      </c>
      <c r="E80" s="201"/>
      <c r="F80" s="201"/>
    </row>
    <row r="81" spans="2:10" ht="14.25" customHeight="1">
      <c r="B81" s="17" t="s">
        <v>45</v>
      </c>
      <c r="C81" s="67" t="s">
        <v>96</v>
      </c>
      <c r="D81" s="201">
        <f>ROUND(($D$26+$D$72)*0.4*0.08*0.2426,2)</f>
        <v>21.63</v>
      </c>
      <c r="E81" s="201"/>
      <c r="F81" s="201"/>
    </row>
    <row r="82" spans="2:10" ht="14.25" customHeight="1">
      <c r="B82" s="17" t="s">
        <v>47</v>
      </c>
      <c r="C82" s="67" t="s">
        <v>97</v>
      </c>
      <c r="D82" s="220">
        <f>ROUND(D69*(-1)*0.0158,2)</f>
        <v>-2.54</v>
      </c>
      <c r="E82" s="220"/>
      <c r="F82" s="220"/>
    </row>
    <row r="83" spans="2:10" ht="14.25" customHeight="1">
      <c r="B83" s="20"/>
      <c r="C83" s="68" t="s">
        <v>73</v>
      </c>
      <c r="D83" s="202">
        <f>SUM(D76:F82)</f>
        <v>139.27000000000001</v>
      </c>
      <c r="E83" s="202"/>
      <c r="F83" s="202"/>
    </row>
    <row r="84" spans="2:10" ht="36.75" customHeight="1">
      <c r="C84" s="221" t="s">
        <v>98</v>
      </c>
      <c r="D84" s="221"/>
      <c r="E84" s="221"/>
      <c r="F84" s="221"/>
    </row>
    <row r="85" spans="2:10" ht="14.25" customHeight="1">
      <c r="C85" s="222"/>
      <c r="D85" s="222"/>
      <c r="E85" s="222"/>
      <c r="F85" s="222"/>
    </row>
    <row r="86" spans="2:10" ht="14.25" customHeight="1">
      <c r="C86" s="222"/>
      <c r="D86" s="222"/>
      <c r="E86" s="222"/>
      <c r="F86" s="222"/>
    </row>
    <row r="87" spans="2:10" ht="14.25" customHeight="1">
      <c r="C87" s="222"/>
      <c r="D87" s="222"/>
      <c r="E87" s="222"/>
      <c r="F87" s="222"/>
    </row>
    <row r="88" spans="2:10" ht="26.25" customHeight="1">
      <c r="C88" s="222"/>
      <c r="D88" s="222"/>
      <c r="E88" s="222"/>
      <c r="F88" s="222"/>
    </row>
    <row r="89" spans="2:10" ht="14.25" customHeight="1"/>
    <row r="90" spans="2:10" ht="14.25" customHeight="1">
      <c r="B90" s="69"/>
      <c r="C90" s="205" t="s">
        <v>99</v>
      </c>
      <c r="D90" s="205"/>
      <c r="E90" s="205"/>
      <c r="F90" s="205"/>
    </row>
    <row r="91" spans="2:10" ht="14.25" customHeight="1">
      <c r="B91" s="70"/>
      <c r="C91" s="216" t="s">
        <v>100</v>
      </c>
      <c r="D91" s="216"/>
      <c r="E91" s="216"/>
      <c r="F91" s="216"/>
    </row>
    <row r="92" spans="2:10" ht="14.25" customHeight="1">
      <c r="B92" s="71" t="s">
        <v>101</v>
      </c>
      <c r="C92" s="65" t="s">
        <v>102</v>
      </c>
      <c r="D92" s="199" t="s">
        <v>38</v>
      </c>
      <c r="E92" s="199"/>
      <c r="F92" s="199"/>
    </row>
    <row r="93" spans="2:10" ht="14.25" customHeight="1">
      <c r="B93" s="17" t="s">
        <v>6</v>
      </c>
      <c r="C93" s="67" t="s">
        <v>103</v>
      </c>
      <c r="D93" s="201">
        <f>ROUND((D26+D34+D31+D62+D83)/11,2)</f>
        <v>223.18</v>
      </c>
      <c r="E93" s="201"/>
      <c r="F93" s="201"/>
      <c r="I93" s="117"/>
      <c r="J93" s="117"/>
    </row>
    <row r="94" spans="2:10" ht="14.25" customHeight="1">
      <c r="B94" s="17" t="s">
        <v>8</v>
      </c>
      <c r="C94" s="67" t="s">
        <v>102</v>
      </c>
      <c r="D94" s="201">
        <f>ROUND((((D$26+D$34+D31+D$62+D$83)/30)*1)/12,2)</f>
        <v>6.82</v>
      </c>
      <c r="E94" s="201"/>
      <c r="F94" s="201"/>
    </row>
    <row r="95" spans="2:10" ht="14.25" customHeight="1">
      <c r="B95" s="17" t="s">
        <v>11</v>
      </c>
      <c r="C95" s="67" t="s">
        <v>104</v>
      </c>
      <c r="D95" s="201">
        <f>ROUND((((((D$26+D$34+D$31+D$62+D$83)/30)*5)/12)*0.0624)*0.25,2)</f>
        <v>0.53</v>
      </c>
      <c r="E95" s="201"/>
      <c r="F95" s="201"/>
    </row>
    <row r="96" spans="2:10" ht="14.25" customHeight="1">
      <c r="B96" s="17" t="s">
        <v>14</v>
      </c>
      <c r="C96" s="67" t="s">
        <v>105</v>
      </c>
      <c r="D96" s="201">
        <f>ROUND((((D$26+D$34+D$31+D$62+D$83)/30)*0.91)/12,2)</f>
        <v>6.21</v>
      </c>
      <c r="E96" s="201"/>
      <c r="F96" s="201"/>
    </row>
    <row r="97" spans="2:7" ht="14.25" customHeight="1">
      <c r="B97" s="17" t="s">
        <v>45</v>
      </c>
      <c r="C97" s="67" t="s">
        <v>106</v>
      </c>
      <c r="D97" s="201">
        <f>ROUND((((D$26+D$34+D$31+D$62+D$83)/30)*5.96)/12,2)</f>
        <v>40.64</v>
      </c>
      <c r="E97" s="201"/>
      <c r="F97" s="201"/>
    </row>
    <row r="98" spans="2:7" ht="14.25" customHeight="1">
      <c r="B98" s="17" t="s">
        <v>47</v>
      </c>
      <c r="C98" s="67" t="s">
        <v>48</v>
      </c>
      <c r="D98" s="201">
        <v>0</v>
      </c>
      <c r="E98" s="201"/>
      <c r="F98" s="201"/>
      <c r="G98" s="72"/>
    </row>
    <row r="99" spans="2:7" ht="14.25" customHeight="1">
      <c r="B99" s="20"/>
      <c r="C99" s="68" t="s">
        <v>73</v>
      </c>
      <c r="D99" s="202">
        <f>SUM(D93:F98)</f>
        <v>277.38</v>
      </c>
      <c r="E99" s="202"/>
      <c r="F99" s="202"/>
    </row>
    <row r="100" spans="2:7" ht="14.25" customHeight="1"/>
    <row r="101" spans="2:7" ht="14.25" customHeight="1">
      <c r="B101" s="73"/>
      <c r="C101" s="216" t="s">
        <v>107</v>
      </c>
      <c r="D101" s="216"/>
      <c r="E101" s="216"/>
      <c r="F101" s="216"/>
    </row>
    <row r="102" spans="2:7" ht="14.25" customHeight="1">
      <c r="B102" s="74" t="s">
        <v>108</v>
      </c>
      <c r="C102" s="75" t="s">
        <v>109</v>
      </c>
      <c r="D102" s="217" t="s">
        <v>38</v>
      </c>
      <c r="E102" s="218"/>
      <c r="F102" s="219"/>
    </row>
    <row r="103" spans="2:7" ht="14.25" customHeight="1">
      <c r="B103" s="76" t="s">
        <v>6</v>
      </c>
      <c r="C103" s="77" t="s">
        <v>110</v>
      </c>
      <c r="D103" s="201">
        <v>0</v>
      </c>
      <c r="E103" s="201"/>
      <c r="F103" s="201"/>
    </row>
    <row r="104" spans="2:7" ht="14.25" customHeight="1">
      <c r="B104" s="73"/>
      <c r="C104" s="78" t="s">
        <v>73</v>
      </c>
      <c r="D104" s="211">
        <f>SUM(D103)</f>
        <v>0</v>
      </c>
      <c r="E104" s="211"/>
      <c r="F104" s="211"/>
      <c r="G104" s="72"/>
    </row>
    <row r="105" spans="2:7" ht="14.25" customHeight="1"/>
    <row r="106" spans="2:7" ht="14.25" customHeight="1">
      <c r="B106" s="55"/>
      <c r="C106" s="212" t="s">
        <v>111</v>
      </c>
      <c r="D106" s="212"/>
      <c r="E106" s="212"/>
      <c r="F106" s="212"/>
    </row>
    <row r="107" spans="2:7" ht="14.25" customHeight="1">
      <c r="B107" s="79">
        <v>4</v>
      </c>
      <c r="C107" s="58" t="s">
        <v>112</v>
      </c>
      <c r="D107" s="213" t="s">
        <v>54</v>
      </c>
      <c r="E107" s="213"/>
      <c r="F107" s="213"/>
    </row>
    <row r="108" spans="2:7" s="80" customFormat="1" ht="15" customHeight="1">
      <c r="B108" s="59" t="s">
        <v>101</v>
      </c>
      <c r="C108" s="60" t="s">
        <v>102</v>
      </c>
      <c r="D108" s="214">
        <f>D99</f>
        <v>277.38</v>
      </c>
      <c r="E108" s="214"/>
      <c r="F108" s="214"/>
      <c r="G108" s="81"/>
    </row>
    <row r="109" spans="2:7" ht="15" customHeight="1">
      <c r="B109" s="61" t="s">
        <v>108</v>
      </c>
      <c r="C109" s="62" t="s">
        <v>109</v>
      </c>
      <c r="D109" s="215">
        <f>D104</f>
        <v>0</v>
      </c>
      <c r="E109" s="215"/>
      <c r="F109" s="215"/>
    </row>
    <row r="110" spans="2:7" ht="15" customHeight="1">
      <c r="B110" s="55"/>
      <c r="C110" s="82" t="s">
        <v>58</v>
      </c>
      <c r="D110" s="207">
        <f>SUM(D108:F109)</f>
        <v>277.38</v>
      </c>
      <c r="E110" s="207"/>
      <c r="F110" s="207"/>
    </row>
    <row r="111" spans="2:7" s="1" customFormat="1" ht="15" customHeight="1"/>
    <row r="112" spans="2:7" s="1" customFormat="1" ht="15" customHeight="1">
      <c r="B112" s="83"/>
      <c r="C112" s="205" t="s">
        <v>113</v>
      </c>
      <c r="D112" s="205"/>
      <c r="E112" s="205"/>
      <c r="F112" s="205"/>
    </row>
    <row r="113" spans="2:6" s="1" customFormat="1" ht="15" customHeight="1">
      <c r="B113" s="84">
        <v>5</v>
      </c>
      <c r="C113" s="85" t="s">
        <v>114</v>
      </c>
      <c r="D113" s="208" t="s">
        <v>38</v>
      </c>
      <c r="E113" s="208"/>
      <c r="F113" s="208"/>
    </row>
    <row r="114" spans="2:6" s="1" customFormat="1" ht="15" customHeight="1">
      <c r="B114" s="86" t="s">
        <v>6</v>
      </c>
      <c r="C114" s="87" t="s">
        <v>115</v>
      </c>
      <c r="D114" s="209">
        <f>Uniformes!E10</f>
        <v>28.565000000000001</v>
      </c>
      <c r="E114" s="209"/>
      <c r="F114" s="209"/>
    </row>
    <row r="115" spans="2:6" s="1" customFormat="1" ht="15" customHeight="1">
      <c r="B115" s="86" t="s">
        <v>8</v>
      </c>
      <c r="C115" s="88" t="s">
        <v>116</v>
      </c>
      <c r="D115" s="210">
        <v>266.88</v>
      </c>
      <c r="E115" s="210"/>
      <c r="F115" s="210"/>
    </row>
    <row r="116" spans="2:6" s="1" customFormat="1" ht="15" customHeight="1">
      <c r="B116" s="86" t="s">
        <v>11</v>
      </c>
      <c r="C116" s="88" t="s">
        <v>117</v>
      </c>
      <c r="D116" s="210">
        <v>87.7</v>
      </c>
      <c r="E116" s="210"/>
      <c r="F116" s="210"/>
    </row>
    <row r="117" spans="2:6" s="1" customFormat="1" ht="15" customHeight="1">
      <c r="B117" s="89"/>
      <c r="C117" s="90" t="s">
        <v>118</v>
      </c>
      <c r="D117" s="204">
        <f>SUM(D114:F116)</f>
        <v>383.14499999999998</v>
      </c>
      <c r="E117" s="204"/>
      <c r="F117" s="204"/>
    </row>
    <row r="118" spans="2:6" s="1" customFormat="1" ht="15" customHeight="1">
      <c r="B118" s="91"/>
      <c r="C118" s="92"/>
      <c r="D118" s="93"/>
      <c r="E118" s="93"/>
      <c r="F118" s="93"/>
    </row>
    <row r="119" spans="2:6" s="1" customFormat="1" ht="15" customHeight="1">
      <c r="B119" s="94"/>
      <c r="C119" s="205" t="s">
        <v>119</v>
      </c>
      <c r="D119" s="205"/>
      <c r="E119" s="205"/>
      <c r="F119" s="205"/>
    </row>
    <row r="120" spans="2:6" s="1" customFormat="1" ht="15" customHeight="1">
      <c r="B120" s="84">
        <v>6</v>
      </c>
      <c r="C120" s="65" t="s">
        <v>120</v>
      </c>
      <c r="D120" s="36" t="s">
        <v>63</v>
      </c>
      <c r="E120" s="199" t="s">
        <v>38</v>
      </c>
      <c r="F120" s="199"/>
    </row>
    <row r="121" spans="2:6" s="1" customFormat="1" ht="15" customHeight="1">
      <c r="B121" s="86" t="s">
        <v>6</v>
      </c>
      <c r="C121" s="66" t="s">
        <v>121</v>
      </c>
      <c r="D121" s="95">
        <v>6</v>
      </c>
      <c r="E121" s="206">
        <f>(D138)*D121/100</f>
        <v>215.19749999999999</v>
      </c>
      <c r="F121" s="206"/>
    </row>
    <row r="122" spans="2:6" s="1" customFormat="1" ht="15" customHeight="1">
      <c r="B122" s="86" t="s">
        <v>8</v>
      </c>
      <c r="C122" s="67" t="s">
        <v>122</v>
      </c>
      <c r="D122" s="96">
        <v>6.79</v>
      </c>
      <c r="E122" s="201">
        <f>(D138+E121)*D122/100</f>
        <v>258.14374774999999</v>
      </c>
      <c r="F122" s="201"/>
    </row>
    <row r="123" spans="2:6" s="1" customFormat="1" ht="15" customHeight="1">
      <c r="B123" s="86" t="s">
        <v>11</v>
      </c>
      <c r="C123" s="67" t="s">
        <v>123</v>
      </c>
      <c r="D123" s="96"/>
      <c r="E123" s="201"/>
      <c r="F123" s="201"/>
    </row>
    <row r="124" spans="2:6" s="1" customFormat="1" ht="15" customHeight="1">
      <c r="B124" s="86"/>
      <c r="C124" s="67" t="s">
        <v>124</v>
      </c>
      <c r="D124" s="96">
        <f>7.6+1.65</f>
        <v>9.25</v>
      </c>
      <c r="E124" s="201">
        <f>((D138+E121+E122)/(1-(D124+D126)/100))*(D124/100)</f>
        <v>437.95554276020408</v>
      </c>
      <c r="F124" s="201"/>
    </row>
    <row r="125" spans="2:6" s="1" customFormat="1" ht="15" customHeight="1">
      <c r="B125" s="86"/>
      <c r="C125" s="67" t="s">
        <v>125</v>
      </c>
      <c r="D125" s="96"/>
      <c r="E125" s="201"/>
      <c r="F125" s="201"/>
    </row>
    <row r="126" spans="2:6" s="1" customFormat="1" ht="15" customHeight="1">
      <c r="B126" s="86"/>
      <c r="C126" s="67" t="s">
        <v>126</v>
      </c>
      <c r="D126" s="97">
        <v>5</v>
      </c>
      <c r="E126" s="201">
        <f>((D138+E121+E122)/(1-(D124+D126)/100))*(D126/100)</f>
        <v>236.73272581632656</v>
      </c>
      <c r="F126" s="201"/>
    </row>
    <row r="127" spans="2:6" s="1" customFormat="1" ht="15" customHeight="1">
      <c r="B127" s="86"/>
      <c r="C127" s="67" t="s">
        <v>127</v>
      </c>
      <c r="D127" s="96"/>
      <c r="E127" s="201"/>
      <c r="F127" s="201"/>
    </row>
    <row r="128" spans="2:6" s="1" customFormat="1" ht="15" customHeight="1">
      <c r="B128" s="98"/>
      <c r="C128" s="68" t="s">
        <v>73</v>
      </c>
      <c r="D128" s="99"/>
      <c r="E128" s="202">
        <f>SUM(E121:F127)</f>
        <v>1148.0295163265307</v>
      </c>
      <c r="F128" s="202"/>
    </row>
    <row r="129" spans="2:6" s="1" customFormat="1" ht="15" customHeight="1">
      <c r="B129" s="91"/>
      <c r="C129" s="92"/>
      <c r="D129" s="93"/>
      <c r="E129" s="93"/>
      <c r="F129" s="93"/>
    </row>
    <row r="130" spans="2:6" s="80" customFormat="1" ht="15" customHeight="1">
      <c r="B130" s="1"/>
      <c r="C130" s="203" t="s">
        <v>128</v>
      </c>
      <c r="D130" s="203"/>
      <c r="E130" s="203"/>
      <c r="F130" s="203"/>
    </row>
    <row r="131" spans="2:6" s="80" customFormat="1" ht="15" customHeight="1">
      <c r="B131" s="1"/>
      <c r="C131" s="100"/>
      <c r="D131" s="1"/>
      <c r="E131" s="1"/>
      <c r="F131" s="1"/>
    </row>
    <row r="132" spans="2:6" s="80" customFormat="1" ht="27" customHeight="1">
      <c r="B132" s="14"/>
      <c r="C132" s="65" t="s">
        <v>129</v>
      </c>
      <c r="D132" s="199" t="s">
        <v>38</v>
      </c>
      <c r="E132" s="199"/>
      <c r="F132" s="199"/>
    </row>
    <row r="133" spans="2:6" s="80" customFormat="1" ht="15" customHeight="1">
      <c r="B133" s="101" t="s">
        <v>6</v>
      </c>
      <c r="C133" s="66" t="s">
        <v>130</v>
      </c>
      <c r="D133" s="200">
        <f>D26</f>
        <v>1447.15</v>
      </c>
      <c r="E133" s="200"/>
      <c r="F133" s="200"/>
    </row>
    <row r="134" spans="2:6" s="80" customFormat="1" ht="15" customHeight="1">
      <c r="B134" s="101" t="s">
        <v>8</v>
      </c>
      <c r="C134" s="67" t="s">
        <v>131</v>
      </c>
      <c r="D134" s="196">
        <f>D72</f>
        <v>1339.6799999999998</v>
      </c>
      <c r="E134" s="196"/>
      <c r="F134" s="196"/>
    </row>
    <row r="135" spans="2:6" s="80" customFormat="1" ht="15" customHeight="1">
      <c r="B135" s="101" t="s">
        <v>11</v>
      </c>
      <c r="C135" s="67" t="s">
        <v>132</v>
      </c>
      <c r="D135" s="196">
        <f>D83</f>
        <v>139.27000000000001</v>
      </c>
      <c r="E135" s="196"/>
      <c r="F135" s="196"/>
    </row>
    <row r="136" spans="2:6" s="80" customFormat="1" ht="15" customHeight="1">
      <c r="B136" s="101" t="s">
        <v>14</v>
      </c>
      <c r="C136" s="67" t="s">
        <v>99</v>
      </c>
      <c r="D136" s="196">
        <f>D110</f>
        <v>277.38</v>
      </c>
      <c r="E136" s="196"/>
      <c r="F136" s="196"/>
    </row>
    <row r="137" spans="2:6" s="80" customFormat="1" ht="15" customHeight="1">
      <c r="B137" s="101" t="s">
        <v>43</v>
      </c>
      <c r="C137" s="67" t="s">
        <v>133</v>
      </c>
      <c r="D137" s="196">
        <f>D117</f>
        <v>383.14499999999998</v>
      </c>
      <c r="E137" s="196"/>
      <c r="F137" s="196"/>
    </row>
    <row r="138" spans="2:6" s="80" customFormat="1" ht="15" customHeight="1">
      <c r="B138" s="101"/>
      <c r="C138" s="102" t="s">
        <v>134</v>
      </c>
      <c r="D138" s="195">
        <f>SUM(D133:F137)</f>
        <v>3586.625</v>
      </c>
      <c r="E138" s="195"/>
      <c r="F138" s="195"/>
    </row>
    <row r="139" spans="2:6" s="80" customFormat="1" ht="15" customHeight="1">
      <c r="B139" s="101" t="s">
        <v>45</v>
      </c>
      <c r="C139" s="103" t="s">
        <v>135</v>
      </c>
      <c r="D139" s="196">
        <f>E128</f>
        <v>1148.0295163265307</v>
      </c>
      <c r="E139" s="196"/>
      <c r="F139" s="196"/>
    </row>
    <row r="140" spans="2:6" s="80" customFormat="1" ht="15" customHeight="1">
      <c r="B140" s="101"/>
      <c r="C140" s="104" t="s">
        <v>136</v>
      </c>
      <c r="D140" s="197">
        <f>ROUND(SUM(D138:F139),2)</f>
        <v>4734.6499999999996</v>
      </c>
      <c r="E140" s="197"/>
      <c r="F140" s="197"/>
    </row>
    <row r="141" spans="2:6" s="80" customFormat="1" ht="15" customHeight="1">
      <c r="B141" s="101"/>
      <c r="C141" s="104" t="s">
        <v>137</v>
      </c>
      <c r="D141" s="197">
        <f>D140</f>
        <v>4734.6499999999996</v>
      </c>
      <c r="E141" s="197"/>
      <c r="F141" s="197"/>
    </row>
    <row r="142" spans="2:6" s="80" customFormat="1" ht="15" customHeight="1">
      <c r="B142" s="20"/>
      <c r="C142" s="105" t="s">
        <v>138</v>
      </c>
      <c r="D142" s="198">
        <f>D140/D26</f>
        <v>3.2717064575199526</v>
      </c>
      <c r="E142" s="198"/>
      <c r="F142" s="198"/>
    </row>
    <row r="143" spans="2:6" ht="15" customHeight="1"/>
  </sheetData>
  <mergeCells count="113">
    <mergeCell ref="B1:F6"/>
    <mergeCell ref="C7:F7"/>
    <mergeCell ref="D9:F9"/>
    <mergeCell ref="D10:F10"/>
    <mergeCell ref="D11:F11"/>
    <mergeCell ref="D12:F12"/>
    <mergeCell ref="D21:F21"/>
    <mergeCell ref="D22:F22"/>
    <mergeCell ref="D23:F23"/>
    <mergeCell ref="D24:F24"/>
    <mergeCell ref="D25:F25"/>
    <mergeCell ref="D26:F26"/>
    <mergeCell ref="D13:F13"/>
    <mergeCell ref="D14:F14"/>
    <mergeCell ref="C17:F17"/>
    <mergeCell ref="D18:F18"/>
    <mergeCell ref="D19:F19"/>
    <mergeCell ref="D20:F20"/>
    <mergeCell ref="D33:F33"/>
    <mergeCell ref="D34:F34"/>
    <mergeCell ref="C35:F38"/>
    <mergeCell ref="C40:F40"/>
    <mergeCell ref="E41:F41"/>
    <mergeCell ref="E42:F42"/>
    <mergeCell ref="C27:F27"/>
    <mergeCell ref="C28:F28"/>
    <mergeCell ref="C29:F29"/>
    <mergeCell ref="D30:F30"/>
    <mergeCell ref="D31:F31"/>
    <mergeCell ref="D32:F32"/>
    <mergeCell ref="E49:F49"/>
    <mergeCell ref="E50:F50"/>
    <mergeCell ref="C53:F53"/>
    <mergeCell ref="D54:F54"/>
    <mergeCell ref="D55:F55"/>
    <mergeCell ref="D56:F56"/>
    <mergeCell ref="E43:F43"/>
    <mergeCell ref="E44:F44"/>
    <mergeCell ref="E45:F45"/>
    <mergeCell ref="E46:F46"/>
    <mergeCell ref="E47:F47"/>
    <mergeCell ref="E48:F48"/>
    <mergeCell ref="C63:F66"/>
    <mergeCell ref="C67:F67"/>
    <mergeCell ref="D68:F68"/>
    <mergeCell ref="D69:F69"/>
    <mergeCell ref="D70:F70"/>
    <mergeCell ref="D71:F71"/>
    <mergeCell ref="D57:F57"/>
    <mergeCell ref="D58:F58"/>
    <mergeCell ref="D59:F59"/>
    <mergeCell ref="D60:F60"/>
    <mergeCell ref="D61:F61"/>
    <mergeCell ref="D62:F62"/>
    <mergeCell ref="D79:F79"/>
    <mergeCell ref="D80:F80"/>
    <mergeCell ref="D81:F81"/>
    <mergeCell ref="D82:F82"/>
    <mergeCell ref="D83:F83"/>
    <mergeCell ref="C84:F88"/>
    <mergeCell ref="D72:F72"/>
    <mergeCell ref="C74:F74"/>
    <mergeCell ref="D75:F75"/>
    <mergeCell ref="D76:F76"/>
    <mergeCell ref="D77:F77"/>
    <mergeCell ref="D78:F78"/>
    <mergeCell ref="D96:F96"/>
    <mergeCell ref="D97:F97"/>
    <mergeCell ref="D98:F98"/>
    <mergeCell ref="D99:F99"/>
    <mergeCell ref="C101:F101"/>
    <mergeCell ref="D102:F102"/>
    <mergeCell ref="C90:F90"/>
    <mergeCell ref="C91:F91"/>
    <mergeCell ref="D92:F92"/>
    <mergeCell ref="D93:F93"/>
    <mergeCell ref="D94:F94"/>
    <mergeCell ref="D95:F95"/>
    <mergeCell ref="D110:F110"/>
    <mergeCell ref="C112:F112"/>
    <mergeCell ref="D113:F113"/>
    <mergeCell ref="D114:F114"/>
    <mergeCell ref="D115:F115"/>
    <mergeCell ref="D116:F116"/>
    <mergeCell ref="D103:F103"/>
    <mergeCell ref="D104:F104"/>
    <mergeCell ref="C106:F106"/>
    <mergeCell ref="D107:F107"/>
    <mergeCell ref="D108:F108"/>
    <mergeCell ref="D109:F109"/>
    <mergeCell ref="E124:F124"/>
    <mergeCell ref="E125:F125"/>
    <mergeCell ref="E126:F126"/>
    <mergeCell ref="E127:F127"/>
    <mergeCell ref="E128:F128"/>
    <mergeCell ref="C130:F130"/>
    <mergeCell ref="D117:F117"/>
    <mergeCell ref="C119:F119"/>
    <mergeCell ref="E120:F120"/>
    <mergeCell ref="E121:F121"/>
    <mergeCell ref="E122:F122"/>
    <mergeCell ref="E123:F123"/>
    <mergeCell ref="D138:F138"/>
    <mergeCell ref="D139:F139"/>
    <mergeCell ref="D140:F140"/>
    <mergeCell ref="D141:F141"/>
    <mergeCell ref="D142:F142"/>
    <mergeCell ref="D132:F132"/>
    <mergeCell ref="D133:F133"/>
    <mergeCell ref="D134:F134"/>
    <mergeCell ref="D135:F135"/>
    <mergeCell ref="D136:F136"/>
    <mergeCell ref="D137:F137"/>
  </mergeCells>
  <pageMargins left="0.25" right="0.25" top="0.75" bottom="0.75" header="0.3" footer="0.3"/>
  <pageSetup paperSize="9" firstPageNumber="0" fitToHeight="0" orientation="portrait" horizontalDpi="300" verticalDpi="300"/>
  <headerFooter>
    <oddHeader>&amp;C&amp;"Times New Roman,Normal"&amp;12&amp;A</oddHeader>
    <oddFooter>&amp;C&amp;"Times New Roman,Normal"&amp;12Página &amp;P</oddFooter>
  </headerFooter>
  <colBreaks count="1" manualBreakCount="1">
    <brk id="6" max="1048575" man="1"/>
  </colBreaks>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7FB22-B561-48A1-A5B6-680DFB626880}">
  <sheetPr>
    <pageSetUpPr fitToPage="1"/>
  </sheetPr>
  <dimension ref="A1:AMK143"/>
  <sheetViews>
    <sheetView topLeftCell="A111" zoomScale="95" zoomScaleNormal="95" workbookViewId="0">
      <selection activeCell="D114" sqref="D114:F116"/>
    </sheetView>
  </sheetViews>
  <sheetFormatPr defaultRowHeight="12.75"/>
  <cols>
    <col min="1" max="1" width="4.42578125" style="1" customWidth="1"/>
    <col min="2" max="2" width="5.140625" style="1" customWidth="1"/>
    <col min="3" max="3" width="69.7109375" style="1" customWidth="1"/>
    <col min="4" max="4" width="15.5703125" style="1" customWidth="1"/>
    <col min="5" max="6" width="15.7109375" style="1" customWidth="1"/>
    <col min="7" max="7" width="20.5703125" style="2" customWidth="1"/>
    <col min="8" max="1025" width="11.42578125" style="1" customWidth="1"/>
  </cols>
  <sheetData>
    <row r="1" spans="2:6">
      <c r="B1" s="247" t="s">
        <v>24</v>
      </c>
      <c r="C1" s="248"/>
      <c r="D1" s="248"/>
      <c r="E1" s="248"/>
      <c r="F1" s="248"/>
    </row>
    <row r="2" spans="2:6">
      <c r="B2" s="248"/>
      <c r="C2" s="248"/>
      <c r="D2" s="248"/>
      <c r="E2" s="248"/>
      <c r="F2" s="248"/>
    </row>
    <row r="3" spans="2:6">
      <c r="B3" s="248"/>
      <c r="C3" s="248"/>
      <c r="D3" s="248"/>
      <c r="E3" s="248"/>
      <c r="F3" s="248"/>
    </row>
    <row r="4" spans="2:6">
      <c r="B4" s="248"/>
      <c r="C4" s="248"/>
      <c r="D4" s="248"/>
      <c r="E4" s="248"/>
      <c r="F4" s="248"/>
    </row>
    <row r="5" spans="2:6">
      <c r="B5" s="248"/>
      <c r="C5" s="248"/>
      <c r="D5" s="248"/>
      <c r="E5" s="248"/>
      <c r="F5" s="248"/>
    </row>
    <row r="6" spans="2:6">
      <c r="B6" s="248"/>
      <c r="C6" s="248"/>
      <c r="D6" s="248"/>
      <c r="E6" s="248"/>
      <c r="F6" s="248"/>
    </row>
    <row r="7" spans="2:6" s="2" customFormat="1" ht="23.25" customHeight="1">
      <c r="B7" s="1"/>
      <c r="C7" s="249" t="s">
        <v>25</v>
      </c>
      <c r="D7" s="250"/>
      <c r="E7" s="250"/>
      <c r="F7" s="251"/>
    </row>
    <row r="8" spans="2:6" s="2" customFormat="1" ht="17.25" customHeight="1">
      <c r="B8" s="1"/>
      <c r="C8" s="7" t="s">
        <v>26</v>
      </c>
      <c r="D8" s="8"/>
      <c r="E8" s="8"/>
      <c r="F8" s="8"/>
    </row>
    <row r="9" spans="2:6" s="2" customFormat="1" ht="15.95" customHeight="1">
      <c r="B9" s="1"/>
      <c r="C9" s="9" t="s">
        <v>27</v>
      </c>
      <c r="D9" s="252" t="s">
        <v>139</v>
      </c>
      <c r="E9" s="252"/>
      <c r="F9" s="252"/>
    </row>
    <row r="10" spans="2:6" s="2" customFormat="1" ht="15.95" customHeight="1">
      <c r="B10" s="1"/>
      <c r="C10" s="10" t="s">
        <v>29</v>
      </c>
      <c r="D10" s="243">
        <f>ROUND((30.4375*5/7)-(10*(5/7))/12-(5/12),2)</f>
        <v>20.73</v>
      </c>
      <c r="E10" s="243"/>
      <c r="F10" s="243"/>
    </row>
    <row r="11" spans="2:6" s="2" customFormat="1" ht="15.95" customHeight="1">
      <c r="B11" s="1"/>
      <c r="C11" s="10" t="s">
        <v>30</v>
      </c>
      <c r="D11" s="253" t="s">
        <v>31</v>
      </c>
      <c r="E11" s="254"/>
      <c r="F11" s="255"/>
    </row>
    <row r="12" spans="2:6" s="2" customFormat="1" ht="15.95" customHeight="1">
      <c r="B12" s="1"/>
      <c r="C12" s="11" t="s">
        <v>32</v>
      </c>
      <c r="D12" s="196">
        <v>1233.1500000000001</v>
      </c>
      <c r="E12" s="196"/>
      <c r="F12" s="196"/>
    </row>
    <row r="13" spans="2:6" s="2" customFormat="1" ht="15.95" customHeight="1">
      <c r="B13" s="1"/>
      <c r="C13" s="11" t="s">
        <v>33</v>
      </c>
      <c r="D13" s="243" t="s">
        <v>34</v>
      </c>
      <c r="E13" s="243"/>
      <c r="F13" s="243"/>
    </row>
    <row r="14" spans="2:6" s="2" customFormat="1" ht="15.95" customHeight="1">
      <c r="B14" s="1"/>
      <c r="C14" s="12" t="s">
        <v>35</v>
      </c>
      <c r="D14" s="244">
        <v>44562</v>
      </c>
      <c r="E14" s="244"/>
      <c r="F14" s="244"/>
    </row>
    <row r="15" spans="2:6" s="2" customFormat="1" ht="15.95" customHeight="1">
      <c r="B15" s="1"/>
      <c r="C15" s="1"/>
      <c r="D15" s="13"/>
    </row>
    <row r="16" spans="2:6" s="2" customFormat="1" ht="12" customHeight="1">
      <c r="B16" s="1"/>
      <c r="C16" s="1"/>
    </row>
    <row r="17" spans="2:1025" s="2" customFormat="1" ht="15.75" customHeight="1">
      <c r="B17" s="14"/>
      <c r="C17" s="245" t="s">
        <v>36</v>
      </c>
      <c r="D17" s="245"/>
      <c r="E17" s="245"/>
      <c r="F17" s="245"/>
    </row>
    <row r="18" spans="2:1025" s="2" customFormat="1" ht="15.95" customHeight="1">
      <c r="B18" s="15">
        <v>1</v>
      </c>
      <c r="C18" s="16" t="s">
        <v>37</v>
      </c>
      <c r="D18" s="246" t="s">
        <v>38</v>
      </c>
      <c r="E18" s="246"/>
      <c r="F18" s="246"/>
    </row>
    <row r="19" spans="2:1025" s="2" customFormat="1" ht="15.95" customHeight="1">
      <c r="B19" s="17" t="s">
        <v>6</v>
      </c>
      <c r="C19" s="18" t="s">
        <v>39</v>
      </c>
      <c r="D19" s="215">
        <f>D12</f>
        <v>1233.1500000000001</v>
      </c>
      <c r="E19" s="215"/>
      <c r="F19" s="215"/>
    </row>
    <row r="20" spans="2:1025" s="2" customFormat="1" ht="15.95" customHeight="1">
      <c r="B20" s="17" t="s">
        <v>8</v>
      </c>
      <c r="C20" s="18" t="s">
        <v>40</v>
      </c>
      <c r="D20" s="210"/>
      <c r="E20" s="210"/>
      <c r="F20" s="210"/>
    </row>
    <row r="21" spans="2:1025" ht="15.95" customHeight="1">
      <c r="B21" s="17" t="s">
        <v>11</v>
      </c>
      <c r="C21" s="18" t="s">
        <v>41</v>
      </c>
      <c r="D21" s="210">
        <f>0.4*1070</f>
        <v>428</v>
      </c>
      <c r="E21" s="210"/>
      <c r="F21" s="210"/>
      <c r="ALW21"/>
      <c r="ALX21"/>
      <c r="ALY21"/>
      <c r="ALZ21"/>
      <c r="AMA21"/>
      <c r="AMB21"/>
      <c r="AMC21"/>
      <c r="AMD21"/>
      <c r="AME21"/>
      <c r="AMF21"/>
      <c r="AMG21"/>
      <c r="AMH21"/>
      <c r="AMI21"/>
      <c r="AMJ21"/>
      <c r="AMK21"/>
    </row>
    <row r="22" spans="2:1025" ht="15.95" customHeight="1">
      <c r="B22" s="17" t="s">
        <v>14</v>
      </c>
      <c r="C22" s="19" t="s">
        <v>42</v>
      </c>
      <c r="D22" s="241"/>
      <c r="E22" s="241"/>
      <c r="F22" s="241"/>
      <c r="ALW22"/>
      <c r="ALX22"/>
      <c r="ALY22"/>
      <c r="ALZ22"/>
      <c r="AMA22"/>
      <c r="AMB22"/>
      <c r="AMC22"/>
      <c r="AMD22"/>
      <c r="AME22"/>
      <c r="AMF22"/>
      <c r="AMG22"/>
      <c r="AMH22"/>
      <c r="AMI22"/>
      <c r="AMJ22"/>
      <c r="AMK22"/>
    </row>
    <row r="23" spans="2:1025" ht="15.95" customHeight="1">
      <c r="B23" s="17" t="s">
        <v>43</v>
      </c>
      <c r="C23" s="19" t="s">
        <v>44</v>
      </c>
      <c r="D23" s="241"/>
      <c r="E23" s="241"/>
      <c r="F23" s="241"/>
      <c r="ALW23"/>
      <c r="ALX23"/>
      <c r="ALY23"/>
      <c r="ALZ23"/>
      <c r="AMA23"/>
      <c r="AMB23"/>
      <c r="AMC23"/>
      <c r="AMD23"/>
      <c r="AME23"/>
      <c r="AMF23"/>
      <c r="AMG23"/>
      <c r="AMH23"/>
      <c r="AMI23"/>
      <c r="AMJ23"/>
      <c r="AMK23"/>
    </row>
    <row r="24" spans="2:1025" ht="15.95" customHeight="1">
      <c r="B24" s="17" t="s">
        <v>45</v>
      </c>
      <c r="C24" s="19" t="s">
        <v>46</v>
      </c>
      <c r="D24" s="241"/>
      <c r="E24" s="241"/>
      <c r="F24" s="241"/>
      <c r="ALW24"/>
      <c r="ALX24"/>
      <c r="ALY24"/>
      <c r="ALZ24"/>
      <c r="AMA24"/>
      <c r="AMB24"/>
      <c r="AMC24"/>
      <c r="AMD24"/>
      <c r="AME24"/>
      <c r="AMF24"/>
      <c r="AMG24"/>
      <c r="AMH24"/>
      <c r="AMI24"/>
      <c r="AMJ24"/>
      <c r="AMK24"/>
    </row>
    <row r="25" spans="2:1025" ht="15.95" customHeight="1">
      <c r="B25" s="17" t="s">
        <v>47</v>
      </c>
      <c r="C25" s="19" t="s">
        <v>48</v>
      </c>
      <c r="D25" s="241"/>
      <c r="E25" s="241"/>
      <c r="F25" s="241"/>
      <c r="ALW25"/>
      <c r="ALX25"/>
      <c r="ALY25"/>
      <c r="ALZ25"/>
      <c r="AMA25"/>
      <c r="AMB25"/>
      <c r="AMC25"/>
      <c r="AMD25"/>
      <c r="AME25"/>
      <c r="AMF25"/>
      <c r="AMG25"/>
      <c r="AMH25"/>
      <c r="AMI25"/>
      <c r="AMJ25"/>
      <c r="AMK25"/>
    </row>
    <row r="26" spans="2:1025" ht="15.95" customHeight="1">
      <c r="B26" s="20"/>
      <c r="C26" s="21" t="s">
        <v>49</v>
      </c>
      <c r="D26" s="242">
        <f>SUM(D19:F25)</f>
        <v>1661.15</v>
      </c>
      <c r="E26" s="242"/>
      <c r="F26" s="242"/>
      <c r="ALW26"/>
      <c r="ALX26"/>
      <c r="ALY26"/>
      <c r="ALZ26"/>
      <c r="AMA26"/>
      <c r="AMB26"/>
      <c r="AMC26"/>
      <c r="AMD26"/>
      <c r="AME26"/>
      <c r="AMF26"/>
      <c r="AMG26"/>
      <c r="AMH26"/>
      <c r="AMI26"/>
      <c r="AMJ26"/>
      <c r="AMK26"/>
    </row>
    <row r="27" spans="2:1025" ht="15.95" customHeight="1">
      <c r="C27" s="236"/>
      <c r="D27" s="236"/>
      <c r="E27" s="236"/>
      <c r="F27" s="236"/>
      <c r="ALW27"/>
      <c r="ALX27"/>
      <c r="ALY27"/>
      <c r="ALZ27"/>
      <c r="AMA27"/>
      <c r="AMB27"/>
      <c r="AMC27"/>
      <c r="AMD27"/>
      <c r="AME27"/>
      <c r="AMF27"/>
      <c r="AMG27"/>
      <c r="AMH27"/>
      <c r="AMI27"/>
      <c r="AMJ27"/>
      <c r="AMK27"/>
    </row>
    <row r="28" spans="2:1025" ht="15.95" customHeight="1">
      <c r="B28" s="22"/>
      <c r="C28" s="237" t="s">
        <v>50</v>
      </c>
      <c r="D28" s="237"/>
      <c r="E28" s="237"/>
      <c r="F28" s="237"/>
      <c r="ALW28"/>
      <c r="ALX28"/>
      <c r="ALY28"/>
      <c r="ALZ28"/>
      <c r="AMA28"/>
      <c r="AMB28"/>
      <c r="AMC28"/>
      <c r="AMD28"/>
      <c r="AME28"/>
      <c r="AMF28"/>
      <c r="AMG28"/>
      <c r="AMH28"/>
      <c r="AMI28"/>
      <c r="AMJ28"/>
      <c r="AMK28"/>
    </row>
    <row r="29" spans="2:1025" ht="15.95" customHeight="1">
      <c r="B29" s="23"/>
      <c r="C29" s="238" t="s">
        <v>51</v>
      </c>
      <c r="D29" s="238"/>
      <c r="E29" s="238"/>
      <c r="F29" s="238"/>
      <c r="ALW29"/>
      <c r="ALX29"/>
      <c r="ALY29"/>
      <c r="ALZ29"/>
      <c r="AMA29"/>
      <c r="AMB29"/>
      <c r="AMC29"/>
      <c r="AMD29"/>
      <c r="AME29"/>
      <c r="AMF29"/>
      <c r="AMG29"/>
      <c r="AMH29"/>
      <c r="AMI29"/>
      <c r="AMJ29"/>
      <c r="AMK29"/>
    </row>
    <row r="30" spans="2:1025" ht="15.95" customHeight="1">
      <c r="B30" s="24" t="s">
        <v>52</v>
      </c>
      <c r="C30" s="25" t="s">
        <v>53</v>
      </c>
      <c r="D30" s="239" t="s">
        <v>54</v>
      </c>
      <c r="E30" s="239"/>
      <c r="F30" s="239"/>
      <c r="ALW30"/>
      <c r="ALX30"/>
      <c r="ALY30"/>
      <c r="ALZ30"/>
      <c r="AMA30"/>
      <c r="AMB30"/>
      <c r="AMC30"/>
      <c r="AMD30"/>
      <c r="AME30"/>
      <c r="AMF30"/>
      <c r="AMG30"/>
      <c r="AMH30"/>
      <c r="AMI30"/>
      <c r="AMJ30"/>
      <c r="AMK30"/>
    </row>
    <row r="31" spans="2:1025" ht="15.95" customHeight="1">
      <c r="B31" s="26" t="s">
        <v>6</v>
      </c>
      <c r="C31" s="27" t="s">
        <v>55</v>
      </c>
      <c r="D31" s="240">
        <f>ROUND(D26*(1/12),2)</f>
        <v>138.43</v>
      </c>
      <c r="E31" s="240"/>
      <c r="F31" s="240"/>
      <c r="ALW31"/>
      <c r="ALX31"/>
      <c r="ALY31"/>
      <c r="ALZ31"/>
      <c r="AMA31"/>
      <c r="AMB31"/>
      <c r="AMC31"/>
      <c r="AMD31"/>
      <c r="AME31"/>
      <c r="AMF31"/>
      <c r="AMG31"/>
      <c r="AMH31"/>
      <c r="AMI31"/>
      <c r="AMJ31"/>
      <c r="AMK31"/>
    </row>
    <row r="32" spans="2:1025" ht="15.95" customHeight="1">
      <c r="B32" s="28" t="s">
        <v>8</v>
      </c>
      <c r="C32" s="29" t="s">
        <v>56</v>
      </c>
      <c r="D32" s="234">
        <v>0</v>
      </c>
      <c r="E32" s="234"/>
      <c r="F32" s="234"/>
      <c r="ALW32"/>
      <c r="ALX32"/>
      <c r="ALY32"/>
      <c r="ALZ32"/>
      <c r="AMA32"/>
      <c r="AMB32"/>
      <c r="AMC32"/>
      <c r="AMD32"/>
      <c r="AME32"/>
      <c r="AMF32"/>
      <c r="AMG32"/>
      <c r="AMH32"/>
      <c r="AMI32"/>
      <c r="AMJ32"/>
      <c r="AMK32"/>
    </row>
    <row r="33" spans="2:1025" ht="15.95" customHeight="1">
      <c r="B33" s="30" t="s">
        <v>11</v>
      </c>
      <c r="C33" s="29" t="s">
        <v>57</v>
      </c>
      <c r="D33" s="234">
        <f>ROUND(D26*(1/3)/12,2)</f>
        <v>46.14</v>
      </c>
      <c r="E33" s="234"/>
      <c r="F33" s="234"/>
      <c r="ALW33"/>
      <c r="ALX33"/>
      <c r="ALY33"/>
      <c r="ALZ33"/>
      <c r="AMA33"/>
      <c r="AMB33"/>
      <c r="AMC33"/>
      <c r="AMD33"/>
      <c r="AME33"/>
      <c r="AMF33"/>
      <c r="AMG33"/>
      <c r="AMH33"/>
      <c r="AMI33"/>
      <c r="AMJ33"/>
      <c r="AMK33"/>
    </row>
    <row r="34" spans="2:1025" ht="15.95" customHeight="1">
      <c r="B34" s="31"/>
      <c r="C34" s="32" t="s">
        <v>58</v>
      </c>
      <c r="D34" s="211">
        <f>SUM(D31:F33)</f>
        <v>184.57</v>
      </c>
      <c r="E34" s="211"/>
      <c r="F34" s="211"/>
      <c r="ALW34"/>
      <c r="ALX34"/>
      <c r="ALY34"/>
      <c r="ALZ34"/>
      <c r="AMA34"/>
      <c r="AMB34"/>
      <c r="AMC34"/>
      <c r="AMD34"/>
      <c r="AME34"/>
      <c r="AMF34"/>
      <c r="AMG34"/>
      <c r="AMH34"/>
      <c r="AMI34"/>
      <c r="AMJ34"/>
      <c r="AMK34"/>
    </row>
    <row r="35" spans="2:1025" ht="15.95" customHeight="1">
      <c r="B35" s="2"/>
      <c r="C35" s="225" t="s">
        <v>59</v>
      </c>
      <c r="D35" s="225"/>
      <c r="E35" s="225"/>
      <c r="F35" s="225"/>
      <c r="ALW35"/>
      <c r="ALX35"/>
      <c r="ALY35"/>
      <c r="ALZ35"/>
      <c r="AMA35"/>
      <c r="AMB35"/>
      <c r="AMC35"/>
      <c r="AMD35"/>
      <c r="AME35"/>
      <c r="AMF35"/>
      <c r="AMG35"/>
      <c r="AMH35"/>
      <c r="AMI35"/>
      <c r="AMJ35"/>
      <c r="AMK35"/>
    </row>
    <row r="36" spans="2:1025" ht="15.95" customHeight="1">
      <c r="B36" s="2"/>
      <c r="C36" s="226"/>
      <c r="D36" s="226"/>
      <c r="E36" s="226"/>
      <c r="F36" s="226"/>
      <c r="ALW36"/>
      <c r="ALX36"/>
      <c r="ALY36"/>
      <c r="ALZ36"/>
      <c r="AMA36"/>
      <c r="AMB36"/>
      <c r="AMC36"/>
      <c r="AMD36"/>
      <c r="AME36"/>
      <c r="AMF36"/>
      <c r="AMG36"/>
      <c r="AMH36"/>
      <c r="AMI36"/>
      <c r="AMJ36"/>
      <c r="AMK36"/>
    </row>
    <row r="37" spans="2:1025" ht="15.95" customHeight="1">
      <c r="B37" s="2"/>
      <c r="C37" s="226"/>
      <c r="D37" s="226"/>
      <c r="E37" s="226"/>
      <c r="F37" s="226"/>
      <c r="ALW37"/>
      <c r="ALX37"/>
      <c r="ALY37"/>
      <c r="ALZ37"/>
      <c r="AMA37"/>
      <c r="AMB37"/>
      <c r="AMC37"/>
      <c r="AMD37"/>
      <c r="AME37"/>
      <c r="AMF37"/>
      <c r="AMG37"/>
      <c r="AMH37"/>
      <c r="AMI37"/>
      <c r="AMJ37"/>
      <c r="AMK37"/>
    </row>
    <row r="38" spans="2:1025" ht="15.95" customHeight="1">
      <c r="B38" s="2"/>
      <c r="C38" s="226"/>
      <c r="D38" s="226"/>
      <c r="E38" s="226"/>
      <c r="F38" s="226"/>
      <c r="ALW38"/>
      <c r="ALX38"/>
      <c r="ALY38"/>
      <c r="ALZ38"/>
      <c r="AMA38"/>
      <c r="AMB38"/>
      <c r="AMC38"/>
      <c r="AMD38"/>
      <c r="AME38"/>
      <c r="AMF38"/>
      <c r="AMG38"/>
      <c r="AMH38"/>
      <c r="AMI38"/>
      <c r="AMJ38"/>
      <c r="AMK38"/>
    </row>
    <row r="39" spans="2:1025" ht="15.95" customHeight="1">
      <c r="ALW39"/>
      <c r="ALX39"/>
      <c r="ALY39"/>
      <c r="ALZ39"/>
      <c r="AMA39"/>
      <c r="AMB39"/>
      <c r="AMC39"/>
      <c r="AMD39"/>
      <c r="AME39"/>
      <c r="AMF39"/>
      <c r="AMG39"/>
      <c r="AMH39"/>
      <c r="AMI39"/>
      <c r="AMJ39"/>
      <c r="AMK39"/>
    </row>
    <row r="40" spans="2:1025" ht="13.5" customHeight="1">
      <c r="B40" s="33"/>
      <c r="C40" s="235" t="s">
        <v>60</v>
      </c>
      <c r="D40" s="235"/>
      <c r="E40" s="235"/>
      <c r="F40" s="235"/>
      <c r="ALW40"/>
      <c r="ALX40"/>
      <c r="ALY40"/>
      <c r="ALZ40"/>
      <c r="AMA40"/>
      <c r="AMB40"/>
      <c r="AMC40"/>
      <c r="AMD40"/>
      <c r="AME40"/>
      <c r="AMF40"/>
      <c r="AMG40"/>
      <c r="AMH40"/>
      <c r="AMI40"/>
      <c r="AMJ40"/>
      <c r="AMK40"/>
    </row>
    <row r="41" spans="2:1025" ht="13.5" customHeight="1">
      <c r="B41" s="34" t="s">
        <v>61</v>
      </c>
      <c r="C41" s="35" t="s">
        <v>62</v>
      </c>
      <c r="D41" s="36" t="s">
        <v>63</v>
      </c>
      <c r="E41" s="199" t="s">
        <v>38</v>
      </c>
      <c r="F41" s="199"/>
      <c r="ALW41"/>
      <c r="ALX41"/>
      <c r="ALY41"/>
      <c r="ALZ41"/>
      <c r="AMA41"/>
      <c r="AMB41"/>
      <c r="AMC41"/>
      <c r="AMD41"/>
      <c r="AME41"/>
      <c r="AMF41"/>
      <c r="AMG41"/>
      <c r="AMH41"/>
      <c r="AMI41"/>
      <c r="AMJ41"/>
      <c r="AMK41"/>
    </row>
    <row r="42" spans="2:1025" ht="14.25" customHeight="1">
      <c r="B42" s="30" t="s">
        <v>6</v>
      </c>
      <c r="C42" s="37" t="s">
        <v>64</v>
      </c>
      <c r="D42" s="38">
        <v>0.2</v>
      </c>
      <c r="E42" s="206">
        <f>ROUND(($D$26+D34)*D42,2)</f>
        <v>369.14</v>
      </c>
      <c r="F42" s="206"/>
      <c r="ALW42"/>
      <c r="ALX42"/>
      <c r="ALY42"/>
      <c r="ALZ42"/>
      <c r="AMA42"/>
      <c r="AMB42"/>
      <c r="AMC42"/>
      <c r="AMD42"/>
      <c r="AME42"/>
      <c r="AMF42"/>
      <c r="AMG42"/>
      <c r="AMH42"/>
      <c r="AMI42"/>
      <c r="AMJ42"/>
      <c r="AMK42"/>
    </row>
    <row r="43" spans="2:1025" ht="14.25" customHeight="1">
      <c r="B43" s="30" t="s">
        <v>8</v>
      </c>
      <c r="C43" s="39" t="s">
        <v>65</v>
      </c>
      <c r="D43" s="40">
        <v>2.5000000000000001E-2</v>
      </c>
      <c r="E43" s="232">
        <f>ROUND(($D$26+D34)*D43,2)</f>
        <v>46.14</v>
      </c>
      <c r="F43" s="232"/>
      <c r="ALW43"/>
      <c r="ALX43"/>
      <c r="ALY43"/>
      <c r="ALZ43"/>
      <c r="AMA43"/>
      <c r="AMB43"/>
      <c r="AMC43"/>
      <c r="AMD43"/>
      <c r="AME43"/>
      <c r="AMF43"/>
      <c r="AMG43"/>
      <c r="AMH43"/>
      <c r="AMI43"/>
      <c r="AMJ43"/>
      <c r="AMK43"/>
    </row>
    <row r="44" spans="2:1025" ht="14.25" customHeight="1">
      <c r="B44" s="30" t="s">
        <v>11</v>
      </c>
      <c r="C44" s="41" t="s">
        <v>66</v>
      </c>
      <c r="D44" s="42">
        <v>0.03</v>
      </c>
      <c r="E44" s="233">
        <f>ROUND(($D$26+D34)*D44,2)</f>
        <v>55.37</v>
      </c>
      <c r="F44" s="233"/>
      <c r="ALW44"/>
      <c r="ALX44"/>
      <c r="ALY44"/>
      <c r="ALZ44"/>
      <c r="AMA44"/>
      <c r="AMB44"/>
      <c r="AMC44"/>
      <c r="AMD44"/>
      <c r="AME44"/>
      <c r="AMF44"/>
      <c r="AMG44"/>
      <c r="AMH44"/>
      <c r="AMI44"/>
      <c r="AMJ44"/>
      <c r="AMK44"/>
    </row>
    <row r="45" spans="2:1025" ht="14.25" customHeight="1">
      <c r="B45" s="30" t="s">
        <v>14</v>
      </c>
      <c r="C45" s="39" t="s">
        <v>67</v>
      </c>
      <c r="D45" s="40">
        <v>1.4999999999999999E-2</v>
      </c>
      <c r="E45" s="232">
        <f>ROUND(($D$26+D34)*D45,2)</f>
        <v>27.69</v>
      </c>
      <c r="F45" s="232"/>
      <c r="ALW45"/>
      <c r="ALX45"/>
      <c r="ALY45"/>
      <c r="ALZ45"/>
      <c r="AMA45"/>
      <c r="AMB45"/>
      <c r="AMC45"/>
      <c r="AMD45"/>
      <c r="AME45"/>
      <c r="AMF45"/>
      <c r="AMG45"/>
      <c r="AMH45"/>
      <c r="AMI45"/>
      <c r="AMJ45"/>
      <c r="AMK45"/>
    </row>
    <row r="46" spans="2:1025" ht="14.25" customHeight="1">
      <c r="B46" s="30" t="s">
        <v>43</v>
      </c>
      <c r="C46" s="39" t="s">
        <v>68</v>
      </c>
      <c r="D46" s="40">
        <v>0.01</v>
      </c>
      <c r="E46" s="232">
        <f>ROUND(($D$26+D34)*D46,2)</f>
        <v>18.46</v>
      </c>
      <c r="F46" s="232"/>
      <c r="ALW46"/>
      <c r="ALX46"/>
      <c r="ALY46"/>
      <c r="ALZ46"/>
      <c r="AMA46"/>
      <c r="AMB46"/>
      <c r="AMC46"/>
      <c r="AMD46"/>
      <c r="AME46"/>
      <c r="AMF46"/>
      <c r="AMG46"/>
      <c r="AMH46"/>
      <c r="AMI46"/>
      <c r="AMJ46"/>
      <c r="AMK46"/>
    </row>
    <row r="47" spans="2:1025" ht="14.25" customHeight="1">
      <c r="B47" s="30" t="s">
        <v>45</v>
      </c>
      <c r="C47" s="39" t="s">
        <v>69</v>
      </c>
      <c r="D47" s="40">
        <v>6.0000000000000001E-3</v>
      </c>
      <c r="E47" s="232">
        <f>ROUND(($D$26+D34)*D47,2)</f>
        <v>11.07</v>
      </c>
      <c r="F47" s="232"/>
      <c r="ALW47"/>
      <c r="ALX47"/>
      <c r="ALY47"/>
      <c r="ALZ47"/>
      <c r="AMA47"/>
      <c r="AMB47"/>
      <c r="AMC47"/>
      <c r="AMD47"/>
      <c r="AME47"/>
      <c r="AMF47"/>
      <c r="AMG47"/>
      <c r="AMH47"/>
      <c r="AMI47"/>
      <c r="AMJ47"/>
      <c r="AMK47"/>
    </row>
    <row r="48" spans="2:1025" ht="14.25" customHeight="1">
      <c r="B48" s="30" t="s">
        <v>47</v>
      </c>
      <c r="C48" s="39" t="s">
        <v>70</v>
      </c>
      <c r="D48" s="40">
        <v>2E-3</v>
      </c>
      <c r="E48" s="232">
        <f>ROUND(($D$26+D34)*D48,2)</f>
        <v>3.69</v>
      </c>
      <c r="F48" s="232"/>
      <c r="ALW48"/>
      <c r="ALX48"/>
      <c r="ALY48"/>
      <c r="ALZ48"/>
      <c r="AMA48"/>
      <c r="AMB48"/>
      <c r="AMC48"/>
      <c r="AMD48"/>
      <c r="AME48"/>
      <c r="AMF48"/>
      <c r="AMG48"/>
      <c r="AMH48"/>
      <c r="AMI48"/>
      <c r="AMJ48"/>
      <c r="AMK48"/>
    </row>
    <row r="49" spans="2:1025" ht="14.25" customHeight="1">
      <c r="B49" s="30" t="s">
        <v>71</v>
      </c>
      <c r="C49" s="41" t="s">
        <v>72</v>
      </c>
      <c r="D49" s="43">
        <v>0.08</v>
      </c>
      <c r="E49" s="201">
        <f>ROUND(($D$26+D34)*D49,2)</f>
        <v>147.66</v>
      </c>
      <c r="F49" s="201"/>
      <c r="ALW49"/>
      <c r="ALX49"/>
      <c r="ALY49"/>
      <c r="ALZ49"/>
      <c r="AMA49"/>
      <c r="AMB49"/>
      <c r="AMC49"/>
      <c r="AMD49"/>
      <c r="AME49"/>
      <c r="AMF49"/>
      <c r="AMG49"/>
      <c r="AMH49"/>
      <c r="AMI49"/>
      <c r="AMJ49"/>
      <c r="AMK49"/>
    </row>
    <row r="50" spans="2:1025" ht="14.25" customHeight="1">
      <c r="B50" s="44"/>
      <c r="C50" s="45" t="s">
        <v>73</v>
      </c>
      <c r="D50" s="46">
        <f>SUM(D42:D49)</f>
        <v>0.36800000000000005</v>
      </c>
      <c r="E50" s="202">
        <f>SUM(E42:F49)</f>
        <v>679.22</v>
      </c>
      <c r="F50" s="202"/>
      <c r="ALW50"/>
      <c r="ALX50"/>
      <c r="ALY50"/>
      <c r="ALZ50"/>
      <c r="AMA50"/>
      <c r="AMB50"/>
      <c r="AMC50"/>
      <c r="AMD50"/>
      <c r="AME50"/>
      <c r="AMF50"/>
      <c r="AMG50"/>
      <c r="AMH50"/>
      <c r="AMI50"/>
      <c r="AMJ50"/>
      <c r="AMK50"/>
    </row>
    <row r="51" spans="2:1025" ht="14.25" customHeight="1">
      <c r="C51" s="47" t="s">
        <v>74</v>
      </c>
      <c r="ALW51"/>
      <c r="ALX51"/>
      <c r="ALY51"/>
      <c r="ALZ51"/>
      <c r="AMA51"/>
      <c r="AMB51"/>
      <c r="AMC51"/>
      <c r="AMD51"/>
      <c r="AME51"/>
      <c r="AMF51"/>
      <c r="AMG51"/>
      <c r="AMH51"/>
      <c r="AMI51"/>
      <c r="AMJ51"/>
      <c r="AMK51"/>
    </row>
    <row r="52" spans="2:1025" ht="14.25" customHeight="1">
      <c r="C52" s="47"/>
      <c r="ALW52"/>
      <c r="ALX52"/>
      <c r="ALY52"/>
      <c r="ALZ52"/>
      <c r="AMA52"/>
      <c r="AMB52"/>
      <c r="AMC52"/>
      <c r="AMD52"/>
      <c r="AME52"/>
      <c r="AMF52"/>
      <c r="AMG52"/>
      <c r="AMH52"/>
      <c r="AMI52"/>
      <c r="AMJ52"/>
      <c r="AMK52"/>
    </row>
    <row r="53" spans="2:1025" ht="14.25" customHeight="1">
      <c r="B53" s="22"/>
      <c r="C53" s="229" t="s">
        <v>75</v>
      </c>
      <c r="D53" s="229"/>
      <c r="E53" s="229"/>
      <c r="F53" s="229"/>
      <c r="ALW53"/>
      <c r="ALX53"/>
      <c r="ALY53"/>
      <c r="ALZ53"/>
      <c r="AMA53"/>
      <c r="AMB53"/>
      <c r="AMC53"/>
      <c r="AMD53"/>
      <c r="AME53"/>
      <c r="AMF53"/>
      <c r="AMG53"/>
      <c r="AMH53"/>
      <c r="AMI53"/>
      <c r="AMJ53"/>
      <c r="AMK53"/>
    </row>
    <row r="54" spans="2:1025" ht="14.25" customHeight="1">
      <c r="B54" s="34" t="s">
        <v>76</v>
      </c>
      <c r="C54" s="48" t="s">
        <v>77</v>
      </c>
      <c r="D54" s="230" t="s">
        <v>38</v>
      </c>
      <c r="E54" s="230"/>
      <c r="F54" s="230"/>
      <c r="ALW54"/>
      <c r="ALX54"/>
      <c r="ALY54"/>
      <c r="ALZ54"/>
      <c r="AMA54"/>
      <c r="AMB54"/>
      <c r="AMC54"/>
      <c r="AMD54"/>
      <c r="AME54"/>
      <c r="AMF54"/>
      <c r="AMG54"/>
      <c r="AMH54"/>
      <c r="AMI54"/>
      <c r="AMJ54"/>
      <c r="AMK54"/>
    </row>
    <row r="55" spans="2:1025" ht="14.25" customHeight="1">
      <c r="B55" s="30" t="s">
        <v>6</v>
      </c>
      <c r="C55" s="49" t="s">
        <v>78</v>
      </c>
      <c r="D55" s="231">
        <f>ROUND(4.2*2*D10-(D19*0.06),2)</f>
        <v>100.14</v>
      </c>
      <c r="E55" s="231"/>
      <c r="F55" s="231"/>
      <c r="ALW55"/>
      <c r="ALX55"/>
      <c r="ALY55"/>
      <c r="ALZ55"/>
      <c r="AMA55"/>
      <c r="AMB55"/>
      <c r="AMC55"/>
      <c r="AMD55"/>
      <c r="AME55"/>
      <c r="AMF55"/>
      <c r="AMG55"/>
      <c r="AMH55"/>
      <c r="AMI55"/>
      <c r="AMJ55"/>
      <c r="AMK55"/>
    </row>
    <row r="56" spans="2:1025" ht="14.25" customHeight="1">
      <c r="B56" s="30" t="s">
        <v>8</v>
      </c>
      <c r="C56" s="50" t="s">
        <v>79</v>
      </c>
      <c r="D56" s="210">
        <f>ROUND((17.99*22)*(1-0.035),2)</f>
        <v>381.93</v>
      </c>
      <c r="E56" s="210"/>
      <c r="F56" s="210"/>
      <c r="ALW56"/>
      <c r="ALX56"/>
      <c r="ALY56"/>
      <c r="ALZ56"/>
      <c r="AMA56"/>
      <c r="AMB56"/>
      <c r="AMC56"/>
      <c r="AMD56"/>
      <c r="AME56"/>
      <c r="AMF56"/>
      <c r="AMG56"/>
      <c r="AMH56"/>
      <c r="AMI56"/>
      <c r="AMJ56"/>
      <c r="AMK56"/>
    </row>
    <row r="57" spans="2:1025" ht="14.25" customHeight="1">
      <c r="B57" s="30" t="s">
        <v>11</v>
      </c>
      <c r="C57" s="118" t="s">
        <v>80</v>
      </c>
      <c r="D57" s="210">
        <v>83.3</v>
      </c>
      <c r="E57" s="210"/>
      <c r="F57" s="210"/>
      <c r="ALW57"/>
      <c r="ALX57"/>
      <c r="ALY57"/>
      <c r="ALZ57"/>
      <c r="AMA57"/>
      <c r="AMB57"/>
      <c r="AMC57"/>
      <c r="AMD57"/>
      <c r="AME57"/>
      <c r="AMF57"/>
      <c r="AMG57"/>
      <c r="AMH57"/>
      <c r="AMI57"/>
      <c r="AMJ57"/>
      <c r="AMK57"/>
    </row>
    <row r="58" spans="2:1025" ht="14.25" customHeight="1">
      <c r="B58" s="30" t="s">
        <v>14</v>
      </c>
      <c r="C58" s="118" t="s">
        <v>81</v>
      </c>
      <c r="D58" s="210">
        <f>ROUND(((246.63*6)/12)*0.0624*0.75,2)</f>
        <v>5.77</v>
      </c>
      <c r="E58" s="210"/>
      <c r="F58" s="210"/>
      <c r="ALW58"/>
      <c r="ALX58"/>
      <c r="ALY58"/>
      <c r="ALZ58"/>
      <c r="AMA58"/>
      <c r="AMB58"/>
      <c r="AMC58"/>
      <c r="AMD58"/>
      <c r="AME58"/>
      <c r="AMF58"/>
      <c r="AMG58"/>
      <c r="AMH58"/>
      <c r="AMI58"/>
      <c r="AMJ58"/>
      <c r="AMK58"/>
    </row>
    <row r="59" spans="2:1025" ht="14.25" customHeight="1">
      <c r="B59" s="30" t="s">
        <v>43</v>
      </c>
      <c r="C59" s="118" t="s">
        <v>82</v>
      </c>
      <c r="D59" s="210">
        <v>5</v>
      </c>
      <c r="E59" s="210"/>
      <c r="F59" s="210"/>
      <c r="ALW59"/>
      <c r="ALX59"/>
      <c r="ALY59"/>
      <c r="ALZ59"/>
      <c r="AMA59"/>
      <c r="AMB59"/>
      <c r="AMC59"/>
      <c r="AMD59"/>
      <c r="AME59"/>
      <c r="AMF59"/>
      <c r="AMG59"/>
      <c r="AMH59"/>
      <c r="AMI59"/>
      <c r="AMJ59"/>
      <c r="AMK59"/>
    </row>
    <row r="60" spans="2:1025" ht="14.25" customHeight="1">
      <c r="B60" s="30" t="s">
        <v>45</v>
      </c>
      <c r="C60" s="51" t="s">
        <v>83</v>
      </c>
      <c r="D60" s="210">
        <v>3</v>
      </c>
      <c r="E60" s="210"/>
      <c r="F60" s="210"/>
      <c r="ALW60"/>
      <c r="ALX60"/>
      <c r="ALY60"/>
      <c r="ALZ60"/>
      <c r="AMA60"/>
      <c r="AMB60"/>
      <c r="AMC60"/>
      <c r="AMD60"/>
      <c r="AME60"/>
      <c r="AMF60"/>
      <c r="AMG60"/>
      <c r="AMH60"/>
      <c r="AMI60"/>
      <c r="AMJ60"/>
      <c r="AMK60"/>
    </row>
    <row r="61" spans="2:1025" ht="14.25" customHeight="1">
      <c r="B61" s="30" t="s">
        <v>47</v>
      </c>
      <c r="C61" s="50" t="s">
        <v>84</v>
      </c>
      <c r="D61" s="210">
        <v>8</v>
      </c>
      <c r="E61" s="210"/>
      <c r="F61" s="210"/>
      <c r="ALW61"/>
      <c r="ALX61"/>
      <c r="ALY61"/>
      <c r="ALZ61"/>
      <c r="AMA61"/>
      <c r="AMB61"/>
      <c r="AMC61"/>
      <c r="AMD61"/>
      <c r="AME61"/>
      <c r="AMF61"/>
      <c r="AMG61"/>
      <c r="AMH61"/>
      <c r="AMI61"/>
      <c r="AMJ61"/>
      <c r="AMK61"/>
    </row>
    <row r="62" spans="2:1025" ht="14.25" customHeight="1">
      <c r="B62" s="44"/>
      <c r="C62" s="52" t="s">
        <v>85</v>
      </c>
      <c r="D62" s="228">
        <f>SUM(D55:F61)</f>
        <v>587.14</v>
      </c>
      <c r="E62" s="228"/>
      <c r="F62" s="228"/>
      <c r="ALW62"/>
      <c r="ALX62"/>
      <c r="ALY62"/>
      <c r="ALZ62"/>
      <c r="AMA62"/>
      <c r="AMB62"/>
      <c r="AMC62"/>
      <c r="AMD62"/>
      <c r="AME62"/>
      <c r="AMF62"/>
      <c r="AMG62"/>
      <c r="AMH62"/>
      <c r="AMI62"/>
      <c r="AMJ62"/>
      <c r="AMK62"/>
    </row>
    <row r="63" spans="2:1025" ht="14.25" customHeight="1">
      <c r="C63" s="225" t="s">
        <v>86</v>
      </c>
      <c r="D63" s="225"/>
      <c r="E63" s="225"/>
      <c r="F63" s="225"/>
      <c r="ALW63"/>
      <c r="ALX63"/>
      <c r="ALY63"/>
      <c r="ALZ63"/>
      <c r="AMA63"/>
      <c r="AMB63"/>
      <c r="AMC63"/>
      <c r="AMD63"/>
      <c r="AME63"/>
      <c r="AMF63"/>
      <c r="AMG63"/>
      <c r="AMH63"/>
      <c r="AMI63"/>
      <c r="AMJ63"/>
      <c r="AMK63"/>
    </row>
    <row r="64" spans="2:1025" ht="14.25" customHeight="1">
      <c r="C64" s="226"/>
      <c r="D64" s="226"/>
      <c r="E64" s="226"/>
      <c r="F64" s="226"/>
      <c r="ALW64"/>
      <c r="ALX64"/>
      <c r="ALY64"/>
      <c r="ALZ64"/>
      <c r="AMA64"/>
      <c r="AMB64"/>
      <c r="AMC64"/>
      <c r="AMD64"/>
      <c r="AME64"/>
      <c r="AMF64"/>
      <c r="AMG64"/>
      <c r="AMH64"/>
      <c r="AMI64"/>
      <c r="AMJ64"/>
      <c r="AMK64"/>
    </row>
    <row r="65" spans="2:1025" ht="14.25" customHeight="1">
      <c r="C65" s="226"/>
      <c r="D65" s="226"/>
      <c r="E65" s="226"/>
      <c r="F65" s="226"/>
      <c r="ALW65"/>
      <c r="ALX65"/>
      <c r="ALY65"/>
      <c r="ALZ65"/>
      <c r="AMA65"/>
      <c r="AMB65"/>
      <c r="AMC65"/>
      <c r="AMD65"/>
      <c r="AME65"/>
      <c r="AMF65"/>
      <c r="AMG65"/>
      <c r="AMH65"/>
      <c r="AMI65"/>
      <c r="AMJ65"/>
      <c r="AMK65"/>
    </row>
    <row r="66" spans="2:1025" ht="14.25" customHeight="1">
      <c r="C66" s="226"/>
      <c r="D66" s="226"/>
      <c r="E66" s="226"/>
      <c r="F66" s="226"/>
      <c r="ALW66"/>
      <c r="ALX66"/>
      <c r="ALY66"/>
      <c r="ALZ66"/>
      <c r="AMA66"/>
      <c r="AMB66"/>
      <c r="AMC66"/>
      <c r="AMD66"/>
      <c r="AME66"/>
      <c r="AMF66"/>
      <c r="AMG66"/>
      <c r="AMH66"/>
      <c r="AMI66"/>
      <c r="AMJ66"/>
      <c r="AMK66"/>
    </row>
    <row r="67" spans="2:1025" ht="14.25" customHeight="1">
      <c r="B67" s="55"/>
      <c r="C67" s="212" t="s">
        <v>87</v>
      </c>
      <c r="D67" s="212"/>
      <c r="E67" s="212"/>
      <c r="F67" s="212"/>
      <c r="ALW67"/>
      <c r="ALX67"/>
      <c r="ALY67"/>
      <c r="ALZ67"/>
      <c r="AMA67"/>
      <c r="AMB67"/>
      <c r="AMC67"/>
      <c r="AMD67"/>
      <c r="AME67"/>
      <c r="AMF67"/>
      <c r="AMG67"/>
      <c r="AMH67"/>
      <c r="AMI67"/>
      <c r="AMJ67"/>
      <c r="AMK67"/>
    </row>
    <row r="68" spans="2:1025" ht="14.25" customHeight="1">
      <c r="B68" s="57">
        <v>2</v>
      </c>
      <c r="C68" s="58" t="s">
        <v>88</v>
      </c>
      <c r="D68" s="213" t="s">
        <v>54</v>
      </c>
      <c r="E68" s="213"/>
      <c r="F68" s="213"/>
      <c r="ALW68"/>
      <c r="ALX68"/>
      <c r="ALY68"/>
      <c r="ALZ68"/>
      <c r="AMA68"/>
      <c r="AMB68"/>
      <c r="AMC68"/>
      <c r="AMD68"/>
      <c r="AME68"/>
      <c r="AMF68"/>
      <c r="AMG68"/>
      <c r="AMH68"/>
      <c r="AMI68"/>
      <c r="AMJ68"/>
      <c r="AMK68"/>
    </row>
    <row r="69" spans="2:1025" ht="14.25" customHeight="1">
      <c r="B69" s="59" t="s">
        <v>52</v>
      </c>
      <c r="C69" s="60" t="s">
        <v>53</v>
      </c>
      <c r="D69" s="214">
        <f>D34</f>
        <v>184.57</v>
      </c>
      <c r="E69" s="214"/>
      <c r="F69" s="214"/>
      <c r="ALW69"/>
      <c r="ALX69"/>
      <c r="ALY69"/>
      <c r="ALZ69"/>
      <c r="AMA69"/>
      <c r="AMB69"/>
      <c r="AMC69"/>
      <c r="AMD69"/>
      <c r="AME69"/>
      <c r="AMF69"/>
      <c r="AMG69"/>
      <c r="AMH69"/>
      <c r="AMI69"/>
      <c r="AMJ69"/>
      <c r="AMK69"/>
    </row>
    <row r="70" spans="2:1025" ht="14.25" customHeight="1">
      <c r="B70" s="61" t="s">
        <v>61</v>
      </c>
      <c r="C70" s="62" t="s">
        <v>62</v>
      </c>
      <c r="D70" s="215">
        <f>E50</f>
        <v>679.22</v>
      </c>
      <c r="E70" s="215"/>
      <c r="F70" s="215"/>
      <c r="ALW70"/>
      <c r="ALX70"/>
      <c r="ALY70"/>
      <c r="ALZ70"/>
      <c r="AMA70"/>
      <c r="AMB70"/>
      <c r="AMC70"/>
      <c r="AMD70"/>
      <c r="AME70"/>
      <c r="AMF70"/>
      <c r="AMG70"/>
      <c r="AMH70"/>
      <c r="AMI70"/>
      <c r="AMJ70"/>
      <c r="AMK70"/>
    </row>
    <row r="71" spans="2:1025" ht="14.25" customHeight="1">
      <c r="B71" s="63" t="s">
        <v>76</v>
      </c>
      <c r="C71" s="64" t="s">
        <v>77</v>
      </c>
      <c r="D71" s="227">
        <f>D62</f>
        <v>587.14</v>
      </c>
      <c r="E71" s="227"/>
      <c r="F71" s="227"/>
      <c r="ALW71"/>
      <c r="ALX71"/>
      <c r="ALY71"/>
      <c r="ALZ71"/>
      <c r="AMA71"/>
      <c r="AMB71"/>
      <c r="AMC71"/>
      <c r="AMD71"/>
      <c r="AME71"/>
      <c r="AMF71"/>
      <c r="AMG71"/>
      <c r="AMH71"/>
      <c r="AMI71"/>
      <c r="AMJ71"/>
      <c r="AMK71"/>
    </row>
    <row r="72" spans="2:1025" ht="14.25" customHeight="1">
      <c r="B72" s="55"/>
      <c r="C72" s="56" t="s">
        <v>58</v>
      </c>
      <c r="D72" s="223">
        <f>SUM(D69:F71)</f>
        <v>1450.9299999999998</v>
      </c>
      <c r="E72" s="223"/>
      <c r="F72" s="223"/>
      <c r="ALW72"/>
      <c r="ALX72"/>
      <c r="ALY72"/>
      <c r="ALZ72"/>
      <c r="AMA72"/>
      <c r="AMB72"/>
      <c r="AMC72"/>
      <c r="AMD72"/>
      <c r="AME72"/>
      <c r="AMF72"/>
      <c r="AMG72"/>
      <c r="AMH72"/>
      <c r="AMI72"/>
      <c r="AMJ72"/>
      <c r="AMK72"/>
    </row>
    <row r="73" spans="2:1025" ht="14.25" customHeight="1">
      <c r="C73" s="53"/>
      <c r="D73" s="54"/>
      <c r="E73" s="54"/>
      <c r="F73" s="54"/>
      <c r="ALW73"/>
      <c r="ALX73"/>
      <c r="ALY73"/>
      <c r="ALZ73"/>
      <c r="AMA73"/>
      <c r="AMB73"/>
      <c r="AMC73"/>
      <c r="AMD73"/>
      <c r="AME73"/>
      <c r="AMF73"/>
      <c r="AMG73"/>
      <c r="AMH73"/>
      <c r="AMI73"/>
      <c r="AMJ73"/>
      <c r="AMK73"/>
    </row>
    <row r="74" spans="2:1025" ht="14.25" customHeight="1">
      <c r="B74" s="14"/>
      <c r="C74" s="212" t="s">
        <v>89</v>
      </c>
      <c r="D74" s="212"/>
      <c r="E74" s="212"/>
      <c r="F74" s="212"/>
      <c r="ALW74"/>
      <c r="ALX74"/>
      <c r="ALY74"/>
      <c r="ALZ74"/>
      <c r="AMA74"/>
      <c r="AMB74"/>
      <c r="AMC74"/>
      <c r="AMD74"/>
      <c r="AME74"/>
      <c r="AMF74"/>
      <c r="AMG74"/>
      <c r="AMH74"/>
      <c r="AMI74"/>
      <c r="AMJ74"/>
      <c r="AMK74"/>
    </row>
    <row r="75" spans="2:1025" ht="14.25" customHeight="1">
      <c r="B75" s="15">
        <v>3</v>
      </c>
      <c r="C75" s="65" t="s">
        <v>90</v>
      </c>
      <c r="D75" s="224" t="s">
        <v>38</v>
      </c>
      <c r="E75" s="224"/>
      <c r="F75" s="224"/>
      <c r="ALW75"/>
      <c r="ALX75"/>
      <c r="ALY75"/>
      <c r="ALZ75"/>
      <c r="AMA75"/>
      <c r="AMB75"/>
      <c r="AMC75"/>
      <c r="AMD75"/>
      <c r="AME75"/>
      <c r="AMF75"/>
      <c r="AMG75"/>
      <c r="AMH75"/>
      <c r="AMI75"/>
      <c r="AMJ75"/>
      <c r="AMK75"/>
    </row>
    <row r="76" spans="2:1025" ht="14.25" customHeight="1">
      <c r="B76" s="17" t="s">
        <v>6</v>
      </c>
      <c r="C76" s="66" t="s">
        <v>91</v>
      </c>
      <c r="D76" s="206">
        <f>ROUND(((D26+D69)/12)*0.4921,2)</f>
        <v>75.69</v>
      </c>
      <c r="E76" s="206"/>
      <c r="F76" s="206"/>
      <c r="H76" s="117"/>
      <c r="ALW76"/>
      <c r="ALX76"/>
      <c r="ALY76"/>
      <c r="ALZ76"/>
      <c r="AMA76"/>
      <c r="AMB76"/>
      <c r="AMC76"/>
      <c r="AMD76"/>
      <c r="AME76"/>
      <c r="AMF76"/>
      <c r="AMG76"/>
      <c r="AMH76"/>
      <c r="AMI76"/>
      <c r="AMJ76"/>
      <c r="AMK76"/>
    </row>
    <row r="77" spans="2:1025" ht="14.25" customHeight="1">
      <c r="B77" s="17" t="s">
        <v>8</v>
      </c>
      <c r="C77" s="67" t="s">
        <v>92</v>
      </c>
      <c r="D77" s="201">
        <f>ROUND(D76*D49,2)</f>
        <v>6.06</v>
      </c>
      <c r="E77" s="201"/>
      <c r="F77" s="201"/>
    </row>
    <row r="78" spans="2:1025" ht="14.25" customHeight="1">
      <c r="B78" s="17" t="s">
        <v>11</v>
      </c>
      <c r="C78" s="67" t="s">
        <v>93</v>
      </c>
      <c r="D78" s="201">
        <f>ROUND(($D$26+$D$69)*0.4*0.08*0.2426,2)</f>
        <v>14.33</v>
      </c>
      <c r="E78" s="201"/>
      <c r="F78" s="201"/>
    </row>
    <row r="79" spans="2:1025" ht="14.25" customHeight="1">
      <c r="B79" s="17" t="s">
        <v>14</v>
      </c>
      <c r="C79" s="67" t="s">
        <v>94</v>
      </c>
      <c r="D79" s="201">
        <f>ROUND((((D26+D72)/12)*0.4921)*7/30,2)</f>
        <v>29.78</v>
      </c>
      <c r="E79" s="201"/>
      <c r="F79" s="201"/>
    </row>
    <row r="80" spans="2:1025" ht="14.25" customHeight="1">
      <c r="B80" s="17" t="s">
        <v>43</v>
      </c>
      <c r="C80" s="67" t="s">
        <v>95</v>
      </c>
      <c r="D80" s="201">
        <f>ROUND(D79*D50,2)</f>
        <v>10.96</v>
      </c>
      <c r="E80" s="201"/>
      <c r="F80" s="201"/>
    </row>
    <row r="81" spans="2:10" ht="14.25" customHeight="1">
      <c r="B81" s="17" t="s">
        <v>45</v>
      </c>
      <c r="C81" s="67" t="s">
        <v>96</v>
      </c>
      <c r="D81" s="201">
        <f>ROUND(($D$26+$D$72)*0.4*0.08*0.2426,2)</f>
        <v>24.16</v>
      </c>
      <c r="E81" s="201"/>
      <c r="F81" s="201"/>
    </row>
    <row r="82" spans="2:10" ht="14.25" customHeight="1">
      <c r="B82" s="17" t="s">
        <v>47</v>
      </c>
      <c r="C82" s="67" t="s">
        <v>97</v>
      </c>
      <c r="D82" s="220">
        <f>ROUND(D69*(-1)*0.0158,2)</f>
        <v>-2.92</v>
      </c>
      <c r="E82" s="220"/>
      <c r="F82" s="220"/>
    </row>
    <row r="83" spans="2:10" ht="14.25" customHeight="1">
      <c r="B83" s="20"/>
      <c r="C83" s="68" t="s">
        <v>73</v>
      </c>
      <c r="D83" s="202">
        <f>SUM(D76:F82)</f>
        <v>158.06</v>
      </c>
      <c r="E83" s="202"/>
      <c r="F83" s="202"/>
    </row>
    <row r="84" spans="2:10" ht="36.75" customHeight="1">
      <c r="C84" s="221" t="s">
        <v>98</v>
      </c>
      <c r="D84" s="221"/>
      <c r="E84" s="221"/>
      <c r="F84" s="221"/>
    </row>
    <row r="85" spans="2:10" ht="14.25" customHeight="1">
      <c r="C85" s="222"/>
      <c r="D85" s="222"/>
      <c r="E85" s="222"/>
      <c r="F85" s="222"/>
    </row>
    <row r="86" spans="2:10" ht="14.25" customHeight="1">
      <c r="C86" s="222"/>
      <c r="D86" s="222"/>
      <c r="E86" s="222"/>
      <c r="F86" s="222"/>
    </row>
    <row r="87" spans="2:10" ht="14.25" customHeight="1">
      <c r="C87" s="222"/>
      <c r="D87" s="222"/>
      <c r="E87" s="222"/>
      <c r="F87" s="222"/>
    </row>
    <row r="88" spans="2:10" ht="26.25" customHeight="1">
      <c r="C88" s="222"/>
      <c r="D88" s="222"/>
      <c r="E88" s="222"/>
      <c r="F88" s="222"/>
    </row>
    <row r="89" spans="2:10" ht="14.25" customHeight="1"/>
    <row r="90" spans="2:10" ht="14.25" customHeight="1">
      <c r="B90" s="69"/>
      <c r="C90" s="205" t="s">
        <v>99</v>
      </c>
      <c r="D90" s="205"/>
      <c r="E90" s="205"/>
      <c r="F90" s="205"/>
    </row>
    <row r="91" spans="2:10" ht="14.25" customHeight="1">
      <c r="B91" s="70"/>
      <c r="C91" s="216" t="s">
        <v>100</v>
      </c>
      <c r="D91" s="216"/>
      <c r="E91" s="216"/>
      <c r="F91" s="216"/>
    </row>
    <row r="92" spans="2:10" ht="14.25" customHeight="1">
      <c r="B92" s="71" t="s">
        <v>101</v>
      </c>
      <c r="C92" s="65" t="s">
        <v>102</v>
      </c>
      <c r="D92" s="199" t="s">
        <v>38</v>
      </c>
      <c r="E92" s="199"/>
      <c r="F92" s="199"/>
    </row>
    <row r="93" spans="2:10" ht="14.25" customHeight="1">
      <c r="B93" s="17" t="s">
        <v>6</v>
      </c>
      <c r="C93" s="67" t="s">
        <v>103</v>
      </c>
      <c r="D93" s="201">
        <f>ROUND((D26+D34+D31+D62+D83)/11,2)</f>
        <v>248.12</v>
      </c>
      <c r="E93" s="201"/>
      <c r="F93" s="201"/>
      <c r="I93" s="117"/>
      <c r="J93" s="117"/>
    </row>
    <row r="94" spans="2:10" ht="14.25" customHeight="1">
      <c r="B94" s="17" t="s">
        <v>8</v>
      </c>
      <c r="C94" s="67" t="s">
        <v>102</v>
      </c>
      <c r="D94" s="201">
        <f>ROUND((((D$26+D$34+D31+D$62+D$83)/30)*1)/12,2)</f>
        <v>7.58</v>
      </c>
      <c r="E94" s="201"/>
      <c r="F94" s="201"/>
    </row>
    <row r="95" spans="2:10" ht="14.25" customHeight="1">
      <c r="B95" s="17" t="s">
        <v>11</v>
      </c>
      <c r="C95" s="67" t="s">
        <v>104</v>
      </c>
      <c r="D95" s="201">
        <f>ROUND((((((D$26+D$34+D$31+D$62+D$83)/30)*5)/12)*0.0624)*0.25,2)</f>
        <v>0.59</v>
      </c>
      <c r="E95" s="201"/>
      <c r="F95" s="201"/>
    </row>
    <row r="96" spans="2:10" ht="14.25" customHeight="1">
      <c r="B96" s="17" t="s">
        <v>14</v>
      </c>
      <c r="C96" s="67" t="s">
        <v>105</v>
      </c>
      <c r="D96" s="201">
        <f>ROUND((((D$26+D$34+D$31+D$62+D$83)/30)*0.91)/12,2)</f>
        <v>6.9</v>
      </c>
      <c r="E96" s="201"/>
      <c r="F96" s="201"/>
    </row>
    <row r="97" spans="2:7" ht="14.25" customHeight="1">
      <c r="B97" s="17" t="s">
        <v>45</v>
      </c>
      <c r="C97" s="67" t="s">
        <v>106</v>
      </c>
      <c r="D97" s="201">
        <f>ROUND((((D$26+D$34+D$31+D$62+D$83)/30)*5.96)/12,2)</f>
        <v>45.19</v>
      </c>
      <c r="E97" s="201"/>
      <c r="F97" s="201"/>
    </row>
    <row r="98" spans="2:7" ht="14.25" customHeight="1">
      <c r="B98" s="17" t="s">
        <v>47</v>
      </c>
      <c r="C98" s="67" t="s">
        <v>48</v>
      </c>
      <c r="D98" s="201">
        <v>0</v>
      </c>
      <c r="E98" s="201"/>
      <c r="F98" s="201"/>
      <c r="G98" s="72"/>
    </row>
    <row r="99" spans="2:7" ht="14.25" customHeight="1">
      <c r="B99" s="20"/>
      <c r="C99" s="68" t="s">
        <v>73</v>
      </c>
      <c r="D99" s="202">
        <f>SUM(D93:F98)</f>
        <v>308.38</v>
      </c>
      <c r="E99" s="202"/>
      <c r="F99" s="202"/>
    </row>
    <row r="100" spans="2:7" ht="14.25" customHeight="1"/>
    <row r="101" spans="2:7" ht="14.25" customHeight="1">
      <c r="B101" s="73"/>
      <c r="C101" s="216" t="s">
        <v>107</v>
      </c>
      <c r="D101" s="216"/>
      <c r="E101" s="216"/>
      <c r="F101" s="216"/>
    </row>
    <row r="102" spans="2:7" ht="14.25" customHeight="1">
      <c r="B102" s="74" t="s">
        <v>108</v>
      </c>
      <c r="C102" s="75" t="s">
        <v>109</v>
      </c>
      <c r="D102" s="217" t="s">
        <v>38</v>
      </c>
      <c r="E102" s="218"/>
      <c r="F102" s="219"/>
    </row>
    <row r="103" spans="2:7" ht="14.25" customHeight="1">
      <c r="B103" s="76" t="s">
        <v>6</v>
      </c>
      <c r="C103" s="77" t="s">
        <v>110</v>
      </c>
      <c r="D103" s="201">
        <v>0</v>
      </c>
      <c r="E103" s="201"/>
      <c r="F103" s="201"/>
    </row>
    <row r="104" spans="2:7" ht="14.25" customHeight="1">
      <c r="B104" s="73"/>
      <c r="C104" s="78" t="s">
        <v>73</v>
      </c>
      <c r="D104" s="211">
        <f>SUM(D103)</f>
        <v>0</v>
      </c>
      <c r="E104" s="211"/>
      <c r="F104" s="211"/>
      <c r="G104" s="72"/>
    </row>
    <row r="105" spans="2:7" ht="14.25" customHeight="1"/>
    <row r="106" spans="2:7" ht="14.25" customHeight="1">
      <c r="B106" s="55"/>
      <c r="C106" s="212" t="s">
        <v>111</v>
      </c>
      <c r="D106" s="212"/>
      <c r="E106" s="212"/>
      <c r="F106" s="212"/>
    </row>
    <row r="107" spans="2:7" ht="14.25" customHeight="1">
      <c r="B107" s="79">
        <v>4</v>
      </c>
      <c r="C107" s="58" t="s">
        <v>112</v>
      </c>
      <c r="D107" s="213" t="s">
        <v>54</v>
      </c>
      <c r="E107" s="213"/>
      <c r="F107" s="213"/>
    </row>
    <row r="108" spans="2:7" s="80" customFormat="1" ht="15" customHeight="1">
      <c r="B108" s="59" t="s">
        <v>101</v>
      </c>
      <c r="C108" s="60" t="s">
        <v>102</v>
      </c>
      <c r="D108" s="214">
        <f>D99</f>
        <v>308.38</v>
      </c>
      <c r="E108" s="214"/>
      <c r="F108" s="214"/>
      <c r="G108" s="81"/>
    </row>
    <row r="109" spans="2:7" ht="15" customHeight="1">
      <c r="B109" s="61" t="s">
        <v>108</v>
      </c>
      <c r="C109" s="62" t="s">
        <v>109</v>
      </c>
      <c r="D109" s="215">
        <f>D104</f>
        <v>0</v>
      </c>
      <c r="E109" s="215"/>
      <c r="F109" s="215"/>
    </row>
    <row r="110" spans="2:7" ht="15" customHeight="1">
      <c r="B110" s="55"/>
      <c r="C110" s="82" t="s">
        <v>58</v>
      </c>
      <c r="D110" s="207">
        <f>SUM(D108:F109)</f>
        <v>308.38</v>
      </c>
      <c r="E110" s="207"/>
      <c r="F110" s="207"/>
    </row>
    <row r="111" spans="2:7" s="1" customFormat="1" ht="15" customHeight="1"/>
    <row r="112" spans="2:7" s="1" customFormat="1" ht="15" customHeight="1">
      <c r="B112" s="83"/>
      <c r="C112" s="205" t="s">
        <v>113</v>
      </c>
      <c r="D112" s="205"/>
      <c r="E112" s="205"/>
      <c r="F112" s="205"/>
    </row>
    <row r="113" spans="2:6" s="1" customFormat="1" ht="15" customHeight="1">
      <c r="B113" s="84">
        <v>5</v>
      </c>
      <c r="C113" s="85" t="s">
        <v>114</v>
      </c>
      <c r="D113" s="208" t="s">
        <v>38</v>
      </c>
      <c r="E113" s="208"/>
      <c r="F113" s="208"/>
    </row>
    <row r="114" spans="2:6" s="1" customFormat="1" ht="15" customHeight="1">
      <c r="B114" s="86" t="s">
        <v>6</v>
      </c>
      <c r="C114" s="87" t="s">
        <v>115</v>
      </c>
      <c r="D114" s="209">
        <f>Uniformes!E10</f>
        <v>28.565000000000001</v>
      </c>
      <c r="E114" s="209"/>
      <c r="F114" s="209"/>
    </row>
    <row r="115" spans="2:6" s="1" customFormat="1" ht="15" customHeight="1">
      <c r="B115" s="86" t="s">
        <v>8</v>
      </c>
      <c r="C115" s="88" t="s">
        <v>116</v>
      </c>
      <c r="D115" s="210">
        <v>266.88</v>
      </c>
      <c r="E115" s="210"/>
      <c r="F115" s="210"/>
    </row>
    <row r="116" spans="2:6" s="1" customFormat="1" ht="15" customHeight="1">
      <c r="B116" s="86" t="s">
        <v>11</v>
      </c>
      <c r="C116" s="88" t="s">
        <v>117</v>
      </c>
      <c r="D116" s="210">
        <v>87.7</v>
      </c>
      <c r="E116" s="210"/>
      <c r="F116" s="210"/>
    </row>
    <row r="117" spans="2:6" s="1" customFormat="1" ht="15" customHeight="1">
      <c r="B117" s="89"/>
      <c r="C117" s="90" t="s">
        <v>118</v>
      </c>
      <c r="D117" s="204">
        <f>SUM(D114:F116)</f>
        <v>383.14499999999998</v>
      </c>
      <c r="E117" s="204"/>
      <c r="F117" s="204"/>
    </row>
    <row r="118" spans="2:6" s="1" customFormat="1" ht="15" customHeight="1">
      <c r="B118" s="91"/>
      <c r="C118" s="92"/>
      <c r="D118" s="93"/>
      <c r="E118" s="93"/>
      <c r="F118" s="93"/>
    </row>
    <row r="119" spans="2:6" s="1" customFormat="1" ht="15" customHeight="1">
      <c r="B119" s="94"/>
      <c r="C119" s="205" t="s">
        <v>119</v>
      </c>
      <c r="D119" s="205"/>
      <c r="E119" s="205"/>
      <c r="F119" s="205"/>
    </row>
    <row r="120" spans="2:6" s="1" customFormat="1" ht="15" customHeight="1">
      <c r="B120" s="84">
        <v>6</v>
      </c>
      <c r="C120" s="65" t="s">
        <v>120</v>
      </c>
      <c r="D120" s="36" t="s">
        <v>63</v>
      </c>
      <c r="E120" s="199" t="s">
        <v>38</v>
      </c>
      <c r="F120" s="199"/>
    </row>
    <row r="121" spans="2:6" s="1" customFormat="1" ht="15" customHeight="1">
      <c r="B121" s="86" t="s">
        <v>6</v>
      </c>
      <c r="C121" s="66" t="s">
        <v>121</v>
      </c>
      <c r="D121" s="95">
        <v>6</v>
      </c>
      <c r="E121" s="206">
        <f>(D138)*D121/100</f>
        <v>237.69989999999999</v>
      </c>
      <c r="F121" s="206"/>
    </row>
    <row r="122" spans="2:6" s="1" customFormat="1" ht="15" customHeight="1">
      <c r="B122" s="86" t="s">
        <v>8</v>
      </c>
      <c r="C122" s="67" t="s">
        <v>122</v>
      </c>
      <c r="D122" s="96">
        <v>6.79</v>
      </c>
      <c r="E122" s="201">
        <f>(D138+E121)*D122/100</f>
        <v>285.13687670999997</v>
      </c>
      <c r="F122" s="201"/>
    </row>
    <row r="123" spans="2:6" s="1" customFormat="1" ht="15" customHeight="1">
      <c r="B123" s="86" t="s">
        <v>11</v>
      </c>
      <c r="C123" s="67" t="s">
        <v>123</v>
      </c>
      <c r="D123" s="96"/>
      <c r="E123" s="201"/>
      <c r="F123" s="201"/>
    </row>
    <row r="124" spans="2:6" s="1" customFormat="1" ht="15" customHeight="1">
      <c r="B124" s="86"/>
      <c r="C124" s="67" t="s">
        <v>124</v>
      </c>
      <c r="D124" s="96">
        <f>7.6+1.65</f>
        <v>9.25</v>
      </c>
      <c r="E124" s="201">
        <f>((D138+E121+E122)/(1-(D124+D126)/100))*(D124/100)</f>
        <v>483.75092051973752</v>
      </c>
      <c r="F124" s="201"/>
    </row>
    <row r="125" spans="2:6" s="1" customFormat="1" ht="15" customHeight="1">
      <c r="B125" s="86"/>
      <c r="C125" s="67" t="s">
        <v>125</v>
      </c>
      <c r="D125" s="96"/>
      <c r="E125" s="201"/>
      <c r="F125" s="201"/>
    </row>
    <row r="126" spans="2:6" s="1" customFormat="1" ht="15" customHeight="1">
      <c r="B126" s="86"/>
      <c r="C126" s="67" t="s">
        <v>126</v>
      </c>
      <c r="D126" s="97">
        <v>5</v>
      </c>
      <c r="E126" s="201">
        <f>((D138+E121+E122)/(1-(D124+D126)/100))*(D126/100)</f>
        <v>261.486984064723</v>
      </c>
      <c r="F126" s="201"/>
    </row>
    <row r="127" spans="2:6" s="1" customFormat="1" ht="15" customHeight="1">
      <c r="B127" s="86"/>
      <c r="C127" s="67" t="s">
        <v>127</v>
      </c>
      <c r="D127" s="96"/>
      <c r="E127" s="201"/>
      <c r="F127" s="201"/>
    </row>
    <row r="128" spans="2:6" s="1" customFormat="1" ht="15" customHeight="1">
      <c r="B128" s="98"/>
      <c r="C128" s="68" t="s">
        <v>73</v>
      </c>
      <c r="D128" s="99"/>
      <c r="E128" s="202">
        <f>SUM(E121:F127)</f>
        <v>1268.0746812944606</v>
      </c>
      <c r="F128" s="202"/>
    </row>
    <row r="129" spans="2:6" s="1" customFormat="1" ht="15" customHeight="1">
      <c r="B129" s="91"/>
      <c r="C129" s="92"/>
      <c r="D129" s="93"/>
      <c r="E129" s="93"/>
      <c r="F129" s="93"/>
    </row>
    <row r="130" spans="2:6" s="80" customFormat="1" ht="15" customHeight="1">
      <c r="B130" s="1"/>
      <c r="C130" s="203" t="s">
        <v>128</v>
      </c>
      <c r="D130" s="203"/>
      <c r="E130" s="203"/>
      <c r="F130" s="203"/>
    </row>
    <row r="131" spans="2:6" s="80" customFormat="1" ht="15" customHeight="1">
      <c r="B131" s="1"/>
      <c r="C131" s="100"/>
      <c r="D131" s="1"/>
      <c r="E131" s="1"/>
      <c r="F131" s="1"/>
    </row>
    <row r="132" spans="2:6" s="80" customFormat="1" ht="27" customHeight="1">
      <c r="B132" s="14"/>
      <c r="C132" s="65" t="s">
        <v>129</v>
      </c>
      <c r="D132" s="199" t="s">
        <v>38</v>
      </c>
      <c r="E132" s="199"/>
      <c r="F132" s="199"/>
    </row>
    <row r="133" spans="2:6" s="80" customFormat="1" ht="15" customHeight="1">
      <c r="B133" s="101" t="s">
        <v>6</v>
      </c>
      <c r="C133" s="66" t="s">
        <v>130</v>
      </c>
      <c r="D133" s="200">
        <f>D26</f>
        <v>1661.15</v>
      </c>
      <c r="E133" s="200"/>
      <c r="F133" s="200"/>
    </row>
    <row r="134" spans="2:6" s="80" customFormat="1" ht="15" customHeight="1">
      <c r="B134" s="101" t="s">
        <v>8</v>
      </c>
      <c r="C134" s="67" t="s">
        <v>131</v>
      </c>
      <c r="D134" s="196">
        <f>D72</f>
        <v>1450.9299999999998</v>
      </c>
      <c r="E134" s="196"/>
      <c r="F134" s="196"/>
    </row>
    <row r="135" spans="2:6" s="80" customFormat="1" ht="15" customHeight="1">
      <c r="B135" s="101" t="s">
        <v>11</v>
      </c>
      <c r="C135" s="67" t="s">
        <v>132</v>
      </c>
      <c r="D135" s="196">
        <f>D83</f>
        <v>158.06</v>
      </c>
      <c r="E135" s="196"/>
      <c r="F135" s="196"/>
    </row>
    <row r="136" spans="2:6" s="80" customFormat="1" ht="15" customHeight="1">
      <c r="B136" s="101" t="s">
        <v>14</v>
      </c>
      <c r="C136" s="67" t="s">
        <v>99</v>
      </c>
      <c r="D136" s="196">
        <f>D110</f>
        <v>308.38</v>
      </c>
      <c r="E136" s="196"/>
      <c r="F136" s="196"/>
    </row>
    <row r="137" spans="2:6" s="80" customFormat="1" ht="15" customHeight="1">
      <c r="B137" s="101" t="s">
        <v>43</v>
      </c>
      <c r="C137" s="67" t="s">
        <v>133</v>
      </c>
      <c r="D137" s="196">
        <f>D117</f>
        <v>383.14499999999998</v>
      </c>
      <c r="E137" s="196"/>
      <c r="F137" s="196"/>
    </row>
    <row r="138" spans="2:6" s="80" customFormat="1" ht="15" customHeight="1">
      <c r="B138" s="101"/>
      <c r="C138" s="102" t="s">
        <v>134</v>
      </c>
      <c r="D138" s="195">
        <f>SUM(D133:F137)</f>
        <v>3961.665</v>
      </c>
      <c r="E138" s="195"/>
      <c r="F138" s="195"/>
    </row>
    <row r="139" spans="2:6" s="80" customFormat="1" ht="15" customHeight="1">
      <c r="B139" s="101" t="s">
        <v>45</v>
      </c>
      <c r="C139" s="103" t="s">
        <v>135</v>
      </c>
      <c r="D139" s="196">
        <f>E128</f>
        <v>1268.0746812944606</v>
      </c>
      <c r="E139" s="196"/>
      <c r="F139" s="196"/>
    </row>
    <row r="140" spans="2:6" s="80" customFormat="1" ht="15" customHeight="1">
      <c r="B140" s="101"/>
      <c r="C140" s="104" t="s">
        <v>136</v>
      </c>
      <c r="D140" s="197">
        <f>ROUND(SUM(D138:F139),2)</f>
        <v>5229.74</v>
      </c>
      <c r="E140" s="197"/>
      <c r="F140" s="197"/>
    </row>
    <row r="141" spans="2:6" s="80" customFormat="1" ht="15" customHeight="1">
      <c r="B141" s="101"/>
      <c r="C141" s="104" t="s">
        <v>137</v>
      </c>
      <c r="D141" s="197">
        <f>D140</f>
        <v>5229.74</v>
      </c>
      <c r="E141" s="197"/>
      <c r="F141" s="197"/>
    </row>
    <row r="142" spans="2:6" s="80" customFormat="1" ht="15" customHeight="1">
      <c r="B142" s="20"/>
      <c r="C142" s="105" t="s">
        <v>138</v>
      </c>
      <c r="D142" s="198">
        <f>D140/D26</f>
        <v>3.1482647563434965</v>
      </c>
      <c r="E142" s="198"/>
      <c r="F142" s="198"/>
    </row>
    <row r="143" spans="2:6" ht="15" customHeight="1"/>
  </sheetData>
  <mergeCells count="113">
    <mergeCell ref="B1:F6"/>
    <mergeCell ref="C7:F7"/>
    <mergeCell ref="D9:F9"/>
    <mergeCell ref="D10:F10"/>
    <mergeCell ref="D11:F11"/>
    <mergeCell ref="D12:F12"/>
    <mergeCell ref="D21:F21"/>
    <mergeCell ref="D22:F22"/>
    <mergeCell ref="D23:F23"/>
    <mergeCell ref="D24:F24"/>
    <mergeCell ref="D25:F25"/>
    <mergeCell ref="D26:F26"/>
    <mergeCell ref="D13:F13"/>
    <mergeCell ref="D14:F14"/>
    <mergeCell ref="C17:F17"/>
    <mergeCell ref="D18:F18"/>
    <mergeCell ref="D19:F19"/>
    <mergeCell ref="D20:F20"/>
    <mergeCell ref="D33:F33"/>
    <mergeCell ref="D34:F34"/>
    <mergeCell ref="C35:F38"/>
    <mergeCell ref="C40:F40"/>
    <mergeCell ref="E41:F41"/>
    <mergeCell ref="E42:F42"/>
    <mergeCell ref="C27:F27"/>
    <mergeCell ref="C28:F28"/>
    <mergeCell ref="C29:F29"/>
    <mergeCell ref="D30:F30"/>
    <mergeCell ref="D31:F31"/>
    <mergeCell ref="D32:F32"/>
    <mergeCell ref="E49:F49"/>
    <mergeCell ref="E50:F50"/>
    <mergeCell ref="C53:F53"/>
    <mergeCell ref="D54:F54"/>
    <mergeCell ref="D55:F55"/>
    <mergeCell ref="D56:F56"/>
    <mergeCell ref="E43:F43"/>
    <mergeCell ref="E44:F44"/>
    <mergeCell ref="E45:F45"/>
    <mergeCell ref="E46:F46"/>
    <mergeCell ref="E47:F47"/>
    <mergeCell ref="E48:F48"/>
    <mergeCell ref="C63:F66"/>
    <mergeCell ref="C67:F67"/>
    <mergeCell ref="D68:F68"/>
    <mergeCell ref="D69:F69"/>
    <mergeCell ref="D70:F70"/>
    <mergeCell ref="D71:F71"/>
    <mergeCell ref="D57:F57"/>
    <mergeCell ref="D58:F58"/>
    <mergeCell ref="D59:F59"/>
    <mergeCell ref="D60:F60"/>
    <mergeCell ref="D61:F61"/>
    <mergeCell ref="D62:F62"/>
    <mergeCell ref="D79:F79"/>
    <mergeCell ref="D80:F80"/>
    <mergeCell ref="D81:F81"/>
    <mergeCell ref="D82:F82"/>
    <mergeCell ref="D83:F83"/>
    <mergeCell ref="C84:F88"/>
    <mergeCell ref="D72:F72"/>
    <mergeCell ref="C74:F74"/>
    <mergeCell ref="D75:F75"/>
    <mergeCell ref="D76:F76"/>
    <mergeCell ref="D77:F77"/>
    <mergeCell ref="D78:F78"/>
    <mergeCell ref="D96:F96"/>
    <mergeCell ref="D97:F97"/>
    <mergeCell ref="D98:F98"/>
    <mergeCell ref="D99:F99"/>
    <mergeCell ref="C101:F101"/>
    <mergeCell ref="D102:F102"/>
    <mergeCell ref="C90:F90"/>
    <mergeCell ref="C91:F91"/>
    <mergeCell ref="D92:F92"/>
    <mergeCell ref="D93:F93"/>
    <mergeCell ref="D94:F94"/>
    <mergeCell ref="D95:F95"/>
    <mergeCell ref="D110:F110"/>
    <mergeCell ref="C112:F112"/>
    <mergeCell ref="D113:F113"/>
    <mergeCell ref="D114:F114"/>
    <mergeCell ref="D115:F115"/>
    <mergeCell ref="D116:F116"/>
    <mergeCell ref="D103:F103"/>
    <mergeCell ref="D104:F104"/>
    <mergeCell ref="C106:F106"/>
    <mergeCell ref="D107:F107"/>
    <mergeCell ref="D108:F108"/>
    <mergeCell ref="D109:F109"/>
    <mergeCell ref="E124:F124"/>
    <mergeCell ref="E125:F125"/>
    <mergeCell ref="E126:F126"/>
    <mergeCell ref="E127:F127"/>
    <mergeCell ref="E128:F128"/>
    <mergeCell ref="C130:F130"/>
    <mergeCell ref="D117:F117"/>
    <mergeCell ref="C119:F119"/>
    <mergeCell ref="E120:F120"/>
    <mergeCell ref="E121:F121"/>
    <mergeCell ref="E122:F122"/>
    <mergeCell ref="E123:F123"/>
    <mergeCell ref="D138:F138"/>
    <mergeCell ref="D139:F139"/>
    <mergeCell ref="D140:F140"/>
    <mergeCell ref="D141:F141"/>
    <mergeCell ref="D142:F142"/>
    <mergeCell ref="D132:F132"/>
    <mergeCell ref="D133:F133"/>
    <mergeCell ref="D134:F134"/>
    <mergeCell ref="D135:F135"/>
    <mergeCell ref="D136:F136"/>
    <mergeCell ref="D137:F137"/>
  </mergeCells>
  <pageMargins left="0.25" right="0.25" top="0.75" bottom="0.75" header="0.3" footer="0.3"/>
  <pageSetup paperSize="9" firstPageNumber="0" fitToHeight="0" orientation="portrait" horizontalDpi="300" verticalDpi="300"/>
  <headerFooter>
    <oddHeader>&amp;C&amp;"Times New Roman,Normal"&amp;12&amp;A</oddHeader>
    <oddFooter>&amp;C&amp;"Times New Roman,Normal"&amp;12Página &amp;P</oddFooter>
  </headerFooter>
  <colBreaks count="1" manualBreakCount="1">
    <brk id="6" max="1048575" man="1"/>
  </colBreak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143"/>
  <sheetViews>
    <sheetView topLeftCell="A133" zoomScale="95" zoomScaleNormal="95" workbookViewId="0">
      <selection activeCell="D114" sqref="D114:F116"/>
    </sheetView>
  </sheetViews>
  <sheetFormatPr defaultRowHeight="12.75"/>
  <cols>
    <col min="1" max="1" width="4.42578125" style="1" customWidth="1"/>
    <col min="2" max="2" width="5.140625" style="1" customWidth="1"/>
    <col min="3" max="3" width="69.7109375" style="1" customWidth="1"/>
    <col min="4" max="4" width="15.5703125" style="1" customWidth="1"/>
    <col min="5" max="6" width="15.7109375" style="1" customWidth="1"/>
    <col min="7" max="7" width="20.5703125" style="2" customWidth="1"/>
    <col min="8" max="1025" width="11.42578125" style="1" customWidth="1"/>
  </cols>
  <sheetData>
    <row r="1" spans="2:6">
      <c r="B1" s="247" t="s">
        <v>24</v>
      </c>
      <c r="C1" s="248"/>
      <c r="D1" s="248"/>
      <c r="E1" s="248"/>
      <c r="F1" s="248"/>
    </row>
    <row r="2" spans="2:6">
      <c r="B2" s="248"/>
      <c r="C2" s="248"/>
      <c r="D2" s="248"/>
      <c r="E2" s="248"/>
      <c r="F2" s="248"/>
    </row>
    <row r="3" spans="2:6">
      <c r="B3" s="248"/>
      <c r="C3" s="248"/>
      <c r="D3" s="248"/>
      <c r="E3" s="248"/>
      <c r="F3" s="248"/>
    </row>
    <row r="4" spans="2:6">
      <c r="B4" s="248"/>
      <c r="C4" s="248"/>
      <c r="D4" s="248"/>
      <c r="E4" s="248"/>
      <c r="F4" s="248"/>
    </row>
    <row r="5" spans="2:6">
      <c r="B5" s="248"/>
      <c r="C5" s="248"/>
      <c r="D5" s="248"/>
      <c r="E5" s="248"/>
      <c r="F5" s="248"/>
    </row>
    <row r="6" spans="2:6" ht="13.5" thickBot="1">
      <c r="B6" s="248"/>
      <c r="C6" s="248"/>
      <c r="D6" s="248"/>
      <c r="E6" s="248"/>
      <c r="F6" s="248"/>
    </row>
    <row r="7" spans="2:6" s="2" customFormat="1" ht="23.25" customHeight="1" thickBot="1">
      <c r="B7" s="1"/>
      <c r="C7" s="249" t="s">
        <v>25</v>
      </c>
      <c r="D7" s="250"/>
      <c r="E7" s="250"/>
      <c r="F7" s="251"/>
    </row>
    <row r="8" spans="2:6" s="2" customFormat="1" ht="17.25" customHeight="1">
      <c r="B8" s="1"/>
      <c r="C8" s="7" t="s">
        <v>26</v>
      </c>
      <c r="D8" s="8"/>
      <c r="E8" s="8"/>
      <c r="F8" s="8"/>
    </row>
    <row r="9" spans="2:6" s="2" customFormat="1" ht="15.95" customHeight="1">
      <c r="B9" s="1"/>
      <c r="C9" s="9" t="s">
        <v>27</v>
      </c>
      <c r="D9" s="252" t="s">
        <v>140</v>
      </c>
      <c r="E9" s="252"/>
      <c r="F9" s="252"/>
    </row>
    <row r="10" spans="2:6" s="2" customFormat="1" ht="15.95" customHeight="1">
      <c r="B10" s="1"/>
      <c r="C10" s="10" t="s">
        <v>29</v>
      </c>
      <c r="D10" s="243">
        <f>ROUND((30.4375*5/7)-(10*(5/7))/12-(5/12),2)</f>
        <v>20.73</v>
      </c>
      <c r="E10" s="243"/>
      <c r="F10" s="243"/>
    </row>
    <row r="11" spans="2:6" s="2" customFormat="1" ht="15.95" customHeight="1">
      <c r="B11" s="1"/>
      <c r="C11" s="10" t="s">
        <v>30</v>
      </c>
      <c r="D11" s="243" t="s">
        <v>141</v>
      </c>
      <c r="E11" s="243"/>
      <c r="F11" s="243"/>
    </row>
    <row r="12" spans="2:6" s="2" customFormat="1" ht="15.95" customHeight="1">
      <c r="B12" s="1"/>
      <c r="C12" s="11" t="s">
        <v>32</v>
      </c>
      <c r="D12" s="196">
        <v>1670.67</v>
      </c>
      <c r="E12" s="196"/>
      <c r="F12" s="196"/>
    </row>
    <row r="13" spans="2:6" s="2" customFormat="1" ht="15.95" customHeight="1">
      <c r="B13" s="1"/>
      <c r="C13" s="11" t="s">
        <v>33</v>
      </c>
      <c r="D13" s="243" t="s">
        <v>142</v>
      </c>
      <c r="E13" s="243"/>
      <c r="F13" s="243"/>
    </row>
    <row r="14" spans="2:6" s="2" customFormat="1" ht="15.95" customHeight="1">
      <c r="B14" s="1"/>
      <c r="C14" s="12" t="s">
        <v>35</v>
      </c>
      <c r="D14" s="244">
        <v>44562</v>
      </c>
      <c r="E14" s="244"/>
      <c r="F14" s="244"/>
    </row>
    <row r="15" spans="2:6" s="2" customFormat="1" ht="15.95" customHeight="1">
      <c r="B15" s="1"/>
      <c r="C15" s="1"/>
      <c r="D15" s="13"/>
    </row>
    <row r="16" spans="2:6" s="2" customFormat="1" ht="12" customHeight="1">
      <c r="B16" s="1"/>
      <c r="C16" s="1"/>
    </row>
    <row r="17" spans="2:1025" s="2" customFormat="1" ht="15.75" customHeight="1">
      <c r="B17" s="14"/>
      <c r="C17" s="245" t="s">
        <v>36</v>
      </c>
      <c r="D17" s="245"/>
      <c r="E17" s="245"/>
      <c r="F17" s="245"/>
    </row>
    <row r="18" spans="2:1025" s="2" customFormat="1" ht="15.95" customHeight="1">
      <c r="B18" s="15">
        <v>1</v>
      </c>
      <c r="C18" s="16" t="s">
        <v>37</v>
      </c>
      <c r="D18" s="246" t="s">
        <v>38</v>
      </c>
      <c r="E18" s="246"/>
      <c r="F18" s="246"/>
    </row>
    <row r="19" spans="2:1025" s="2" customFormat="1" ht="15.95" customHeight="1">
      <c r="B19" s="17" t="s">
        <v>6</v>
      </c>
      <c r="C19" s="18" t="s">
        <v>39</v>
      </c>
      <c r="D19" s="215">
        <f>1670.67*(40/44)</f>
        <v>1518.7909090909091</v>
      </c>
      <c r="E19" s="215"/>
      <c r="F19" s="215"/>
    </row>
    <row r="20" spans="2:1025" s="2" customFormat="1" ht="15.95" customHeight="1">
      <c r="B20" s="17" t="s">
        <v>8</v>
      </c>
      <c r="C20" s="18" t="s">
        <v>40</v>
      </c>
      <c r="D20" s="210"/>
      <c r="E20" s="210"/>
      <c r="F20" s="210"/>
    </row>
    <row r="21" spans="2:1025" ht="15.95" customHeight="1">
      <c r="B21" s="17" t="s">
        <v>11</v>
      </c>
      <c r="C21" s="18" t="s">
        <v>41</v>
      </c>
      <c r="D21" s="210"/>
      <c r="E21" s="210"/>
      <c r="F21" s="210"/>
      <c r="ALW21"/>
      <c r="ALX21"/>
      <c r="ALY21"/>
      <c r="ALZ21"/>
      <c r="AMA21"/>
      <c r="AMB21"/>
      <c r="AMC21"/>
      <c r="AMD21"/>
      <c r="AME21"/>
      <c r="AMF21"/>
      <c r="AMG21"/>
      <c r="AMH21"/>
      <c r="AMI21"/>
      <c r="AMJ21"/>
      <c r="AMK21"/>
    </row>
    <row r="22" spans="2:1025" ht="15.95" customHeight="1">
      <c r="B22" s="17" t="s">
        <v>14</v>
      </c>
      <c r="C22" s="19" t="s">
        <v>42</v>
      </c>
      <c r="D22" s="241"/>
      <c r="E22" s="241"/>
      <c r="F22" s="241"/>
      <c r="ALW22"/>
      <c r="ALX22"/>
      <c r="ALY22"/>
      <c r="ALZ22"/>
      <c r="AMA22"/>
      <c r="AMB22"/>
      <c r="AMC22"/>
      <c r="AMD22"/>
      <c r="AME22"/>
      <c r="AMF22"/>
      <c r="AMG22"/>
      <c r="AMH22"/>
      <c r="AMI22"/>
      <c r="AMJ22"/>
      <c r="AMK22"/>
    </row>
    <row r="23" spans="2:1025" ht="15.95" customHeight="1">
      <c r="B23" s="17" t="s">
        <v>43</v>
      </c>
      <c r="C23" s="19" t="s">
        <v>44</v>
      </c>
      <c r="D23" s="241"/>
      <c r="E23" s="241"/>
      <c r="F23" s="241"/>
      <c r="ALW23"/>
      <c r="ALX23"/>
      <c r="ALY23"/>
      <c r="ALZ23"/>
      <c r="AMA23"/>
      <c r="AMB23"/>
      <c r="AMC23"/>
      <c r="AMD23"/>
      <c r="AME23"/>
      <c r="AMF23"/>
      <c r="AMG23"/>
      <c r="AMH23"/>
      <c r="AMI23"/>
      <c r="AMJ23"/>
      <c r="AMK23"/>
    </row>
    <row r="24" spans="2:1025" ht="15.95" customHeight="1">
      <c r="B24" s="17" t="s">
        <v>45</v>
      </c>
      <c r="C24" s="19" t="s">
        <v>46</v>
      </c>
      <c r="D24" s="241"/>
      <c r="E24" s="241"/>
      <c r="F24" s="241"/>
      <c r="ALW24"/>
      <c r="ALX24"/>
      <c r="ALY24"/>
      <c r="ALZ24"/>
      <c r="AMA24"/>
      <c r="AMB24"/>
      <c r="AMC24"/>
      <c r="AMD24"/>
      <c r="AME24"/>
      <c r="AMF24"/>
      <c r="AMG24"/>
      <c r="AMH24"/>
      <c r="AMI24"/>
      <c r="AMJ24"/>
      <c r="AMK24"/>
    </row>
    <row r="25" spans="2:1025" ht="15.95" customHeight="1">
      <c r="B25" s="17" t="s">
        <v>47</v>
      </c>
      <c r="C25" s="19" t="s">
        <v>48</v>
      </c>
      <c r="D25" s="241"/>
      <c r="E25" s="241"/>
      <c r="F25" s="241"/>
      <c r="ALW25"/>
      <c r="ALX25"/>
      <c r="ALY25"/>
      <c r="ALZ25"/>
      <c r="AMA25"/>
      <c r="AMB25"/>
      <c r="AMC25"/>
      <c r="AMD25"/>
      <c r="AME25"/>
      <c r="AMF25"/>
      <c r="AMG25"/>
      <c r="AMH25"/>
      <c r="AMI25"/>
      <c r="AMJ25"/>
      <c r="AMK25"/>
    </row>
    <row r="26" spans="2:1025" ht="15.95" customHeight="1">
      <c r="B26" s="20"/>
      <c r="C26" s="21" t="s">
        <v>49</v>
      </c>
      <c r="D26" s="242">
        <f>SUM(D19:F25)</f>
        <v>1518.7909090909091</v>
      </c>
      <c r="E26" s="242"/>
      <c r="F26" s="242"/>
      <c r="ALW26"/>
      <c r="ALX26"/>
      <c r="ALY26"/>
      <c r="ALZ26"/>
      <c r="AMA26"/>
      <c r="AMB26"/>
      <c r="AMC26"/>
      <c r="AMD26"/>
      <c r="AME26"/>
      <c r="AMF26"/>
      <c r="AMG26"/>
      <c r="AMH26"/>
      <c r="AMI26"/>
      <c r="AMJ26"/>
      <c r="AMK26"/>
    </row>
    <row r="27" spans="2:1025" ht="15.95" customHeight="1">
      <c r="C27" s="236"/>
      <c r="D27" s="236"/>
      <c r="E27" s="236"/>
      <c r="F27" s="236"/>
      <c r="ALW27"/>
      <c r="ALX27"/>
      <c r="ALY27"/>
      <c r="ALZ27"/>
      <c r="AMA27"/>
      <c r="AMB27"/>
      <c r="AMC27"/>
      <c r="AMD27"/>
      <c r="AME27"/>
      <c r="AMF27"/>
      <c r="AMG27"/>
      <c r="AMH27"/>
      <c r="AMI27"/>
      <c r="AMJ27"/>
      <c r="AMK27"/>
    </row>
    <row r="28" spans="2:1025" ht="15.95" customHeight="1">
      <c r="B28" s="22"/>
      <c r="C28" s="237" t="s">
        <v>50</v>
      </c>
      <c r="D28" s="237"/>
      <c r="E28" s="237"/>
      <c r="F28" s="237"/>
      <c r="ALW28"/>
      <c r="ALX28"/>
      <c r="ALY28"/>
      <c r="ALZ28"/>
      <c r="AMA28"/>
      <c r="AMB28"/>
      <c r="AMC28"/>
      <c r="AMD28"/>
      <c r="AME28"/>
      <c r="AMF28"/>
      <c r="AMG28"/>
      <c r="AMH28"/>
      <c r="AMI28"/>
      <c r="AMJ28"/>
      <c r="AMK28"/>
    </row>
    <row r="29" spans="2:1025" ht="15.95" customHeight="1">
      <c r="B29" s="23"/>
      <c r="C29" s="238" t="s">
        <v>51</v>
      </c>
      <c r="D29" s="238"/>
      <c r="E29" s="238"/>
      <c r="F29" s="238"/>
      <c r="ALW29"/>
      <c r="ALX29"/>
      <c r="ALY29"/>
      <c r="ALZ29"/>
      <c r="AMA29"/>
      <c r="AMB29"/>
      <c r="AMC29"/>
      <c r="AMD29"/>
      <c r="AME29"/>
      <c r="AMF29"/>
      <c r="AMG29"/>
      <c r="AMH29"/>
      <c r="AMI29"/>
      <c r="AMJ29"/>
      <c r="AMK29"/>
    </row>
    <row r="30" spans="2:1025" ht="15.95" customHeight="1">
      <c r="B30" s="24" t="s">
        <v>52</v>
      </c>
      <c r="C30" s="25" t="s">
        <v>53</v>
      </c>
      <c r="D30" s="239" t="s">
        <v>54</v>
      </c>
      <c r="E30" s="239"/>
      <c r="F30" s="239"/>
      <c r="ALW30"/>
      <c r="ALX30"/>
      <c r="ALY30"/>
      <c r="ALZ30"/>
      <c r="AMA30"/>
      <c r="AMB30"/>
      <c r="AMC30"/>
      <c r="AMD30"/>
      <c r="AME30"/>
      <c r="AMF30"/>
      <c r="AMG30"/>
      <c r="AMH30"/>
      <c r="AMI30"/>
      <c r="AMJ30"/>
      <c r="AMK30"/>
    </row>
    <row r="31" spans="2:1025" ht="15.95" customHeight="1">
      <c r="B31" s="26" t="s">
        <v>6</v>
      </c>
      <c r="C31" s="27" t="s">
        <v>55</v>
      </c>
      <c r="D31" s="240">
        <f>ROUND(D26*(1/12),2)</f>
        <v>126.57</v>
      </c>
      <c r="E31" s="240"/>
      <c r="F31" s="240"/>
      <c r="ALW31"/>
      <c r="ALX31"/>
      <c r="ALY31"/>
      <c r="ALZ31"/>
      <c r="AMA31"/>
      <c r="AMB31"/>
      <c r="AMC31"/>
      <c r="AMD31"/>
      <c r="AME31"/>
      <c r="AMF31"/>
      <c r="AMG31"/>
      <c r="AMH31"/>
      <c r="AMI31"/>
      <c r="AMJ31"/>
      <c r="AMK31"/>
    </row>
    <row r="32" spans="2:1025" ht="15.95" customHeight="1">
      <c r="B32" s="28" t="s">
        <v>8</v>
      </c>
      <c r="C32" s="29" t="s">
        <v>56</v>
      </c>
      <c r="D32" s="234">
        <v>0</v>
      </c>
      <c r="E32" s="234"/>
      <c r="F32" s="234"/>
      <c r="ALW32"/>
      <c r="ALX32"/>
      <c r="ALY32"/>
      <c r="ALZ32"/>
      <c r="AMA32"/>
      <c r="AMB32"/>
      <c r="AMC32"/>
      <c r="AMD32"/>
      <c r="AME32"/>
      <c r="AMF32"/>
      <c r="AMG32"/>
      <c r="AMH32"/>
      <c r="AMI32"/>
      <c r="AMJ32"/>
      <c r="AMK32"/>
    </row>
    <row r="33" spans="2:1025" ht="15.95" customHeight="1">
      <c r="B33" s="30" t="s">
        <v>11</v>
      </c>
      <c r="C33" s="29" t="s">
        <v>57</v>
      </c>
      <c r="D33" s="234">
        <f>ROUND(D26*(1/3)/12,2)</f>
        <v>42.19</v>
      </c>
      <c r="E33" s="234"/>
      <c r="F33" s="234"/>
      <c r="ALW33"/>
      <c r="ALX33"/>
      <c r="ALY33"/>
      <c r="ALZ33"/>
      <c r="AMA33"/>
      <c r="AMB33"/>
      <c r="AMC33"/>
      <c r="AMD33"/>
      <c r="AME33"/>
      <c r="AMF33"/>
      <c r="AMG33"/>
      <c r="AMH33"/>
      <c r="AMI33"/>
      <c r="AMJ33"/>
      <c r="AMK33"/>
    </row>
    <row r="34" spans="2:1025" ht="15.95" customHeight="1">
      <c r="B34" s="31"/>
      <c r="C34" s="32" t="s">
        <v>58</v>
      </c>
      <c r="D34" s="211">
        <f>SUM(D31:F33)</f>
        <v>168.76</v>
      </c>
      <c r="E34" s="211"/>
      <c r="F34" s="211"/>
      <c r="ALW34"/>
      <c r="ALX34"/>
      <c r="ALY34"/>
      <c r="ALZ34"/>
      <c r="AMA34"/>
      <c r="AMB34"/>
      <c r="AMC34"/>
      <c r="AMD34"/>
      <c r="AME34"/>
      <c r="AMF34"/>
      <c r="AMG34"/>
      <c r="AMH34"/>
      <c r="AMI34"/>
      <c r="AMJ34"/>
      <c r="AMK34"/>
    </row>
    <row r="35" spans="2:1025" ht="15.95" customHeight="1">
      <c r="B35" s="2"/>
      <c r="C35" s="225" t="s">
        <v>59</v>
      </c>
      <c r="D35" s="225"/>
      <c r="E35" s="225"/>
      <c r="F35" s="225"/>
      <c r="ALW35"/>
      <c r="ALX35"/>
      <c r="ALY35"/>
      <c r="ALZ35"/>
      <c r="AMA35"/>
      <c r="AMB35"/>
      <c r="AMC35"/>
      <c r="AMD35"/>
      <c r="AME35"/>
      <c r="AMF35"/>
      <c r="AMG35"/>
      <c r="AMH35"/>
      <c r="AMI35"/>
      <c r="AMJ35"/>
      <c r="AMK35"/>
    </row>
    <row r="36" spans="2:1025" ht="15.95" customHeight="1">
      <c r="B36" s="2"/>
      <c r="C36" s="226"/>
      <c r="D36" s="226"/>
      <c r="E36" s="226"/>
      <c r="F36" s="226"/>
      <c r="ALW36"/>
      <c r="ALX36"/>
      <c r="ALY36"/>
      <c r="ALZ36"/>
      <c r="AMA36"/>
      <c r="AMB36"/>
      <c r="AMC36"/>
      <c r="AMD36"/>
      <c r="AME36"/>
      <c r="AMF36"/>
      <c r="AMG36"/>
      <c r="AMH36"/>
      <c r="AMI36"/>
      <c r="AMJ36"/>
      <c r="AMK36"/>
    </row>
    <row r="37" spans="2:1025" ht="15.95" customHeight="1">
      <c r="B37" s="2"/>
      <c r="C37" s="226"/>
      <c r="D37" s="226"/>
      <c r="E37" s="226"/>
      <c r="F37" s="226"/>
      <c r="ALW37"/>
      <c r="ALX37"/>
      <c r="ALY37"/>
      <c r="ALZ37"/>
      <c r="AMA37"/>
      <c r="AMB37"/>
      <c r="AMC37"/>
      <c r="AMD37"/>
      <c r="AME37"/>
      <c r="AMF37"/>
      <c r="AMG37"/>
      <c r="AMH37"/>
      <c r="AMI37"/>
      <c r="AMJ37"/>
      <c r="AMK37"/>
    </row>
    <row r="38" spans="2:1025" ht="15.95" customHeight="1">
      <c r="B38" s="2"/>
      <c r="C38" s="226"/>
      <c r="D38" s="226"/>
      <c r="E38" s="226"/>
      <c r="F38" s="226"/>
      <c r="ALW38"/>
      <c r="ALX38"/>
      <c r="ALY38"/>
      <c r="ALZ38"/>
      <c r="AMA38"/>
      <c r="AMB38"/>
      <c r="AMC38"/>
      <c r="AMD38"/>
      <c r="AME38"/>
      <c r="AMF38"/>
      <c r="AMG38"/>
      <c r="AMH38"/>
      <c r="AMI38"/>
      <c r="AMJ38"/>
      <c r="AMK38"/>
    </row>
    <row r="39" spans="2:1025" ht="15.95" customHeight="1">
      <c r="ALW39"/>
      <c r="ALX39"/>
      <c r="ALY39"/>
      <c r="ALZ39"/>
      <c r="AMA39"/>
      <c r="AMB39"/>
      <c r="AMC39"/>
      <c r="AMD39"/>
      <c r="AME39"/>
      <c r="AMF39"/>
      <c r="AMG39"/>
      <c r="AMH39"/>
      <c r="AMI39"/>
      <c r="AMJ39"/>
      <c r="AMK39"/>
    </row>
    <row r="40" spans="2:1025" ht="13.5" customHeight="1">
      <c r="B40" s="33"/>
      <c r="C40" s="235" t="s">
        <v>60</v>
      </c>
      <c r="D40" s="235"/>
      <c r="E40" s="235"/>
      <c r="F40" s="235"/>
      <c r="ALW40"/>
      <c r="ALX40"/>
      <c r="ALY40"/>
      <c r="ALZ40"/>
      <c r="AMA40"/>
      <c r="AMB40"/>
      <c r="AMC40"/>
      <c r="AMD40"/>
      <c r="AME40"/>
      <c r="AMF40"/>
      <c r="AMG40"/>
      <c r="AMH40"/>
      <c r="AMI40"/>
      <c r="AMJ40"/>
      <c r="AMK40"/>
    </row>
    <row r="41" spans="2:1025" ht="13.5" customHeight="1">
      <c r="B41" s="34" t="s">
        <v>61</v>
      </c>
      <c r="C41" s="35" t="s">
        <v>62</v>
      </c>
      <c r="D41" s="36" t="s">
        <v>63</v>
      </c>
      <c r="E41" s="199" t="s">
        <v>38</v>
      </c>
      <c r="F41" s="199"/>
      <c r="ALW41"/>
      <c r="ALX41"/>
      <c r="ALY41"/>
      <c r="ALZ41"/>
      <c r="AMA41"/>
      <c r="AMB41"/>
      <c r="AMC41"/>
      <c r="AMD41"/>
      <c r="AME41"/>
      <c r="AMF41"/>
      <c r="AMG41"/>
      <c r="AMH41"/>
      <c r="AMI41"/>
      <c r="AMJ41"/>
      <c r="AMK41"/>
    </row>
    <row r="42" spans="2:1025" ht="14.25" customHeight="1">
      <c r="B42" s="30" t="s">
        <v>6</v>
      </c>
      <c r="C42" s="37" t="s">
        <v>64</v>
      </c>
      <c r="D42" s="38">
        <v>0.2</v>
      </c>
      <c r="E42" s="206">
        <f>ROUND(($D$26+D34)*D42,2)</f>
        <v>337.51</v>
      </c>
      <c r="F42" s="206"/>
      <c r="ALW42"/>
      <c r="ALX42"/>
      <c r="ALY42"/>
      <c r="ALZ42"/>
      <c r="AMA42"/>
      <c r="AMB42"/>
      <c r="AMC42"/>
      <c r="AMD42"/>
      <c r="AME42"/>
      <c r="AMF42"/>
      <c r="AMG42"/>
      <c r="AMH42"/>
      <c r="AMI42"/>
      <c r="AMJ42"/>
      <c r="AMK42"/>
    </row>
    <row r="43" spans="2:1025" ht="14.25" customHeight="1">
      <c r="B43" s="30" t="s">
        <v>8</v>
      </c>
      <c r="C43" s="39" t="s">
        <v>65</v>
      </c>
      <c r="D43" s="40">
        <v>2.5000000000000001E-2</v>
      </c>
      <c r="E43" s="232">
        <f>ROUND(($D$26+D34)*D43,2)</f>
        <v>42.19</v>
      </c>
      <c r="F43" s="232"/>
      <c r="ALW43"/>
      <c r="ALX43"/>
      <c r="ALY43"/>
      <c r="ALZ43"/>
      <c r="AMA43"/>
      <c r="AMB43"/>
      <c r="AMC43"/>
      <c r="AMD43"/>
      <c r="AME43"/>
      <c r="AMF43"/>
      <c r="AMG43"/>
      <c r="AMH43"/>
      <c r="AMI43"/>
      <c r="AMJ43"/>
      <c r="AMK43"/>
    </row>
    <row r="44" spans="2:1025" ht="14.25" customHeight="1">
      <c r="B44" s="30" t="s">
        <v>11</v>
      </c>
      <c r="C44" s="41" t="s">
        <v>66</v>
      </c>
      <c r="D44" s="42">
        <v>0.03</v>
      </c>
      <c r="E44" s="233">
        <f>ROUND(($D$26+D34)*D44,2)</f>
        <v>50.63</v>
      </c>
      <c r="F44" s="233"/>
      <c r="ALW44"/>
      <c r="ALX44"/>
      <c r="ALY44"/>
      <c r="ALZ44"/>
      <c r="AMA44"/>
      <c r="AMB44"/>
      <c r="AMC44"/>
      <c r="AMD44"/>
      <c r="AME44"/>
      <c r="AMF44"/>
      <c r="AMG44"/>
      <c r="AMH44"/>
      <c r="AMI44"/>
      <c r="AMJ44"/>
      <c r="AMK44"/>
    </row>
    <row r="45" spans="2:1025" ht="14.25" customHeight="1">
      <c r="B45" s="30" t="s">
        <v>14</v>
      </c>
      <c r="C45" s="39" t="s">
        <v>67</v>
      </c>
      <c r="D45" s="40">
        <v>1.4999999999999999E-2</v>
      </c>
      <c r="E45" s="232">
        <f>ROUND(($D$26+D34)*D45,2)</f>
        <v>25.31</v>
      </c>
      <c r="F45" s="232"/>
      <c r="ALW45"/>
      <c r="ALX45"/>
      <c r="ALY45"/>
      <c r="ALZ45"/>
      <c r="AMA45"/>
      <c r="AMB45"/>
      <c r="AMC45"/>
      <c r="AMD45"/>
      <c r="AME45"/>
      <c r="AMF45"/>
      <c r="AMG45"/>
      <c r="AMH45"/>
      <c r="AMI45"/>
      <c r="AMJ45"/>
      <c r="AMK45"/>
    </row>
    <row r="46" spans="2:1025" ht="14.25" customHeight="1">
      <c r="B46" s="30" t="s">
        <v>43</v>
      </c>
      <c r="C46" s="39" t="s">
        <v>68</v>
      </c>
      <c r="D46" s="40">
        <v>0.01</v>
      </c>
      <c r="E46" s="232">
        <f>ROUND(($D$26+D34)*D46,2)</f>
        <v>16.88</v>
      </c>
      <c r="F46" s="232"/>
      <c r="ALW46"/>
      <c r="ALX46"/>
      <c r="ALY46"/>
      <c r="ALZ46"/>
      <c r="AMA46"/>
      <c r="AMB46"/>
      <c r="AMC46"/>
      <c r="AMD46"/>
      <c r="AME46"/>
      <c r="AMF46"/>
      <c r="AMG46"/>
      <c r="AMH46"/>
      <c r="AMI46"/>
      <c r="AMJ46"/>
      <c r="AMK46"/>
    </row>
    <row r="47" spans="2:1025" ht="14.25" customHeight="1">
      <c r="B47" s="30" t="s">
        <v>45</v>
      </c>
      <c r="C47" s="39" t="s">
        <v>69</v>
      </c>
      <c r="D47" s="40">
        <v>6.0000000000000001E-3</v>
      </c>
      <c r="E47" s="232">
        <f>ROUND(($D$26+D34)*D47,2)</f>
        <v>10.130000000000001</v>
      </c>
      <c r="F47" s="232"/>
      <c r="ALW47"/>
      <c r="ALX47"/>
      <c r="ALY47"/>
      <c r="ALZ47"/>
      <c r="AMA47"/>
      <c r="AMB47"/>
      <c r="AMC47"/>
      <c r="AMD47"/>
      <c r="AME47"/>
      <c r="AMF47"/>
      <c r="AMG47"/>
      <c r="AMH47"/>
      <c r="AMI47"/>
      <c r="AMJ47"/>
      <c r="AMK47"/>
    </row>
    <row r="48" spans="2:1025" ht="14.25" customHeight="1">
      <c r="B48" s="30" t="s">
        <v>47</v>
      </c>
      <c r="C48" s="39" t="s">
        <v>70</v>
      </c>
      <c r="D48" s="40">
        <v>2E-3</v>
      </c>
      <c r="E48" s="232">
        <f>ROUND(($D$26+D34)*D48,2)</f>
        <v>3.38</v>
      </c>
      <c r="F48" s="232"/>
      <c r="ALW48"/>
      <c r="ALX48"/>
      <c r="ALY48"/>
      <c r="ALZ48"/>
      <c r="AMA48"/>
      <c r="AMB48"/>
      <c r="AMC48"/>
      <c r="AMD48"/>
      <c r="AME48"/>
      <c r="AMF48"/>
      <c r="AMG48"/>
      <c r="AMH48"/>
      <c r="AMI48"/>
      <c r="AMJ48"/>
      <c r="AMK48"/>
    </row>
    <row r="49" spans="2:1025" ht="14.25" customHeight="1">
      <c r="B49" s="30" t="s">
        <v>71</v>
      </c>
      <c r="C49" s="41" t="s">
        <v>72</v>
      </c>
      <c r="D49" s="43">
        <v>0.08</v>
      </c>
      <c r="E49" s="201">
        <f>ROUND(($D$26+D34)*D49,2)</f>
        <v>135</v>
      </c>
      <c r="F49" s="201"/>
      <c r="ALW49"/>
      <c r="ALX49"/>
      <c r="ALY49"/>
      <c r="ALZ49"/>
      <c r="AMA49"/>
      <c r="AMB49"/>
      <c r="AMC49"/>
      <c r="AMD49"/>
      <c r="AME49"/>
      <c r="AMF49"/>
      <c r="AMG49"/>
      <c r="AMH49"/>
      <c r="AMI49"/>
      <c r="AMJ49"/>
      <c r="AMK49"/>
    </row>
    <row r="50" spans="2:1025" ht="14.25" customHeight="1">
      <c r="B50" s="44"/>
      <c r="C50" s="45" t="s">
        <v>73</v>
      </c>
      <c r="D50" s="46">
        <f>SUM(D42:D49)</f>
        <v>0.36800000000000005</v>
      </c>
      <c r="E50" s="202">
        <f>SUM(E42:F49)</f>
        <v>621.03</v>
      </c>
      <c r="F50" s="202"/>
      <c r="ALW50"/>
      <c r="ALX50"/>
      <c r="ALY50"/>
      <c r="ALZ50"/>
      <c r="AMA50"/>
      <c r="AMB50"/>
      <c r="AMC50"/>
      <c r="AMD50"/>
      <c r="AME50"/>
      <c r="AMF50"/>
      <c r="AMG50"/>
      <c r="AMH50"/>
      <c r="AMI50"/>
      <c r="AMJ50"/>
      <c r="AMK50"/>
    </row>
    <row r="51" spans="2:1025" ht="14.25" customHeight="1">
      <c r="C51" s="47" t="s">
        <v>74</v>
      </c>
      <c r="ALW51"/>
      <c r="ALX51"/>
      <c r="ALY51"/>
      <c r="ALZ51"/>
      <c r="AMA51"/>
      <c r="AMB51"/>
      <c r="AMC51"/>
      <c r="AMD51"/>
      <c r="AME51"/>
      <c r="AMF51"/>
      <c r="AMG51"/>
      <c r="AMH51"/>
      <c r="AMI51"/>
      <c r="AMJ51"/>
      <c r="AMK51"/>
    </row>
    <row r="52" spans="2:1025" ht="14.25" customHeight="1">
      <c r="C52" s="47"/>
      <c r="ALW52"/>
      <c r="ALX52"/>
      <c r="ALY52"/>
      <c r="ALZ52"/>
      <c r="AMA52"/>
      <c r="AMB52"/>
      <c r="AMC52"/>
      <c r="AMD52"/>
      <c r="AME52"/>
      <c r="AMF52"/>
      <c r="AMG52"/>
      <c r="AMH52"/>
      <c r="AMI52"/>
      <c r="AMJ52"/>
      <c r="AMK52"/>
    </row>
    <row r="53" spans="2:1025" ht="14.25" customHeight="1">
      <c r="B53" s="22"/>
      <c r="C53" s="229" t="s">
        <v>75</v>
      </c>
      <c r="D53" s="229"/>
      <c r="E53" s="229"/>
      <c r="F53" s="229"/>
      <c r="ALW53"/>
      <c r="ALX53"/>
      <c r="ALY53"/>
      <c r="ALZ53"/>
      <c r="AMA53"/>
      <c r="AMB53"/>
      <c r="AMC53"/>
      <c r="AMD53"/>
      <c r="AME53"/>
      <c r="AMF53"/>
      <c r="AMG53"/>
      <c r="AMH53"/>
      <c r="AMI53"/>
      <c r="AMJ53"/>
      <c r="AMK53"/>
    </row>
    <row r="54" spans="2:1025" ht="14.25" customHeight="1">
      <c r="B54" s="34" t="s">
        <v>76</v>
      </c>
      <c r="C54" s="48" t="s">
        <v>77</v>
      </c>
      <c r="D54" s="230" t="s">
        <v>38</v>
      </c>
      <c r="E54" s="230"/>
      <c r="F54" s="230"/>
      <c r="ALW54"/>
      <c r="ALX54"/>
      <c r="ALY54"/>
      <c r="ALZ54"/>
      <c r="AMA54"/>
      <c r="AMB54"/>
      <c r="AMC54"/>
      <c r="AMD54"/>
      <c r="AME54"/>
      <c r="AMF54"/>
      <c r="AMG54"/>
      <c r="AMH54"/>
      <c r="AMI54"/>
      <c r="AMJ54"/>
      <c r="AMK54"/>
    </row>
    <row r="55" spans="2:1025" ht="14.25" customHeight="1">
      <c r="B55" s="30" t="s">
        <v>6</v>
      </c>
      <c r="C55" s="49" t="s">
        <v>78</v>
      </c>
      <c r="D55" s="231">
        <f>ROUND(4.2*2*D10-(D19*0.06),2)</f>
        <v>83</v>
      </c>
      <c r="E55" s="231"/>
      <c r="F55" s="231"/>
      <c r="ALW55"/>
      <c r="ALX55"/>
      <c r="ALY55"/>
      <c r="ALZ55"/>
      <c r="AMA55"/>
      <c r="AMB55"/>
      <c r="AMC55"/>
      <c r="AMD55"/>
      <c r="AME55"/>
      <c r="AMF55"/>
      <c r="AMG55"/>
      <c r="AMH55"/>
      <c r="AMI55"/>
      <c r="AMJ55"/>
      <c r="AMK55"/>
    </row>
    <row r="56" spans="2:1025" ht="14.25" customHeight="1">
      <c r="B56" s="30" t="s">
        <v>8</v>
      </c>
      <c r="C56" s="50" t="s">
        <v>79</v>
      </c>
      <c r="D56" s="210">
        <f>ROUND((17.99*22)*(1-0.035),2)</f>
        <v>381.93</v>
      </c>
      <c r="E56" s="210"/>
      <c r="F56" s="210"/>
      <c r="ALW56"/>
      <c r="ALX56"/>
      <c r="ALY56"/>
      <c r="ALZ56"/>
      <c r="AMA56"/>
      <c r="AMB56"/>
      <c r="AMC56"/>
      <c r="AMD56"/>
      <c r="AME56"/>
      <c r="AMF56"/>
      <c r="AMG56"/>
      <c r="AMH56"/>
      <c r="AMI56"/>
      <c r="AMJ56"/>
      <c r="AMK56"/>
    </row>
    <row r="57" spans="2:1025" ht="14.25" customHeight="1">
      <c r="B57" s="30" t="s">
        <v>11</v>
      </c>
      <c r="C57" s="118" t="s">
        <v>80</v>
      </c>
      <c r="D57" s="210">
        <v>83.3</v>
      </c>
      <c r="E57" s="210"/>
      <c r="F57" s="210"/>
      <c r="ALW57"/>
      <c r="ALX57"/>
      <c r="ALY57"/>
      <c r="ALZ57"/>
      <c r="AMA57"/>
      <c r="AMB57"/>
      <c r="AMC57"/>
      <c r="AMD57"/>
      <c r="AME57"/>
      <c r="AMF57"/>
      <c r="AMG57"/>
      <c r="AMH57"/>
      <c r="AMI57"/>
      <c r="AMJ57"/>
      <c r="AMK57"/>
    </row>
    <row r="58" spans="2:1025" ht="14.25" customHeight="1">
      <c r="B58" s="30" t="s">
        <v>14</v>
      </c>
      <c r="C58" s="118" t="s">
        <v>81</v>
      </c>
      <c r="D58" s="210">
        <f>ROUND(((246.63*6)/12)*0.0624*0.75,2)</f>
        <v>5.77</v>
      </c>
      <c r="E58" s="210"/>
      <c r="F58" s="210"/>
      <c r="ALW58"/>
      <c r="ALX58"/>
      <c r="ALY58"/>
      <c r="ALZ58"/>
      <c r="AMA58"/>
      <c r="AMB58"/>
      <c r="AMC58"/>
      <c r="AMD58"/>
      <c r="AME58"/>
      <c r="AMF58"/>
      <c r="AMG58"/>
      <c r="AMH58"/>
      <c r="AMI58"/>
      <c r="AMJ58"/>
      <c r="AMK58"/>
    </row>
    <row r="59" spans="2:1025" ht="14.25" customHeight="1">
      <c r="B59" s="30" t="s">
        <v>43</v>
      </c>
      <c r="C59" s="118" t="s">
        <v>82</v>
      </c>
      <c r="D59" s="210">
        <v>5</v>
      </c>
      <c r="E59" s="210"/>
      <c r="F59" s="210"/>
      <c r="ALW59"/>
      <c r="ALX59"/>
      <c r="ALY59"/>
      <c r="ALZ59"/>
      <c r="AMA59"/>
      <c r="AMB59"/>
      <c r="AMC59"/>
      <c r="AMD59"/>
      <c r="AME59"/>
      <c r="AMF59"/>
      <c r="AMG59"/>
      <c r="AMH59"/>
      <c r="AMI59"/>
      <c r="AMJ59"/>
      <c r="AMK59"/>
    </row>
    <row r="60" spans="2:1025" ht="14.25" customHeight="1">
      <c r="B60" s="30" t="s">
        <v>45</v>
      </c>
      <c r="C60" s="51" t="s">
        <v>83</v>
      </c>
      <c r="D60" s="210">
        <v>3</v>
      </c>
      <c r="E60" s="210"/>
      <c r="F60" s="210"/>
      <c r="ALW60"/>
      <c r="ALX60"/>
      <c r="ALY60"/>
      <c r="ALZ60"/>
      <c r="AMA60"/>
      <c r="AMB60"/>
      <c r="AMC60"/>
      <c r="AMD60"/>
      <c r="AME60"/>
      <c r="AMF60"/>
      <c r="AMG60"/>
      <c r="AMH60"/>
      <c r="AMI60"/>
      <c r="AMJ60"/>
      <c r="AMK60"/>
    </row>
    <row r="61" spans="2:1025" ht="14.25" customHeight="1">
      <c r="B61" s="30" t="s">
        <v>47</v>
      </c>
      <c r="C61" s="50" t="s">
        <v>84</v>
      </c>
      <c r="D61" s="210">
        <v>8</v>
      </c>
      <c r="E61" s="210"/>
      <c r="F61" s="210"/>
      <c r="ALW61"/>
      <c r="ALX61"/>
      <c r="ALY61"/>
      <c r="ALZ61"/>
      <c r="AMA61"/>
      <c r="AMB61"/>
      <c r="AMC61"/>
      <c r="AMD61"/>
      <c r="AME61"/>
      <c r="AMF61"/>
      <c r="AMG61"/>
      <c r="AMH61"/>
      <c r="AMI61"/>
      <c r="AMJ61"/>
      <c r="AMK61"/>
    </row>
    <row r="62" spans="2:1025" ht="14.25" customHeight="1">
      <c r="B62" s="44"/>
      <c r="C62" s="52" t="s">
        <v>85</v>
      </c>
      <c r="D62" s="228">
        <f>SUM(D55:F61)</f>
        <v>570</v>
      </c>
      <c r="E62" s="228"/>
      <c r="F62" s="228"/>
      <c r="ALW62"/>
      <c r="ALX62"/>
      <c r="ALY62"/>
      <c r="ALZ62"/>
      <c r="AMA62"/>
      <c r="AMB62"/>
      <c r="AMC62"/>
      <c r="AMD62"/>
      <c r="AME62"/>
      <c r="AMF62"/>
      <c r="AMG62"/>
      <c r="AMH62"/>
      <c r="AMI62"/>
      <c r="AMJ62"/>
      <c r="AMK62"/>
    </row>
    <row r="63" spans="2:1025" ht="14.25" customHeight="1">
      <c r="C63" s="225" t="s">
        <v>86</v>
      </c>
      <c r="D63" s="225"/>
      <c r="E63" s="225"/>
      <c r="F63" s="225"/>
      <c r="ALW63"/>
      <c r="ALX63"/>
      <c r="ALY63"/>
      <c r="ALZ63"/>
      <c r="AMA63"/>
      <c r="AMB63"/>
      <c r="AMC63"/>
      <c r="AMD63"/>
      <c r="AME63"/>
      <c r="AMF63"/>
      <c r="AMG63"/>
      <c r="AMH63"/>
      <c r="AMI63"/>
      <c r="AMJ63"/>
      <c r="AMK63"/>
    </row>
    <row r="64" spans="2:1025" ht="14.25" customHeight="1">
      <c r="C64" s="226"/>
      <c r="D64" s="226"/>
      <c r="E64" s="226"/>
      <c r="F64" s="226"/>
      <c r="ALW64"/>
      <c r="ALX64"/>
      <c r="ALY64"/>
      <c r="ALZ64"/>
      <c r="AMA64"/>
      <c r="AMB64"/>
      <c r="AMC64"/>
      <c r="AMD64"/>
      <c r="AME64"/>
      <c r="AMF64"/>
      <c r="AMG64"/>
      <c r="AMH64"/>
      <c r="AMI64"/>
      <c r="AMJ64"/>
      <c r="AMK64"/>
    </row>
    <row r="65" spans="2:1025" ht="14.25" customHeight="1">
      <c r="C65" s="226"/>
      <c r="D65" s="226"/>
      <c r="E65" s="226"/>
      <c r="F65" s="226"/>
      <c r="ALW65"/>
      <c r="ALX65"/>
      <c r="ALY65"/>
      <c r="ALZ65"/>
      <c r="AMA65"/>
      <c r="AMB65"/>
      <c r="AMC65"/>
      <c r="AMD65"/>
      <c r="AME65"/>
      <c r="AMF65"/>
      <c r="AMG65"/>
      <c r="AMH65"/>
      <c r="AMI65"/>
      <c r="AMJ65"/>
      <c r="AMK65"/>
    </row>
    <row r="66" spans="2:1025" ht="14.25" customHeight="1">
      <c r="C66" s="226"/>
      <c r="D66" s="226"/>
      <c r="E66" s="226"/>
      <c r="F66" s="226"/>
      <c r="ALW66"/>
      <c r="ALX66"/>
      <c r="ALY66"/>
      <c r="ALZ66"/>
      <c r="AMA66"/>
      <c r="AMB66"/>
      <c r="AMC66"/>
      <c r="AMD66"/>
      <c r="AME66"/>
      <c r="AMF66"/>
      <c r="AMG66"/>
      <c r="AMH66"/>
      <c r="AMI66"/>
      <c r="AMJ66"/>
      <c r="AMK66"/>
    </row>
    <row r="67" spans="2:1025" ht="14.25" customHeight="1">
      <c r="B67" s="55"/>
      <c r="C67" s="212" t="s">
        <v>87</v>
      </c>
      <c r="D67" s="212"/>
      <c r="E67" s="212"/>
      <c r="F67" s="212"/>
      <c r="ALW67"/>
      <c r="ALX67"/>
      <c r="ALY67"/>
      <c r="ALZ67"/>
      <c r="AMA67"/>
      <c r="AMB67"/>
      <c r="AMC67"/>
      <c r="AMD67"/>
      <c r="AME67"/>
      <c r="AMF67"/>
      <c r="AMG67"/>
      <c r="AMH67"/>
      <c r="AMI67"/>
      <c r="AMJ67"/>
      <c r="AMK67"/>
    </row>
    <row r="68" spans="2:1025" ht="14.25" customHeight="1">
      <c r="B68" s="57">
        <v>2</v>
      </c>
      <c r="C68" s="58" t="s">
        <v>88</v>
      </c>
      <c r="D68" s="213" t="s">
        <v>54</v>
      </c>
      <c r="E68" s="213"/>
      <c r="F68" s="213"/>
      <c r="ALW68"/>
      <c r="ALX68"/>
      <c r="ALY68"/>
      <c r="ALZ68"/>
      <c r="AMA68"/>
      <c r="AMB68"/>
      <c r="AMC68"/>
      <c r="AMD68"/>
      <c r="AME68"/>
      <c r="AMF68"/>
      <c r="AMG68"/>
      <c r="AMH68"/>
      <c r="AMI68"/>
      <c r="AMJ68"/>
      <c r="AMK68"/>
    </row>
    <row r="69" spans="2:1025" ht="14.25" customHeight="1">
      <c r="B69" s="59" t="s">
        <v>52</v>
      </c>
      <c r="C69" s="60" t="s">
        <v>53</v>
      </c>
      <c r="D69" s="214">
        <f>D34</f>
        <v>168.76</v>
      </c>
      <c r="E69" s="214"/>
      <c r="F69" s="214"/>
      <c r="ALW69"/>
      <c r="ALX69"/>
      <c r="ALY69"/>
      <c r="ALZ69"/>
      <c r="AMA69"/>
      <c r="AMB69"/>
      <c r="AMC69"/>
      <c r="AMD69"/>
      <c r="AME69"/>
      <c r="AMF69"/>
      <c r="AMG69"/>
      <c r="AMH69"/>
      <c r="AMI69"/>
      <c r="AMJ69"/>
      <c r="AMK69"/>
    </row>
    <row r="70" spans="2:1025" ht="14.25" customHeight="1">
      <c r="B70" s="61" t="s">
        <v>61</v>
      </c>
      <c r="C70" s="62" t="s">
        <v>62</v>
      </c>
      <c r="D70" s="215">
        <f>E50</f>
        <v>621.03</v>
      </c>
      <c r="E70" s="215"/>
      <c r="F70" s="215"/>
      <c r="ALW70"/>
      <c r="ALX70"/>
      <c r="ALY70"/>
      <c r="ALZ70"/>
      <c r="AMA70"/>
      <c r="AMB70"/>
      <c r="AMC70"/>
      <c r="AMD70"/>
      <c r="AME70"/>
      <c r="AMF70"/>
      <c r="AMG70"/>
      <c r="AMH70"/>
      <c r="AMI70"/>
      <c r="AMJ70"/>
      <c r="AMK70"/>
    </row>
    <row r="71" spans="2:1025" ht="14.25" customHeight="1">
      <c r="B71" s="63" t="s">
        <v>76</v>
      </c>
      <c r="C71" s="64" t="s">
        <v>77</v>
      </c>
      <c r="D71" s="227">
        <f>D62</f>
        <v>570</v>
      </c>
      <c r="E71" s="227"/>
      <c r="F71" s="227"/>
      <c r="ALW71"/>
      <c r="ALX71"/>
      <c r="ALY71"/>
      <c r="ALZ71"/>
      <c r="AMA71"/>
      <c r="AMB71"/>
      <c r="AMC71"/>
      <c r="AMD71"/>
      <c r="AME71"/>
      <c r="AMF71"/>
      <c r="AMG71"/>
      <c r="AMH71"/>
      <c r="AMI71"/>
      <c r="AMJ71"/>
      <c r="AMK71"/>
    </row>
    <row r="72" spans="2:1025" ht="14.25" customHeight="1">
      <c r="B72" s="55"/>
      <c r="C72" s="56" t="s">
        <v>58</v>
      </c>
      <c r="D72" s="223">
        <f>SUM(D69:F71)</f>
        <v>1359.79</v>
      </c>
      <c r="E72" s="223"/>
      <c r="F72" s="223"/>
      <c r="ALW72"/>
      <c r="ALX72"/>
      <c r="ALY72"/>
      <c r="ALZ72"/>
      <c r="AMA72"/>
      <c r="AMB72"/>
      <c r="AMC72"/>
      <c r="AMD72"/>
      <c r="AME72"/>
      <c r="AMF72"/>
      <c r="AMG72"/>
      <c r="AMH72"/>
      <c r="AMI72"/>
      <c r="AMJ72"/>
      <c r="AMK72"/>
    </row>
    <row r="73" spans="2:1025" ht="14.25" customHeight="1">
      <c r="C73" s="53"/>
      <c r="D73" s="54"/>
      <c r="E73" s="54"/>
      <c r="F73" s="54"/>
      <c r="ALW73"/>
      <c r="ALX73"/>
      <c r="ALY73"/>
      <c r="ALZ73"/>
      <c r="AMA73"/>
      <c r="AMB73"/>
      <c r="AMC73"/>
      <c r="AMD73"/>
      <c r="AME73"/>
      <c r="AMF73"/>
      <c r="AMG73"/>
      <c r="AMH73"/>
      <c r="AMI73"/>
      <c r="AMJ73"/>
      <c r="AMK73"/>
    </row>
    <row r="74" spans="2:1025" ht="14.25" customHeight="1">
      <c r="B74" s="14"/>
      <c r="C74" s="212" t="s">
        <v>89</v>
      </c>
      <c r="D74" s="212"/>
      <c r="E74" s="212"/>
      <c r="F74" s="212"/>
      <c r="ALW74"/>
      <c r="ALX74"/>
      <c r="ALY74"/>
      <c r="ALZ74"/>
      <c r="AMA74"/>
      <c r="AMB74"/>
      <c r="AMC74"/>
      <c r="AMD74"/>
      <c r="AME74"/>
      <c r="AMF74"/>
      <c r="AMG74"/>
      <c r="AMH74"/>
      <c r="AMI74"/>
      <c r="AMJ74"/>
      <c r="AMK74"/>
    </row>
    <row r="75" spans="2:1025" ht="14.25" customHeight="1">
      <c r="B75" s="15">
        <v>3</v>
      </c>
      <c r="C75" s="65" t="s">
        <v>90</v>
      </c>
      <c r="D75" s="224" t="s">
        <v>38</v>
      </c>
      <c r="E75" s="224"/>
      <c r="F75" s="224"/>
      <c r="ALW75"/>
      <c r="ALX75"/>
      <c r="ALY75"/>
      <c r="ALZ75"/>
      <c r="AMA75"/>
      <c r="AMB75"/>
      <c r="AMC75"/>
      <c r="AMD75"/>
      <c r="AME75"/>
      <c r="AMF75"/>
      <c r="AMG75"/>
      <c r="AMH75"/>
      <c r="AMI75"/>
      <c r="AMJ75"/>
      <c r="AMK75"/>
    </row>
    <row r="76" spans="2:1025" ht="14.25" customHeight="1">
      <c r="B76" s="17" t="s">
        <v>6</v>
      </c>
      <c r="C76" s="66" t="s">
        <v>91</v>
      </c>
      <c r="D76" s="206">
        <f>ROUND(((D26+D69)/12)*0.4921,2)</f>
        <v>69.2</v>
      </c>
      <c r="E76" s="206"/>
      <c r="F76" s="206"/>
      <c r="H76" s="117"/>
      <c r="ALW76"/>
      <c r="ALX76"/>
      <c r="ALY76"/>
      <c r="ALZ76"/>
      <c r="AMA76"/>
      <c r="AMB76"/>
      <c r="AMC76"/>
      <c r="AMD76"/>
      <c r="AME76"/>
      <c r="AMF76"/>
      <c r="AMG76"/>
      <c r="AMH76"/>
      <c r="AMI76"/>
      <c r="AMJ76"/>
      <c r="AMK76"/>
    </row>
    <row r="77" spans="2:1025" ht="14.25" customHeight="1">
      <c r="B77" s="17" t="s">
        <v>8</v>
      </c>
      <c r="C77" s="67" t="s">
        <v>92</v>
      </c>
      <c r="D77" s="201">
        <f>ROUND(D76*D49,2)</f>
        <v>5.54</v>
      </c>
      <c r="E77" s="201"/>
      <c r="F77" s="201"/>
    </row>
    <row r="78" spans="2:1025" ht="14.25" customHeight="1">
      <c r="B78" s="17" t="s">
        <v>11</v>
      </c>
      <c r="C78" s="67" t="s">
        <v>93</v>
      </c>
      <c r="D78" s="201">
        <f>ROUND(($D$26+$D$69)*0.4*0.08*0.2426,2)</f>
        <v>13.1</v>
      </c>
      <c r="E78" s="201"/>
      <c r="F78" s="201"/>
    </row>
    <row r="79" spans="2:1025" ht="14.25" customHeight="1">
      <c r="B79" s="17" t="s">
        <v>14</v>
      </c>
      <c r="C79" s="67" t="s">
        <v>94</v>
      </c>
      <c r="D79" s="201">
        <f>ROUND((((D26+D72)/12)*0.4921)*7/30,2)</f>
        <v>27.54</v>
      </c>
      <c r="E79" s="201"/>
      <c r="F79" s="201"/>
    </row>
    <row r="80" spans="2:1025" ht="14.25" customHeight="1">
      <c r="B80" s="17" t="s">
        <v>43</v>
      </c>
      <c r="C80" s="67" t="s">
        <v>95</v>
      </c>
      <c r="D80" s="201">
        <f>ROUND(D79*D50,2)</f>
        <v>10.130000000000001</v>
      </c>
      <c r="E80" s="201"/>
      <c r="F80" s="201"/>
    </row>
    <row r="81" spans="2:10" ht="14.25" customHeight="1">
      <c r="B81" s="17" t="s">
        <v>45</v>
      </c>
      <c r="C81" s="67" t="s">
        <v>96</v>
      </c>
      <c r="D81" s="201">
        <f>ROUND(($D$26+$D$72)*0.4*0.08*0.2426,2)</f>
        <v>22.35</v>
      </c>
      <c r="E81" s="201"/>
      <c r="F81" s="201"/>
    </row>
    <row r="82" spans="2:10" ht="14.25" customHeight="1">
      <c r="B82" s="17" t="s">
        <v>47</v>
      </c>
      <c r="C82" s="67" t="s">
        <v>97</v>
      </c>
      <c r="D82" s="220">
        <f>ROUND(D69*(-1)*0.0158,2)</f>
        <v>-2.67</v>
      </c>
      <c r="E82" s="220"/>
      <c r="F82" s="220"/>
    </row>
    <row r="83" spans="2:10" ht="14.25" customHeight="1" thickBot="1">
      <c r="B83" s="20"/>
      <c r="C83" s="68" t="s">
        <v>73</v>
      </c>
      <c r="D83" s="202">
        <f>SUM(D76:F82)</f>
        <v>145.19</v>
      </c>
      <c r="E83" s="202"/>
      <c r="F83" s="202"/>
    </row>
    <row r="84" spans="2:10" ht="36.75" customHeight="1">
      <c r="C84" s="221" t="s">
        <v>98</v>
      </c>
      <c r="D84" s="221"/>
      <c r="E84" s="221"/>
      <c r="F84" s="221"/>
    </row>
    <row r="85" spans="2:10" ht="14.25" customHeight="1">
      <c r="C85" s="222"/>
      <c r="D85" s="222"/>
      <c r="E85" s="222"/>
      <c r="F85" s="222"/>
    </row>
    <row r="86" spans="2:10" ht="14.25" customHeight="1">
      <c r="C86" s="222"/>
      <c r="D86" s="222"/>
      <c r="E86" s="222"/>
      <c r="F86" s="222"/>
    </row>
    <row r="87" spans="2:10" ht="14.25" customHeight="1">
      <c r="C87" s="222"/>
      <c r="D87" s="222"/>
      <c r="E87" s="222"/>
      <c r="F87" s="222"/>
    </row>
    <row r="88" spans="2:10" ht="26.25" customHeight="1">
      <c r="C88" s="222"/>
      <c r="D88" s="222"/>
      <c r="E88" s="222"/>
      <c r="F88" s="222"/>
    </row>
    <row r="89" spans="2:10" ht="14.25" customHeight="1" thickBot="1"/>
    <row r="90" spans="2:10" ht="14.25" customHeight="1">
      <c r="B90" s="69"/>
      <c r="C90" s="205" t="s">
        <v>99</v>
      </c>
      <c r="D90" s="205"/>
      <c r="E90" s="205"/>
      <c r="F90" s="205"/>
    </row>
    <row r="91" spans="2:10" ht="14.25" customHeight="1">
      <c r="B91" s="70"/>
      <c r="C91" s="216" t="s">
        <v>100</v>
      </c>
      <c r="D91" s="216"/>
      <c r="E91" s="216"/>
      <c r="F91" s="216"/>
    </row>
    <row r="92" spans="2:10" ht="14.25" customHeight="1">
      <c r="B92" s="71" t="s">
        <v>101</v>
      </c>
      <c r="C92" s="65" t="s">
        <v>102</v>
      </c>
      <c r="D92" s="199" t="s">
        <v>38</v>
      </c>
      <c r="E92" s="199"/>
      <c r="F92" s="199"/>
    </row>
    <row r="93" spans="2:10" ht="14.25" customHeight="1">
      <c r="B93" s="17" t="s">
        <v>6</v>
      </c>
      <c r="C93" s="67" t="s">
        <v>103</v>
      </c>
      <c r="D93" s="201">
        <f>ROUND((D26+D34+D31+D62+D83)/11,2)</f>
        <v>229.94</v>
      </c>
      <c r="E93" s="201"/>
      <c r="F93" s="201"/>
      <c r="I93" s="117"/>
      <c r="J93" s="117"/>
    </row>
    <row r="94" spans="2:10" ht="14.25" customHeight="1">
      <c r="B94" s="17" t="s">
        <v>8</v>
      </c>
      <c r="C94" s="67" t="s">
        <v>102</v>
      </c>
      <c r="D94" s="201">
        <f>ROUND((((D$26+D$34+D31+D$62+D$83)/30)*1)/12,2)</f>
        <v>7.03</v>
      </c>
      <c r="E94" s="201"/>
      <c r="F94" s="201"/>
    </row>
    <row r="95" spans="2:10" ht="14.25" customHeight="1">
      <c r="B95" s="17" t="s">
        <v>11</v>
      </c>
      <c r="C95" s="67" t="s">
        <v>104</v>
      </c>
      <c r="D95" s="201">
        <f>ROUND((((((D$26+D$34+D$31+D$62+D$83)/30)*5)/12)*0.0624)*0.25,2)</f>
        <v>0.55000000000000004</v>
      </c>
      <c r="E95" s="201"/>
      <c r="F95" s="201"/>
    </row>
    <row r="96" spans="2:10" ht="14.25" customHeight="1">
      <c r="B96" s="17" t="s">
        <v>14</v>
      </c>
      <c r="C96" s="67" t="s">
        <v>105</v>
      </c>
      <c r="D96" s="201">
        <f>ROUND((((D$26+D$34+D$31+D$62+D$83)/30)*0.91)/12,2)</f>
        <v>6.39</v>
      </c>
      <c r="E96" s="201"/>
      <c r="F96" s="201"/>
    </row>
    <row r="97" spans="2:7" ht="14.25" customHeight="1">
      <c r="B97" s="17" t="s">
        <v>45</v>
      </c>
      <c r="C97" s="67" t="s">
        <v>106</v>
      </c>
      <c r="D97" s="201">
        <f>ROUND((((D$26+D$34+D$31+D$62+D$83)/30)*5.96)/12,2)</f>
        <v>41.87</v>
      </c>
      <c r="E97" s="201"/>
      <c r="F97" s="201"/>
    </row>
    <row r="98" spans="2:7" ht="14.25" customHeight="1">
      <c r="B98" s="17" t="s">
        <v>47</v>
      </c>
      <c r="C98" s="67" t="s">
        <v>48</v>
      </c>
      <c r="D98" s="201">
        <v>0</v>
      </c>
      <c r="E98" s="201"/>
      <c r="F98" s="201"/>
      <c r="G98" s="72"/>
    </row>
    <row r="99" spans="2:7" ht="14.25" customHeight="1">
      <c r="B99" s="20"/>
      <c r="C99" s="68" t="s">
        <v>73</v>
      </c>
      <c r="D99" s="202">
        <f>SUM(D93:F98)</f>
        <v>285.77999999999997</v>
      </c>
      <c r="E99" s="202"/>
      <c r="F99" s="202"/>
    </row>
    <row r="100" spans="2:7" ht="14.25" customHeight="1"/>
    <row r="101" spans="2:7" ht="14.25" customHeight="1">
      <c r="B101" s="73"/>
      <c r="C101" s="216" t="s">
        <v>107</v>
      </c>
      <c r="D101" s="216"/>
      <c r="E101" s="216"/>
      <c r="F101" s="216"/>
    </row>
    <row r="102" spans="2:7" ht="14.25" customHeight="1">
      <c r="B102" s="74" t="s">
        <v>108</v>
      </c>
      <c r="C102" s="75" t="s">
        <v>109</v>
      </c>
      <c r="D102" s="217" t="s">
        <v>38</v>
      </c>
      <c r="E102" s="218"/>
      <c r="F102" s="219"/>
    </row>
    <row r="103" spans="2:7" ht="14.25" customHeight="1">
      <c r="B103" s="76" t="s">
        <v>6</v>
      </c>
      <c r="C103" s="77" t="s">
        <v>110</v>
      </c>
      <c r="D103" s="201">
        <v>0</v>
      </c>
      <c r="E103" s="201"/>
      <c r="F103" s="201"/>
    </row>
    <row r="104" spans="2:7" ht="14.25" customHeight="1">
      <c r="B104" s="73"/>
      <c r="C104" s="78" t="s">
        <v>73</v>
      </c>
      <c r="D104" s="211">
        <f>SUM(D103)</f>
        <v>0</v>
      </c>
      <c r="E104" s="211"/>
      <c r="F104" s="211"/>
      <c r="G104" s="72"/>
    </row>
    <row r="105" spans="2:7" ht="14.25" customHeight="1"/>
    <row r="106" spans="2:7" ht="14.25" customHeight="1">
      <c r="B106" s="55"/>
      <c r="C106" s="212" t="s">
        <v>111</v>
      </c>
      <c r="D106" s="212"/>
      <c r="E106" s="212"/>
      <c r="F106" s="212"/>
    </row>
    <row r="107" spans="2:7" ht="14.25" customHeight="1">
      <c r="B107" s="79">
        <v>4</v>
      </c>
      <c r="C107" s="58" t="s">
        <v>112</v>
      </c>
      <c r="D107" s="213" t="s">
        <v>54</v>
      </c>
      <c r="E107" s="213"/>
      <c r="F107" s="213"/>
    </row>
    <row r="108" spans="2:7" s="80" customFormat="1" ht="15" customHeight="1">
      <c r="B108" s="59" t="s">
        <v>101</v>
      </c>
      <c r="C108" s="60" t="s">
        <v>102</v>
      </c>
      <c r="D108" s="214">
        <f>D99</f>
        <v>285.77999999999997</v>
      </c>
      <c r="E108" s="214"/>
      <c r="F108" s="214"/>
      <c r="G108" s="81"/>
    </row>
    <row r="109" spans="2:7" ht="15" customHeight="1">
      <c r="B109" s="61" t="s">
        <v>108</v>
      </c>
      <c r="C109" s="62" t="s">
        <v>109</v>
      </c>
      <c r="D109" s="215">
        <f>D104</f>
        <v>0</v>
      </c>
      <c r="E109" s="215"/>
      <c r="F109" s="215"/>
    </row>
    <row r="110" spans="2:7" ht="15" customHeight="1">
      <c r="B110" s="55"/>
      <c r="C110" s="82" t="s">
        <v>58</v>
      </c>
      <c r="D110" s="207">
        <f>SUM(D108:F109)</f>
        <v>285.77999999999997</v>
      </c>
      <c r="E110" s="207"/>
      <c r="F110" s="207"/>
    </row>
    <row r="111" spans="2:7" s="1" customFormat="1" ht="15" customHeight="1"/>
    <row r="112" spans="2:7" s="1" customFormat="1" ht="15" customHeight="1">
      <c r="B112" s="83"/>
      <c r="C112" s="205" t="s">
        <v>113</v>
      </c>
      <c r="D112" s="205"/>
      <c r="E112" s="205"/>
      <c r="F112" s="205"/>
    </row>
    <row r="113" spans="2:6" s="1" customFormat="1" ht="15" customHeight="1">
      <c r="B113" s="84">
        <v>5</v>
      </c>
      <c r="C113" s="85" t="s">
        <v>114</v>
      </c>
      <c r="D113" s="208" t="s">
        <v>38</v>
      </c>
      <c r="E113" s="208"/>
      <c r="F113" s="208"/>
    </row>
    <row r="114" spans="2:6" s="1" customFormat="1" ht="15" customHeight="1">
      <c r="B114" s="86" t="s">
        <v>6</v>
      </c>
      <c r="C114" s="87" t="s">
        <v>115</v>
      </c>
      <c r="D114" s="209">
        <f>Uniformes!E20</f>
        <v>25.150833333333335</v>
      </c>
      <c r="E114" s="209"/>
      <c r="F114" s="209"/>
    </row>
    <row r="115" spans="2:6" s="1" customFormat="1" ht="15" customHeight="1">
      <c r="B115" s="86" t="s">
        <v>8</v>
      </c>
      <c r="C115" s="88" t="s">
        <v>116</v>
      </c>
      <c r="D115" s="210"/>
      <c r="E115" s="210"/>
      <c r="F115" s="210"/>
    </row>
    <row r="116" spans="2:6" s="1" customFormat="1" ht="15" customHeight="1">
      <c r="B116" s="86" t="s">
        <v>11</v>
      </c>
      <c r="C116" s="88" t="s">
        <v>117</v>
      </c>
      <c r="D116" s="210"/>
      <c r="E116" s="210"/>
      <c r="F116" s="210"/>
    </row>
    <row r="117" spans="2:6" s="1" customFormat="1" ht="15" customHeight="1">
      <c r="B117" s="89"/>
      <c r="C117" s="90" t="s">
        <v>118</v>
      </c>
      <c r="D117" s="204">
        <f>SUM(D114:F116)</f>
        <v>25.150833333333335</v>
      </c>
      <c r="E117" s="204"/>
      <c r="F117" s="204"/>
    </row>
    <row r="118" spans="2:6" s="1" customFormat="1" ht="15" customHeight="1">
      <c r="B118" s="91"/>
      <c r="C118" s="92"/>
      <c r="D118" s="93"/>
      <c r="E118" s="93"/>
      <c r="F118" s="93"/>
    </row>
    <row r="119" spans="2:6" s="1" customFormat="1" ht="15" customHeight="1">
      <c r="B119" s="94"/>
      <c r="C119" s="205" t="s">
        <v>119</v>
      </c>
      <c r="D119" s="205"/>
      <c r="E119" s="205"/>
      <c r="F119" s="205"/>
    </row>
    <row r="120" spans="2:6" s="1" customFormat="1" ht="15" customHeight="1">
      <c r="B120" s="84">
        <v>6</v>
      </c>
      <c r="C120" s="65" t="s">
        <v>120</v>
      </c>
      <c r="D120" s="36" t="s">
        <v>63</v>
      </c>
      <c r="E120" s="199" t="s">
        <v>38</v>
      </c>
      <c r="F120" s="199"/>
    </row>
    <row r="121" spans="2:6" s="1" customFormat="1" ht="15" customHeight="1">
      <c r="B121" s="86" t="s">
        <v>6</v>
      </c>
      <c r="C121" s="66" t="s">
        <v>121</v>
      </c>
      <c r="D121" s="95">
        <v>6</v>
      </c>
      <c r="E121" s="206">
        <f>(D138)*D121/100</f>
        <v>200.08210454545454</v>
      </c>
      <c r="F121" s="206"/>
    </row>
    <row r="122" spans="2:6" s="1" customFormat="1" ht="15" customHeight="1">
      <c r="B122" s="86" t="s">
        <v>8</v>
      </c>
      <c r="C122" s="67" t="s">
        <v>122</v>
      </c>
      <c r="D122" s="96">
        <v>6.79</v>
      </c>
      <c r="E122" s="201">
        <f>(D138+E121)*D122/100</f>
        <v>240.01182320924238</v>
      </c>
      <c r="F122" s="201"/>
    </row>
    <row r="123" spans="2:6" s="1" customFormat="1" ht="15" customHeight="1">
      <c r="B123" s="86" t="s">
        <v>11</v>
      </c>
      <c r="C123" s="67" t="s">
        <v>123</v>
      </c>
      <c r="D123" s="96"/>
      <c r="E123" s="201"/>
      <c r="F123" s="201"/>
    </row>
    <row r="124" spans="2:6" s="1" customFormat="1" ht="15" customHeight="1">
      <c r="B124" s="86"/>
      <c r="C124" s="67" t="s">
        <v>124</v>
      </c>
      <c r="D124" s="96">
        <f>7.6+1.65</f>
        <v>9.25</v>
      </c>
      <c r="E124" s="201">
        <f>((D138+E121+E122)/(1-(D124+D126)/100))*(D124/100)</f>
        <v>407.19370203096423</v>
      </c>
      <c r="F124" s="201"/>
    </row>
    <row r="125" spans="2:6" s="1" customFormat="1" ht="15" customHeight="1">
      <c r="B125" s="86"/>
      <c r="C125" s="67" t="s">
        <v>125</v>
      </c>
      <c r="D125" s="96"/>
      <c r="E125" s="201"/>
      <c r="F125" s="201"/>
    </row>
    <row r="126" spans="2:6" s="1" customFormat="1" ht="15" customHeight="1">
      <c r="B126" s="86"/>
      <c r="C126" s="67" t="s">
        <v>126</v>
      </c>
      <c r="D126" s="97">
        <v>5</v>
      </c>
      <c r="E126" s="201">
        <f>((D138+E121+E122)/(1-(D124+D126)/100))*(D126/100)</f>
        <v>220.10470380052121</v>
      </c>
      <c r="F126" s="201"/>
    </row>
    <row r="127" spans="2:6" s="1" customFormat="1" ht="15" customHeight="1">
      <c r="B127" s="86"/>
      <c r="C127" s="67" t="s">
        <v>127</v>
      </c>
      <c r="D127" s="96"/>
      <c r="E127" s="201"/>
      <c r="F127" s="201"/>
    </row>
    <row r="128" spans="2:6" s="1" customFormat="1" ht="15" customHeight="1">
      <c r="B128" s="98"/>
      <c r="C128" s="68" t="s">
        <v>73</v>
      </c>
      <c r="D128" s="99"/>
      <c r="E128" s="202">
        <f>SUM(E121:F127)</f>
        <v>1067.3923335861823</v>
      </c>
      <c r="F128" s="202"/>
    </row>
    <row r="129" spans="2:6" s="1" customFormat="1" ht="15" customHeight="1">
      <c r="B129" s="91"/>
      <c r="C129" s="92"/>
      <c r="D129" s="93"/>
      <c r="E129" s="93"/>
      <c r="F129" s="93"/>
    </row>
    <row r="130" spans="2:6" s="80" customFormat="1" ht="15" customHeight="1">
      <c r="B130" s="1"/>
      <c r="C130" s="203" t="s">
        <v>128</v>
      </c>
      <c r="D130" s="203"/>
      <c r="E130" s="203"/>
      <c r="F130" s="203"/>
    </row>
    <row r="131" spans="2:6" s="80" customFormat="1" ht="15" customHeight="1">
      <c r="B131" s="1"/>
      <c r="C131" s="100"/>
      <c r="D131" s="1"/>
      <c r="E131" s="1"/>
      <c r="F131" s="1"/>
    </row>
    <row r="132" spans="2:6" s="80" customFormat="1" ht="27" customHeight="1">
      <c r="B132" s="14"/>
      <c r="C132" s="65" t="s">
        <v>129</v>
      </c>
      <c r="D132" s="199" t="s">
        <v>38</v>
      </c>
      <c r="E132" s="199"/>
      <c r="F132" s="199"/>
    </row>
    <row r="133" spans="2:6" s="80" customFormat="1" ht="15" customHeight="1">
      <c r="B133" s="101" t="s">
        <v>6</v>
      </c>
      <c r="C133" s="66" t="s">
        <v>130</v>
      </c>
      <c r="D133" s="200">
        <f>D26</f>
        <v>1518.7909090909091</v>
      </c>
      <c r="E133" s="200"/>
      <c r="F133" s="200"/>
    </row>
    <row r="134" spans="2:6" s="80" customFormat="1" ht="15" customHeight="1">
      <c r="B134" s="101" t="s">
        <v>8</v>
      </c>
      <c r="C134" s="67" t="s">
        <v>131</v>
      </c>
      <c r="D134" s="196">
        <f>D72</f>
        <v>1359.79</v>
      </c>
      <c r="E134" s="196"/>
      <c r="F134" s="196"/>
    </row>
    <row r="135" spans="2:6" s="80" customFormat="1" ht="15" customHeight="1">
      <c r="B135" s="101" t="s">
        <v>11</v>
      </c>
      <c r="C135" s="67" t="s">
        <v>132</v>
      </c>
      <c r="D135" s="196">
        <f>D83</f>
        <v>145.19</v>
      </c>
      <c r="E135" s="196"/>
      <c r="F135" s="196"/>
    </row>
    <row r="136" spans="2:6" s="80" customFormat="1" ht="15" customHeight="1">
      <c r="B136" s="101" t="s">
        <v>14</v>
      </c>
      <c r="C136" s="67" t="s">
        <v>99</v>
      </c>
      <c r="D136" s="196">
        <f>D110</f>
        <v>285.77999999999997</v>
      </c>
      <c r="E136" s="196"/>
      <c r="F136" s="196"/>
    </row>
    <row r="137" spans="2:6" s="80" customFormat="1" ht="15" customHeight="1">
      <c r="B137" s="101" t="s">
        <v>43</v>
      </c>
      <c r="C137" s="67" t="s">
        <v>133</v>
      </c>
      <c r="D137" s="196">
        <f>D117</f>
        <v>25.150833333333335</v>
      </c>
      <c r="E137" s="196"/>
      <c r="F137" s="196"/>
    </row>
    <row r="138" spans="2:6" s="80" customFormat="1" ht="15" customHeight="1">
      <c r="B138" s="101"/>
      <c r="C138" s="102" t="s">
        <v>134</v>
      </c>
      <c r="D138" s="195">
        <f>SUM(D133:F137)</f>
        <v>3334.7017424242422</v>
      </c>
      <c r="E138" s="195"/>
      <c r="F138" s="195"/>
    </row>
    <row r="139" spans="2:6" s="80" customFormat="1" ht="15" customHeight="1">
      <c r="B139" s="101" t="s">
        <v>45</v>
      </c>
      <c r="C139" s="103" t="s">
        <v>135</v>
      </c>
      <c r="D139" s="196">
        <f>E128</f>
        <v>1067.3923335861823</v>
      </c>
      <c r="E139" s="196"/>
      <c r="F139" s="196"/>
    </row>
    <row r="140" spans="2:6" s="80" customFormat="1" ht="15" customHeight="1">
      <c r="B140" s="101"/>
      <c r="C140" s="104" t="s">
        <v>136</v>
      </c>
      <c r="D140" s="197">
        <f>ROUND(SUM(D138:F139),2)</f>
        <v>4402.09</v>
      </c>
      <c r="E140" s="197"/>
      <c r="F140" s="197"/>
    </row>
    <row r="141" spans="2:6" s="80" customFormat="1" ht="15" customHeight="1">
      <c r="B141" s="101"/>
      <c r="C141" s="104" t="s">
        <v>137</v>
      </c>
      <c r="D141" s="197">
        <f>D140</f>
        <v>4402.09</v>
      </c>
      <c r="E141" s="197"/>
      <c r="F141" s="197"/>
    </row>
    <row r="142" spans="2:6" s="80" customFormat="1" ht="15" customHeight="1">
      <c r="B142" s="20"/>
      <c r="C142" s="105" t="s">
        <v>138</v>
      </c>
      <c r="D142" s="198">
        <f>D140/D26</f>
        <v>2.8984174014018329</v>
      </c>
      <c r="E142" s="198"/>
      <c r="F142" s="198"/>
    </row>
    <row r="143" spans="2:6" ht="15" customHeight="1"/>
  </sheetData>
  <mergeCells count="113">
    <mergeCell ref="B1:F6"/>
    <mergeCell ref="C7:F7"/>
    <mergeCell ref="D9:F9"/>
    <mergeCell ref="D10:F10"/>
    <mergeCell ref="D11:F11"/>
    <mergeCell ref="D12:F12"/>
    <mergeCell ref="D13:F13"/>
    <mergeCell ref="D14:F14"/>
    <mergeCell ref="C17:F17"/>
    <mergeCell ref="D18:F18"/>
    <mergeCell ref="D19:F19"/>
    <mergeCell ref="D20:F20"/>
    <mergeCell ref="D21:F21"/>
    <mergeCell ref="D22:F22"/>
    <mergeCell ref="D23:F23"/>
    <mergeCell ref="D24:F24"/>
    <mergeCell ref="D25:F25"/>
    <mergeCell ref="D26:F26"/>
    <mergeCell ref="C27:F27"/>
    <mergeCell ref="C28:F28"/>
    <mergeCell ref="C29:F29"/>
    <mergeCell ref="D30:F30"/>
    <mergeCell ref="D31:F31"/>
    <mergeCell ref="D32:F32"/>
    <mergeCell ref="D33:F33"/>
    <mergeCell ref="D34:F34"/>
    <mergeCell ref="C40:F40"/>
    <mergeCell ref="C35:F38"/>
    <mergeCell ref="E41:F41"/>
    <mergeCell ref="E42:F42"/>
    <mergeCell ref="E43:F43"/>
    <mergeCell ref="E44:F44"/>
    <mergeCell ref="E45:F45"/>
    <mergeCell ref="E46:F46"/>
    <mergeCell ref="E47:F47"/>
    <mergeCell ref="E48:F48"/>
    <mergeCell ref="E49:F49"/>
    <mergeCell ref="E50:F50"/>
    <mergeCell ref="C53:F53"/>
    <mergeCell ref="D54:F54"/>
    <mergeCell ref="D55:F55"/>
    <mergeCell ref="D56:F56"/>
    <mergeCell ref="D57:F57"/>
    <mergeCell ref="D58:F58"/>
    <mergeCell ref="D59:F59"/>
    <mergeCell ref="D60:F60"/>
    <mergeCell ref="D61:F61"/>
    <mergeCell ref="D62:F62"/>
    <mergeCell ref="C67:F67"/>
    <mergeCell ref="D68:F68"/>
    <mergeCell ref="D69:F69"/>
    <mergeCell ref="D70:F70"/>
    <mergeCell ref="D71:F71"/>
    <mergeCell ref="D72:F72"/>
    <mergeCell ref="C74:F74"/>
    <mergeCell ref="C63:F66"/>
    <mergeCell ref="D75:F75"/>
    <mergeCell ref="D76:F76"/>
    <mergeCell ref="D77:F77"/>
    <mergeCell ref="D78:F78"/>
    <mergeCell ref="D79:F79"/>
    <mergeCell ref="D80:F80"/>
    <mergeCell ref="D81:F81"/>
    <mergeCell ref="D82:F82"/>
    <mergeCell ref="D83:F83"/>
    <mergeCell ref="C90:F90"/>
    <mergeCell ref="C91:F91"/>
    <mergeCell ref="D92:F92"/>
    <mergeCell ref="D93:F93"/>
    <mergeCell ref="D94:F94"/>
    <mergeCell ref="D95:F95"/>
    <mergeCell ref="C84:F88"/>
    <mergeCell ref="D96:F96"/>
    <mergeCell ref="D97:F97"/>
    <mergeCell ref="D98:F98"/>
    <mergeCell ref="D114:F114"/>
    <mergeCell ref="D115:F115"/>
    <mergeCell ref="D116:F116"/>
    <mergeCell ref="D117:F117"/>
    <mergeCell ref="C119:F119"/>
    <mergeCell ref="E120:F120"/>
    <mergeCell ref="D99:F99"/>
    <mergeCell ref="C101:F101"/>
    <mergeCell ref="D102:F102"/>
    <mergeCell ref="D103:F103"/>
    <mergeCell ref="D104:F104"/>
    <mergeCell ref="C106:F106"/>
    <mergeCell ref="D107:F107"/>
    <mergeCell ref="D108:F108"/>
    <mergeCell ref="D109:F109"/>
    <mergeCell ref="D110:F110"/>
    <mergeCell ref="C112:F112"/>
    <mergeCell ref="D113:F113"/>
    <mergeCell ref="D132:F132"/>
    <mergeCell ref="D142:F142"/>
    <mergeCell ref="D133:F133"/>
    <mergeCell ref="D134:F134"/>
    <mergeCell ref="D135:F135"/>
    <mergeCell ref="D136:F136"/>
    <mergeCell ref="D137:F137"/>
    <mergeCell ref="D138:F138"/>
    <mergeCell ref="D139:F139"/>
    <mergeCell ref="D140:F140"/>
    <mergeCell ref="D141:F141"/>
    <mergeCell ref="E121:F121"/>
    <mergeCell ref="E122:F122"/>
    <mergeCell ref="E123:F123"/>
    <mergeCell ref="E124:F124"/>
    <mergeCell ref="E125:F125"/>
    <mergeCell ref="E126:F126"/>
    <mergeCell ref="E127:F127"/>
    <mergeCell ref="E128:F128"/>
    <mergeCell ref="C130:F130"/>
  </mergeCells>
  <pageMargins left="0.25" right="0.25" top="0.75" bottom="0.75" header="0.3" footer="0.3"/>
  <pageSetup paperSize="9" firstPageNumber="0" fitToHeight="0" orientation="portrait" horizontalDpi="300" verticalDpi="300" r:id="rId1"/>
  <headerFooter>
    <oddHeader>&amp;C&amp;"Times New Roman,Normal"&amp;12&amp;A</oddHeader>
    <oddFooter>&amp;C&amp;"Times New Roman,Normal"&amp;12Página &amp;P</oddFooter>
  </headerFooter>
  <colBreaks count="1" manualBreakCount="1">
    <brk id="6"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N20"/>
  <sheetViews>
    <sheetView topLeftCell="A11" zoomScale="95" zoomScaleNormal="95" workbookViewId="0">
      <selection activeCell="D114" sqref="D114:F114"/>
    </sheetView>
  </sheetViews>
  <sheetFormatPr defaultRowHeight="15.75"/>
  <cols>
    <col min="1" max="1" width="42.28515625" style="106" customWidth="1"/>
    <col min="2" max="2" width="8.85546875" style="106" customWidth="1"/>
    <col min="3" max="4" width="14.85546875" style="106" customWidth="1"/>
    <col min="5" max="5" width="15.28515625" style="106" customWidth="1"/>
    <col min="6" max="248" width="9.140625" style="106" customWidth="1"/>
    <col min="249" max="1016" width="9.140625" customWidth="1"/>
  </cols>
  <sheetData>
    <row r="1" spans="1:5" s="107" customFormat="1"/>
    <row r="2" spans="1:5" ht="24" customHeight="1">
      <c r="A2" s="256" t="s">
        <v>143</v>
      </c>
      <c r="B2" s="256"/>
      <c r="C2" s="256"/>
      <c r="D2" s="256"/>
      <c r="E2" s="256"/>
    </row>
    <row r="3" spans="1:5">
      <c r="A3" s="257"/>
      <c r="B3" s="257"/>
      <c r="C3" s="257"/>
      <c r="D3" s="257"/>
      <c r="E3" s="257"/>
    </row>
    <row r="4" spans="1:5" ht="24.75" customHeight="1">
      <c r="A4" s="258" t="s">
        <v>144</v>
      </c>
      <c r="B4" s="258"/>
      <c r="C4" s="258"/>
      <c r="D4" s="258"/>
      <c r="E4" s="258"/>
    </row>
    <row r="5" spans="1:5" ht="24">
      <c r="A5" s="128" t="s">
        <v>145</v>
      </c>
      <c r="B5" s="128" t="s">
        <v>146</v>
      </c>
      <c r="C5" s="128" t="s">
        <v>147</v>
      </c>
      <c r="D5" s="128" t="s">
        <v>148</v>
      </c>
      <c r="E5" s="128" t="s">
        <v>149</v>
      </c>
    </row>
    <row r="6" spans="1:5">
      <c r="A6" s="174" t="s">
        <v>150</v>
      </c>
      <c r="B6" s="121">
        <v>3</v>
      </c>
      <c r="C6" s="122">
        <v>39.770000000000003</v>
      </c>
      <c r="D6" s="122">
        <f>C6*B6</f>
        <v>119.31</v>
      </c>
      <c r="E6" s="123">
        <v>12</v>
      </c>
    </row>
    <row r="7" spans="1:5" ht="24">
      <c r="A7" s="120" t="s">
        <v>151</v>
      </c>
      <c r="B7" s="121">
        <v>3</v>
      </c>
      <c r="C7" s="122">
        <v>30.69</v>
      </c>
      <c r="D7" s="122">
        <f>C7*B7</f>
        <v>92.070000000000007</v>
      </c>
      <c r="E7" s="123">
        <v>12</v>
      </c>
    </row>
    <row r="8" spans="1:5" ht="24">
      <c r="A8" s="124" t="s">
        <v>152</v>
      </c>
      <c r="B8" s="121">
        <v>2</v>
      </c>
      <c r="C8" s="122">
        <v>56.43</v>
      </c>
      <c r="D8" s="122">
        <f>C8*B8</f>
        <v>112.86</v>
      </c>
      <c r="E8" s="123">
        <v>12</v>
      </c>
    </row>
    <row r="9" spans="1:5">
      <c r="A9" s="175" t="s">
        <v>153</v>
      </c>
      <c r="B9" s="121">
        <v>3</v>
      </c>
      <c r="C9" s="122">
        <v>6.18</v>
      </c>
      <c r="D9" s="122">
        <f>C9*B9</f>
        <v>18.54</v>
      </c>
      <c r="E9" s="123">
        <v>12</v>
      </c>
    </row>
    <row r="10" spans="1:5" s="106" customFormat="1">
      <c r="A10" s="125" t="s">
        <v>154</v>
      </c>
      <c r="B10" s="125"/>
      <c r="C10" s="125"/>
      <c r="D10" s="126">
        <f>SUM(D6:D9)</f>
        <v>342.78000000000003</v>
      </c>
      <c r="E10" s="126">
        <f>D10/12</f>
        <v>28.565000000000001</v>
      </c>
    </row>
    <row r="12" spans="1:5">
      <c r="A12" s="259" t="s">
        <v>142</v>
      </c>
      <c r="B12" s="259"/>
      <c r="C12" s="259"/>
      <c r="D12" s="259"/>
      <c r="E12" s="259"/>
    </row>
    <row r="13" spans="1:5" ht="24">
      <c r="A13" s="119" t="s">
        <v>145</v>
      </c>
      <c r="B13" s="119" t="s">
        <v>146</v>
      </c>
      <c r="C13" s="119" t="s">
        <v>147</v>
      </c>
      <c r="D13" s="119" t="s">
        <v>148</v>
      </c>
      <c r="E13" s="119" t="s">
        <v>149</v>
      </c>
    </row>
    <row r="14" spans="1:5">
      <c r="A14" s="169" t="s">
        <v>155</v>
      </c>
      <c r="B14" s="170">
        <v>2</v>
      </c>
      <c r="C14" s="171">
        <v>47.29</v>
      </c>
      <c r="D14" s="171">
        <f>C14*B14</f>
        <v>94.58</v>
      </c>
      <c r="E14" s="172">
        <v>12</v>
      </c>
    </row>
    <row r="15" spans="1:5" ht="24">
      <c r="A15" s="169" t="s">
        <v>156</v>
      </c>
      <c r="B15" s="170">
        <v>2</v>
      </c>
      <c r="C15" s="171">
        <v>34.700000000000003</v>
      </c>
      <c r="D15" s="171">
        <f>C15*B15</f>
        <v>69.400000000000006</v>
      </c>
      <c r="E15" s="172">
        <v>12</v>
      </c>
    </row>
    <row r="16" spans="1:5">
      <c r="A16" s="173" t="s">
        <v>157</v>
      </c>
      <c r="B16" s="170">
        <v>1</v>
      </c>
      <c r="C16" s="171">
        <v>56.81</v>
      </c>
      <c r="D16" s="171">
        <f>C16*B16</f>
        <v>56.81</v>
      </c>
      <c r="E16" s="172">
        <v>12</v>
      </c>
    </row>
    <row r="17" spans="1:5">
      <c r="A17" s="173" t="s">
        <v>158</v>
      </c>
      <c r="B17" s="170">
        <v>3</v>
      </c>
      <c r="C17" s="171">
        <v>7.23</v>
      </c>
      <c r="D17" s="171">
        <f>C17*B17</f>
        <v>21.69</v>
      </c>
      <c r="E17" s="172">
        <v>12</v>
      </c>
    </row>
    <row r="18" spans="1:5">
      <c r="A18" s="173" t="s">
        <v>159</v>
      </c>
      <c r="B18" s="170">
        <v>1</v>
      </c>
      <c r="C18" s="171">
        <v>51.33</v>
      </c>
      <c r="D18" s="171">
        <f>C18*B18</f>
        <v>51.33</v>
      </c>
      <c r="E18" s="172">
        <v>12</v>
      </c>
    </row>
    <row r="19" spans="1:5">
      <c r="A19" s="173" t="s">
        <v>160</v>
      </c>
      <c r="B19" s="170">
        <v>1</v>
      </c>
      <c r="C19" s="171">
        <v>8</v>
      </c>
      <c r="D19" s="171">
        <f>C19*B19</f>
        <v>8</v>
      </c>
      <c r="E19" s="172">
        <v>12</v>
      </c>
    </row>
    <row r="20" spans="1:5">
      <c r="A20" s="125" t="s">
        <v>154</v>
      </c>
      <c r="B20" s="125"/>
      <c r="C20" s="125"/>
      <c r="D20" s="126">
        <f>SUM(D14:D19)</f>
        <v>301.81</v>
      </c>
      <c r="E20" s="126">
        <f>D20/12</f>
        <v>25.150833333333335</v>
      </c>
    </row>
  </sheetData>
  <mergeCells count="4">
    <mergeCell ref="A2:E2"/>
    <mergeCell ref="A3:E3"/>
    <mergeCell ref="A4:E4"/>
    <mergeCell ref="A12:E12"/>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A99E-53B1-4C79-9FE3-817792F859B6}">
  <dimension ref="A1:J84"/>
  <sheetViews>
    <sheetView topLeftCell="A72" workbookViewId="0">
      <selection activeCell="C81" sqref="C81"/>
    </sheetView>
  </sheetViews>
  <sheetFormatPr defaultRowHeight="12.75"/>
  <cols>
    <col min="1" max="1" width="25.42578125" bestFit="1" customWidth="1"/>
    <col min="2" max="5" width="19" customWidth="1"/>
    <col min="7" max="7" width="16.140625" customWidth="1"/>
  </cols>
  <sheetData>
    <row r="1" spans="1:8">
      <c r="A1" s="293" t="s">
        <v>161</v>
      </c>
      <c r="B1" s="293"/>
      <c r="C1" s="293"/>
      <c r="D1" s="293"/>
      <c r="E1" s="293"/>
      <c r="F1" s="129"/>
      <c r="G1" s="129"/>
      <c r="H1" s="129"/>
    </row>
    <row r="2" spans="1:8">
      <c r="A2" s="269" t="s">
        <v>162</v>
      </c>
      <c r="B2" s="269" t="s">
        <v>163</v>
      </c>
      <c r="C2" s="269"/>
      <c r="D2" s="136" t="s">
        <v>164</v>
      </c>
      <c r="E2" s="136" t="s">
        <v>165</v>
      </c>
      <c r="F2" s="129"/>
      <c r="G2" s="129"/>
      <c r="H2" s="129"/>
    </row>
    <row r="3" spans="1:8">
      <c r="A3" s="267"/>
      <c r="B3" s="267" t="s">
        <v>166</v>
      </c>
      <c r="C3" s="267"/>
      <c r="D3" s="130" t="s">
        <v>167</v>
      </c>
      <c r="E3" s="130" t="s">
        <v>168</v>
      </c>
      <c r="F3" s="129"/>
      <c r="G3" s="129"/>
      <c r="H3" s="129"/>
    </row>
    <row r="4" spans="1:8">
      <c r="A4" s="267"/>
      <c r="B4" s="267" t="s">
        <v>169</v>
      </c>
      <c r="C4" s="267"/>
      <c r="D4" s="130" t="s">
        <v>170</v>
      </c>
      <c r="E4" s="130" t="s">
        <v>171</v>
      </c>
      <c r="F4" s="131"/>
      <c r="G4" s="131"/>
      <c r="H4" s="131"/>
    </row>
    <row r="5" spans="1:8">
      <c r="A5" s="130" t="s">
        <v>172</v>
      </c>
      <c r="B5" s="130" t="s">
        <v>173</v>
      </c>
      <c r="C5" s="130">
        <v>800</v>
      </c>
      <c r="D5" s="132">
        <f>'ASG 20%'!D140</f>
        <v>4734.6499999999996</v>
      </c>
      <c r="E5" s="130">
        <f>ROUND((1/C5)*D5,2)</f>
        <v>5.92</v>
      </c>
      <c r="F5" s="131"/>
      <c r="G5" s="131"/>
      <c r="H5" s="131"/>
    </row>
    <row r="6" spans="1:8">
      <c r="A6" s="133"/>
      <c r="B6" s="133"/>
      <c r="C6" s="133"/>
      <c r="D6" s="134"/>
      <c r="E6" s="133"/>
      <c r="F6" s="131"/>
      <c r="G6" s="131"/>
      <c r="H6" s="131"/>
    </row>
    <row r="7" spans="1:8">
      <c r="A7" s="294" t="s">
        <v>174</v>
      </c>
      <c r="B7" s="294"/>
      <c r="C7" s="294"/>
      <c r="D7" s="294"/>
      <c r="E7" s="294"/>
      <c r="F7" s="131"/>
      <c r="G7" s="131"/>
      <c r="H7" s="131"/>
    </row>
    <row r="8" spans="1:8">
      <c r="A8" s="269" t="s">
        <v>162</v>
      </c>
      <c r="B8" s="269" t="s">
        <v>163</v>
      </c>
      <c r="C8" s="269"/>
      <c r="D8" s="136" t="s">
        <v>164</v>
      </c>
      <c r="E8" s="136" t="s">
        <v>165</v>
      </c>
      <c r="F8" s="131"/>
      <c r="G8" s="131"/>
      <c r="H8" s="131"/>
    </row>
    <row r="9" spans="1:8">
      <c r="A9" s="267"/>
      <c r="B9" s="267" t="s">
        <v>166</v>
      </c>
      <c r="C9" s="267"/>
      <c r="D9" s="130" t="s">
        <v>167</v>
      </c>
      <c r="E9" s="130" t="s">
        <v>168</v>
      </c>
      <c r="F9" s="131"/>
      <c r="G9" s="131"/>
      <c r="H9" s="131"/>
    </row>
    <row r="10" spans="1:8">
      <c r="A10" s="267"/>
      <c r="B10" s="267" t="s">
        <v>169</v>
      </c>
      <c r="C10" s="267"/>
      <c r="D10" s="130" t="s">
        <v>170</v>
      </c>
      <c r="E10" s="130" t="s">
        <v>171</v>
      </c>
      <c r="F10" s="131"/>
      <c r="G10" s="131"/>
      <c r="H10" s="131"/>
    </row>
    <row r="11" spans="1:8">
      <c r="A11" s="130" t="s">
        <v>172</v>
      </c>
      <c r="B11" s="130" t="s">
        <v>173</v>
      </c>
      <c r="C11" s="130">
        <v>1500</v>
      </c>
      <c r="D11" s="132">
        <f>'ASG 20%'!D140</f>
        <v>4734.6499999999996</v>
      </c>
      <c r="E11" s="130">
        <f>ROUND((1/C11)*D11,2)</f>
        <v>3.16</v>
      </c>
      <c r="F11" s="131"/>
      <c r="G11" s="131"/>
      <c r="H11" s="131"/>
    </row>
    <row r="12" spans="1:8">
      <c r="A12" s="131"/>
      <c r="B12" s="131"/>
      <c r="C12" s="131"/>
      <c r="D12" s="131"/>
      <c r="E12" s="131"/>
      <c r="F12" s="131"/>
      <c r="G12" s="131"/>
      <c r="H12" s="131"/>
    </row>
    <row r="13" spans="1:8">
      <c r="A13" s="295" t="s">
        <v>175</v>
      </c>
      <c r="B13" s="296"/>
      <c r="C13" s="296"/>
      <c r="D13" s="296"/>
      <c r="E13" s="297"/>
      <c r="F13" s="131"/>
      <c r="G13" s="131"/>
      <c r="H13" s="131"/>
    </row>
    <row r="14" spans="1:8">
      <c r="A14" s="267" t="s">
        <v>162</v>
      </c>
      <c r="B14" s="267" t="s">
        <v>163</v>
      </c>
      <c r="C14" s="267"/>
      <c r="D14" s="130" t="s">
        <v>164</v>
      </c>
      <c r="E14" s="130" t="s">
        <v>165</v>
      </c>
      <c r="F14" s="131"/>
      <c r="G14" s="131"/>
      <c r="H14" s="131"/>
    </row>
    <row r="15" spans="1:8">
      <c r="A15" s="267"/>
      <c r="B15" s="267" t="s">
        <v>166</v>
      </c>
      <c r="C15" s="267"/>
      <c r="D15" s="130" t="s">
        <v>167</v>
      </c>
      <c r="E15" s="130" t="s">
        <v>168</v>
      </c>
      <c r="F15" s="131"/>
      <c r="G15" s="131"/>
      <c r="H15" s="131"/>
    </row>
    <row r="16" spans="1:8">
      <c r="A16" s="267"/>
      <c r="B16" s="267" t="s">
        <v>169</v>
      </c>
      <c r="C16" s="267"/>
      <c r="D16" s="130" t="s">
        <v>170</v>
      </c>
      <c r="E16" s="130" t="s">
        <v>171</v>
      </c>
      <c r="F16" s="131"/>
      <c r="G16" s="131"/>
      <c r="H16" s="131"/>
    </row>
    <row r="17" spans="1:8">
      <c r="A17" s="130" t="s">
        <v>172</v>
      </c>
      <c r="B17" s="130" t="s">
        <v>173</v>
      </c>
      <c r="C17" s="130">
        <v>1000</v>
      </c>
      <c r="D17" s="132">
        <f>'ASG 20%'!D140</f>
        <v>4734.6499999999996</v>
      </c>
      <c r="E17" s="135">
        <f>ROUND((1/C17)*D17,2)</f>
        <v>4.7300000000000004</v>
      </c>
      <c r="F17" s="131"/>
      <c r="G17" s="131"/>
      <c r="H17" s="131"/>
    </row>
    <row r="18" spans="1:8">
      <c r="A18" s="131"/>
      <c r="B18" s="131"/>
      <c r="C18" s="131"/>
      <c r="D18" s="131"/>
      <c r="E18" s="131"/>
      <c r="F18" s="131"/>
      <c r="G18" s="131"/>
      <c r="H18" s="131"/>
    </row>
    <row r="19" spans="1:8">
      <c r="A19" s="298" t="s">
        <v>176</v>
      </c>
      <c r="B19" s="299"/>
      <c r="C19" s="299"/>
      <c r="D19" s="299"/>
      <c r="E19" s="300"/>
      <c r="F19" s="131"/>
      <c r="G19" s="131"/>
      <c r="H19" s="131"/>
    </row>
    <row r="20" spans="1:8">
      <c r="A20" s="267" t="s">
        <v>162</v>
      </c>
      <c r="B20" s="267" t="s">
        <v>163</v>
      </c>
      <c r="C20" s="267"/>
      <c r="D20" s="130" t="s">
        <v>164</v>
      </c>
      <c r="E20" s="130" t="s">
        <v>165</v>
      </c>
      <c r="F20" s="131"/>
      <c r="G20" s="131"/>
      <c r="H20" s="131"/>
    </row>
    <row r="21" spans="1:8">
      <c r="A21" s="267"/>
      <c r="B21" s="267" t="s">
        <v>166</v>
      </c>
      <c r="C21" s="267"/>
      <c r="D21" s="130" t="s">
        <v>167</v>
      </c>
      <c r="E21" s="130" t="s">
        <v>168</v>
      </c>
      <c r="F21" s="131"/>
      <c r="G21" s="131"/>
      <c r="H21" s="131"/>
    </row>
    <row r="22" spans="1:8">
      <c r="A22" s="267"/>
      <c r="B22" s="267" t="s">
        <v>169</v>
      </c>
      <c r="C22" s="267"/>
      <c r="D22" s="130" t="s">
        <v>170</v>
      </c>
      <c r="E22" s="130" t="s">
        <v>171</v>
      </c>
      <c r="F22" s="131"/>
      <c r="G22" s="131"/>
      <c r="H22" s="131"/>
    </row>
    <row r="23" spans="1:8">
      <c r="A23" s="130" t="s">
        <v>177</v>
      </c>
      <c r="B23" s="130" t="s">
        <v>173</v>
      </c>
      <c r="C23" s="130">
        <v>200</v>
      </c>
      <c r="D23" s="132">
        <f>'ASG 40%'!D140</f>
        <v>5229.74</v>
      </c>
      <c r="E23" s="135">
        <f>ROUND((1/C23)*D23,2)</f>
        <v>26.15</v>
      </c>
      <c r="F23" s="131"/>
      <c r="G23" s="131"/>
      <c r="H23" s="131"/>
    </row>
    <row r="24" spans="1:8">
      <c r="A24" s="131"/>
      <c r="B24" s="131"/>
      <c r="C24" s="131"/>
      <c r="D24" s="131"/>
      <c r="E24" s="131"/>
      <c r="F24" s="131"/>
      <c r="G24" s="131"/>
      <c r="H24" s="131"/>
    </row>
    <row r="25" spans="1:8">
      <c r="A25" s="290" t="s">
        <v>178</v>
      </c>
      <c r="B25" s="291"/>
      <c r="C25" s="291"/>
      <c r="D25" s="291"/>
      <c r="E25" s="292"/>
      <c r="F25" s="131"/>
      <c r="G25" s="131"/>
      <c r="H25" s="131"/>
    </row>
    <row r="26" spans="1:8">
      <c r="A26" s="267" t="s">
        <v>162</v>
      </c>
      <c r="B26" s="267" t="s">
        <v>163</v>
      </c>
      <c r="C26" s="267"/>
      <c r="D26" s="130" t="s">
        <v>164</v>
      </c>
      <c r="E26" s="130" t="s">
        <v>179</v>
      </c>
      <c r="F26" s="131"/>
      <c r="G26" s="131"/>
      <c r="H26" s="131"/>
    </row>
    <row r="27" spans="1:8">
      <c r="A27" s="267"/>
      <c r="B27" s="267" t="s">
        <v>166</v>
      </c>
      <c r="C27" s="267"/>
      <c r="D27" s="130" t="s">
        <v>167</v>
      </c>
      <c r="E27" s="130" t="s">
        <v>168</v>
      </c>
      <c r="F27" s="131"/>
      <c r="G27" s="131"/>
      <c r="H27" s="131"/>
    </row>
    <row r="28" spans="1:8">
      <c r="A28" s="267"/>
      <c r="B28" s="267" t="s">
        <v>169</v>
      </c>
      <c r="C28" s="267"/>
      <c r="D28" s="130" t="s">
        <v>170</v>
      </c>
      <c r="E28" s="130" t="s">
        <v>171</v>
      </c>
      <c r="F28" s="131"/>
      <c r="G28" s="131"/>
      <c r="H28" s="131"/>
    </row>
    <row r="29" spans="1:8">
      <c r="A29" s="130" t="s">
        <v>172</v>
      </c>
      <c r="B29" s="130" t="s">
        <v>173</v>
      </c>
      <c r="C29" s="130">
        <v>6000</v>
      </c>
      <c r="D29" s="132">
        <f>'ASG 20%'!D140</f>
        <v>4734.6499999999996</v>
      </c>
      <c r="E29" s="135">
        <f>ROUND((1/C29)*D29,2)</f>
        <v>0.79</v>
      </c>
      <c r="F29" s="131"/>
      <c r="G29" s="131"/>
      <c r="H29" s="131"/>
    </row>
    <row r="30" spans="1:8">
      <c r="A30" s="131"/>
      <c r="B30" s="131"/>
      <c r="C30" s="131"/>
      <c r="D30" s="131"/>
      <c r="E30" s="131"/>
      <c r="F30" s="131"/>
      <c r="G30" s="131"/>
      <c r="H30" s="131"/>
    </row>
    <row r="31" spans="1:8">
      <c r="A31" s="290" t="s">
        <v>180</v>
      </c>
      <c r="B31" s="291"/>
      <c r="C31" s="291"/>
      <c r="D31" s="291"/>
      <c r="E31" s="292"/>
      <c r="F31" s="131"/>
      <c r="G31" s="131"/>
      <c r="H31" s="131"/>
    </row>
    <row r="32" spans="1:8">
      <c r="A32" s="267" t="s">
        <v>162</v>
      </c>
      <c r="B32" s="267" t="s">
        <v>163</v>
      </c>
      <c r="C32" s="267"/>
      <c r="D32" s="130" t="s">
        <v>164</v>
      </c>
      <c r="E32" s="130" t="s">
        <v>165</v>
      </c>
      <c r="F32" s="131"/>
      <c r="G32" s="131"/>
      <c r="H32" s="131"/>
    </row>
    <row r="33" spans="1:8">
      <c r="A33" s="267"/>
      <c r="B33" s="267" t="s">
        <v>166</v>
      </c>
      <c r="C33" s="267"/>
      <c r="D33" s="130" t="s">
        <v>167</v>
      </c>
      <c r="E33" s="130" t="s">
        <v>168</v>
      </c>
      <c r="F33" s="131"/>
      <c r="G33" s="131"/>
      <c r="H33" s="131"/>
    </row>
    <row r="34" spans="1:8">
      <c r="A34" s="267"/>
      <c r="B34" s="267" t="s">
        <v>169</v>
      </c>
      <c r="C34" s="267"/>
      <c r="D34" s="130" t="s">
        <v>170</v>
      </c>
      <c r="E34" s="130" t="s">
        <v>171</v>
      </c>
      <c r="F34" s="131"/>
      <c r="G34" s="131"/>
      <c r="H34" s="131"/>
    </row>
    <row r="35" spans="1:8">
      <c r="A35" s="130" t="s">
        <v>172</v>
      </c>
      <c r="B35" s="130" t="s">
        <v>173</v>
      </c>
      <c r="C35" s="130">
        <v>1800</v>
      </c>
      <c r="D35" s="132">
        <f>'ASG 20%'!D140</f>
        <v>4734.6499999999996</v>
      </c>
      <c r="E35" s="135">
        <f>ROUND((1/C35)*D35,2)</f>
        <v>2.63</v>
      </c>
      <c r="F35" s="131"/>
      <c r="G35" s="131"/>
      <c r="H35" s="131"/>
    </row>
    <row r="36" spans="1:8">
      <c r="A36" s="131"/>
      <c r="B36" s="131"/>
      <c r="C36" s="131"/>
      <c r="D36" s="131"/>
      <c r="E36" s="131"/>
      <c r="F36" s="131"/>
      <c r="G36" s="131"/>
      <c r="H36" s="131"/>
    </row>
    <row r="37" spans="1:8">
      <c r="A37" s="301" t="s">
        <v>181</v>
      </c>
      <c r="B37" s="302"/>
      <c r="C37" s="302"/>
      <c r="D37" s="302"/>
      <c r="E37" s="303"/>
      <c r="F37" s="131"/>
      <c r="G37" s="131"/>
      <c r="H37" s="131"/>
    </row>
    <row r="38" spans="1:8">
      <c r="A38" s="267" t="s">
        <v>162</v>
      </c>
      <c r="B38" s="267" t="s">
        <v>163</v>
      </c>
      <c r="C38" s="267"/>
      <c r="D38" s="130" t="s">
        <v>164</v>
      </c>
      <c r="E38" s="130" t="s">
        <v>165</v>
      </c>
      <c r="F38" s="131"/>
      <c r="G38" s="131"/>
      <c r="H38" s="131"/>
    </row>
    <row r="39" spans="1:8">
      <c r="A39" s="267"/>
      <c r="B39" s="267" t="s">
        <v>166</v>
      </c>
      <c r="C39" s="267"/>
      <c r="D39" s="130" t="s">
        <v>167</v>
      </c>
      <c r="E39" s="130" t="s">
        <v>168</v>
      </c>
      <c r="F39" s="131"/>
      <c r="G39" s="131"/>
      <c r="H39" s="131"/>
    </row>
    <row r="40" spans="1:8">
      <c r="A40" s="267"/>
      <c r="B40" s="267" t="s">
        <v>169</v>
      </c>
      <c r="C40" s="267"/>
      <c r="D40" s="130" t="s">
        <v>170</v>
      </c>
      <c r="E40" s="130" t="s">
        <v>171</v>
      </c>
      <c r="F40" s="131"/>
      <c r="G40" s="131"/>
      <c r="H40" s="131"/>
    </row>
    <row r="41" spans="1:8">
      <c r="A41" s="130" t="s">
        <v>172</v>
      </c>
      <c r="B41" s="130" t="s">
        <v>173</v>
      </c>
      <c r="C41" s="130">
        <v>1800</v>
      </c>
      <c r="D41" s="132">
        <f>'ASG 20%'!D140</f>
        <v>4734.6499999999996</v>
      </c>
      <c r="E41" s="135">
        <f>ROUND((1/C41)*D41,2)</f>
        <v>2.63</v>
      </c>
      <c r="F41" s="131"/>
      <c r="G41" s="131"/>
      <c r="H41" s="131"/>
    </row>
    <row r="42" spans="1:8">
      <c r="A42" s="131"/>
      <c r="B42" s="131"/>
      <c r="C42" s="131"/>
      <c r="D42" s="131"/>
      <c r="E42" s="131"/>
      <c r="F42" s="131"/>
      <c r="G42" s="131"/>
      <c r="H42" s="131"/>
    </row>
    <row r="43" spans="1:8">
      <c r="A43" s="304" t="s">
        <v>182</v>
      </c>
      <c r="B43" s="305"/>
      <c r="C43" s="305"/>
      <c r="D43" s="305"/>
      <c r="E43" s="305"/>
      <c r="F43" s="305"/>
      <c r="G43" s="305"/>
      <c r="H43" s="306"/>
    </row>
    <row r="44" spans="1:8">
      <c r="A44" s="265" t="s">
        <v>162</v>
      </c>
      <c r="B44" s="267" t="s">
        <v>163</v>
      </c>
      <c r="C44" s="267"/>
      <c r="D44" s="130" t="s">
        <v>164</v>
      </c>
      <c r="E44" s="130" t="s">
        <v>183</v>
      </c>
      <c r="F44" s="130" t="s">
        <v>184</v>
      </c>
      <c r="G44" s="130" t="s">
        <v>185</v>
      </c>
      <c r="H44" s="130" t="s">
        <v>186</v>
      </c>
    </row>
    <row r="45" spans="1:8">
      <c r="A45" s="266"/>
      <c r="B45" s="267" t="s">
        <v>166</v>
      </c>
      <c r="C45" s="267"/>
      <c r="D45" s="130" t="s">
        <v>187</v>
      </c>
      <c r="E45" s="130" t="s">
        <v>188</v>
      </c>
      <c r="F45" s="268" t="s">
        <v>189</v>
      </c>
      <c r="G45" s="130" t="s">
        <v>167</v>
      </c>
      <c r="H45" s="130" t="s">
        <v>168</v>
      </c>
    </row>
    <row r="46" spans="1:8">
      <c r="A46" s="266"/>
      <c r="B46" s="267" t="s">
        <v>169</v>
      </c>
      <c r="C46" s="267"/>
      <c r="D46" s="130" t="s">
        <v>190</v>
      </c>
      <c r="E46" s="130" t="s">
        <v>191</v>
      </c>
      <c r="F46" s="269"/>
      <c r="G46" s="130" t="s">
        <v>170</v>
      </c>
      <c r="H46" s="130" t="s">
        <v>171</v>
      </c>
    </row>
    <row r="47" spans="1:8">
      <c r="A47" s="137" t="s">
        <v>172</v>
      </c>
      <c r="B47" s="130" t="s">
        <v>173</v>
      </c>
      <c r="C47" s="130">
        <v>300</v>
      </c>
      <c r="D47" s="130">
        <v>17.600000000000001</v>
      </c>
      <c r="E47" s="130" t="s">
        <v>192</v>
      </c>
      <c r="F47" s="130">
        <f>(1/C47)*D47*(1/188.76)</f>
        <v>3.1080031080031085E-4</v>
      </c>
      <c r="G47" s="132">
        <f>'ASG 20%'!D140</f>
        <v>4734.6499999999996</v>
      </c>
      <c r="H47" s="130">
        <f>ROUND(F47*G47,2)</f>
        <v>1.47</v>
      </c>
    </row>
    <row r="48" spans="1:8">
      <c r="A48" s="131"/>
      <c r="B48" s="131"/>
      <c r="C48" s="131"/>
      <c r="D48" s="131"/>
      <c r="E48" s="131"/>
      <c r="F48" s="131"/>
      <c r="G48" s="131"/>
      <c r="H48" s="131"/>
    </row>
    <row r="49" spans="1:10">
      <c r="A49" s="304" t="s">
        <v>193</v>
      </c>
      <c r="B49" s="307"/>
      <c r="C49" s="307"/>
      <c r="D49" s="307"/>
      <c r="E49" s="307"/>
      <c r="F49" s="307"/>
      <c r="G49" s="307"/>
      <c r="H49" s="308"/>
    </row>
    <row r="50" spans="1:10">
      <c r="A50" s="265" t="s">
        <v>162</v>
      </c>
      <c r="B50" s="267" t="s">
        <v>163</v>
      </c>
      <c r="C50" s="267"/>
      <c r="D50" s="130" t="s">
        <v>164</v>
      </c>
      <c r="E50" s="130" t="s">
        <v>183</v>
      </c>
      <c r="F50" s="130" t="s">
        <v>184</v>
      </c>
      <c r="G50" s="130" t="s">
        <v>185</v>
      </c>
      <c r="H50" s="130" t="s">
        <v>186</v>
      </c>
    </row>
    <row r="51" spans="1:10">
      <c r="A51" s="266"/>
      <c r="B51" s="267" t="s">
        <v>166</v>
      </c>
      <c r="C51" s="267"/>
      <c r="D51" s="130" t="s">
        <v>187</v>
      </c>
      <c r="E51" s="130" t="s">
        <v>188</v>
      </c>
      <c r="F51" s="268" t="s">
        <v>189</v>
      </c>
      <c r="G51" s="130" t="s">
        <v>167</v>
      </c>
      <c r="H51" s="130" t="s">
        <v>168</v>
      </c>
    </row>
    <row r="52" spans="1:10">
      <c r="A52" s="266"/>
      <c r="B52" s="267" t="s">
        <v>169</v>
      </c>
      <c r="C52" s="267"/>
      <c r="D52" s="130" t="s">
        <v>190</v>
      </c>
      <c r="E52" s="130" t="s">
        <v>191</v>
      </c>
      <c r="F52" s="269"/>
      <c r="G52" s="130" t="s">
        <v>170</v>
      </c>
      <c r="H52" s="130" t="s">
        <v>171</v>
      </c>
    </row>
    <row r="53" spans="1:10">
      <c r="A53" s="130" t="s">
        <v>172</v>
      </c>
      <c r="B53" s="136" t="s">
        <v>173</v>
      </c>
      <c r="C53" s="136">
        <v>300</v>
      </c>
      <c r="D53" s="130">
        <v>17.600000000000001</v>
      </c>
      <c r="E53" s="130" t="s">
        <v>192</v>
      </c>
      <c r="F53" s="130">
        <f>(1/C53)*D53*(1/188.76)</f>
        <v>3.1080031080031085E-4</v>
      </c>
      <c r="G53" s="132">
        <f>'ASG 20%'!D140</f>
        <v>4734.6499999999996</v>
      </c>
      <c r="H53" s="130">
        <f>ROUND(F53*G53,2)</f>
        <v>1.47</v>
      </c>
    </row>
    <row r="54" spans="1:10">
      <c r="A54" s="138"/>
      <c r="B54" s="138"/>
      <c r="C54" s="138"/>
      <c r="D54" s="138"/>
      <c r="E54" s="138"/>
      <c r="F54" s="138"/>
      <c r="G54" s="139"/>
      <c r="H54" s="138"/>
    </row>
    <row r="55" spans="1:10">
      <c r="A55" s="262" t="s">
        <v>194</v>
      </c>
      <c r="B55" s="263"/>
      <c r="C55" s="263"/>
      <c r="D55" s="263"/>
      <c r="E55" s="263"/>
      <c r="F55" s="263"/>
      <c r="G55" s="263"/>
      <c r="H55" s="264"/>
    </row>
    <row r="56" spans="1:10">
      <c r="A56" s="265" t="s">
        <v>162</v>
      </c>
      <c r="B56" s="267" t="s">
        <v>163</v>
      </c>
      <c r="C56" s="267"/>
      <c r="D56" s="130" t="s">
        <v>164</v>
      </c>
      <c r="E56" s="130" t="s">
        <v>183</v>
      </c>
      <c r="F56" s="130" t="s">
        <v>184</v>
      </c>
      <c r="G56" s="130" t="s">
        <v>185</v>
      </c>
      <c r="H56" s="130" t="s">
        <v>186</v>
      </c>
    </row>
    <row r="57" spans="1:10">
      <c r="A57" s="266"/>
      <c r="B57" s="267" t="s">
        <v>166</v>
      </c>
      <c r="C57" s="267"/>
      <c r="D57" s="130" t="s">
        <v>187</v>
      </c>
      <c r="E57" s="130" t="s">
        <v>188</v>
      </c>
      <c r="F57" s="268" t="s">
        <v>189</v>
      </c>
      <c r="G57" s="130" t="s">
        <v>167</v>
      </c>
      <c r="H57" s="130" t="s">
        <v>168</v>
      </c>
    </row>
    <row r="58" spans="1:10">
      <c r="A58" s="266"/>
      <c r="B58" s="267" t="s">
        <v>169</v>
      </c>
      <c r="C58" s="267"/>
      <c r="D58" s="130" t="s">
        <v>190</v>
      </c>
      <c r="E58" s="130" t="s">
        <v>191</v>
      </c>
      <c r="F58" s="269"/>
      <c r="G58" s="130" t="s">
        <v>170</v>
      </c>
      <c r="H58" s="130" t="s">
        <v>171</v>
      </c>
    </row>
    <row r="59" spans="1:10">
      <c r="A59" s="137" t="s">
        <v>172</v>
      </c>
      <c r="B59" s="130" t="s">
        <v>173</v>
      </c>
      <c r="C59" s="130">
        <v>130</v>
      </c>
      <c r="D59" s="130">
        <v>17.600000000000001</v>
      </c>
      <c r="E59" s="130" t="s">
        <v>192</v>
      </c>
      <c r="F59" s="130">
        <f>(1/C59)*D59*(1/188.76)</f>
        <v>7.1723148646225593E-4</v>
      </c>
      <c r="G59" s="132">
        <f>'ASG 20%'!D140</f>
        <v>4734.6499999999996</v>
      </c>
      <c r="H59" s="130">
        <f>ROUND(F59*G59,2)</f>
        <v>3.4</v>
      </c>
    </row>
    <row r="60" spans="1:10">
      <c r="A60" s="131"/>
      <c r="B60" s="131"/>
      <c r="C60" s="131"/>
      <c r="D60" s="131"/>
      <c r="E60" s="131"/>
      <c r="F60" s="131"/>
      <c r="G60" s="131"/>
      <c r="H60" s="131"/>
    </row>
    <row r="61" spans="1:10">
      <c r="A61" s="277" t="s">
        <v>195</v>
      </c>
      <c r="B61" s="278"/>
      <c r="C61" s="283" t="s">
        <v>196</v>
      </c>
      <c r="D61" s="283" t="s">
        <v>166</v>
      </c>
      <c r="E61" s="140" t="s">
        <v>163</v>
      </c>
      <c r="F61" s="141" t="s">
        <v>164</v>
      </c>
      <c r="G61" s="140" t="s">
        <v>165</v>
      </c>
      <c r="H61" s="131"/>
    </row>
    <row r="62" spans="1:10" ht="20.25">
      <c r="A62" s="279"/>
      <c r="B62" s="280"/>
      <c r="C62" s="284"/>
      <c r="D62" s="284"/>
      <c r="E62" s="142" t="s">
        <v>197</v>
      </c>
      <c r="F62" s="143" t="s">
        <v>198</v>
      </c>
      <c r="G62" s="142" t="s">
        <v>168</v>
      </c>
      <c r="H62" s="131"/>
    </row>
    <row r="63" spans="1:10">
      <c r="A63" s="281"/>
      <c r="B63" s="282"/>
      <c r="C63" s="285"/>
      <c r="D63" s="285"/>
      <c r="E63" s="142" t="s">
        <v>199</v>
      </c>
      <c r="F63" s="144" t="s">
        <v>200</v>
      </c>
      <c r="G63" s="142" t="s">
        <v>170</v>
      </c>
      <c r="H63" s="131"/>
    </row>
    <row r="64" spans="1:10" s="116" customFormat="1" ht="21" customHeight="1">
      <c r="A64" s="286" t="s">
        <v>161</v>
      </c>
      <c r="B64" s="287"/>
      <c r="C64" s="145">
        <f>ROUND(F64/D64,2)</f>
        <v>1.0900000000000001</v>
      </c>
      <c r="D64" s="146">
        <f>C5</f>
        <v>800</v>
      </c>
      <c r="E64" s="147">
        <f>E5</f>
        <v>5.92</v>
      </c>
      <c r="F64" s="148">
        <f>1457.38-583.98</f>
        <v>873.40000000000009</v>
      </c>
      <c r="G64" s="149">
        <f>ROUND(E64*F64,2)</f>
        <v>5170.53</v>
      </c>
      <c r="H64" s="150"/>
      <c r="I64" s="167" t="s">
        <v>201</v>
      </c>
      <c r="J64" s="168">
        <f>SUM(F64:F69)</f>
        <v>2219.59</v>
      </c>
    </row>
    <row r="65" spans="1:10" s="116" customFormat="1" ht="21" customHeight="1">
      <c r="A65" s="286" t="s">
        <v>202</v>
      </c>
      <c r="B65" s="287"/>
      <c r="C65" s="145">
        <f t="shared" ref="C65:C78" si="0">ROUND(F65/D65,2)</f>
        <v>0.98</v>
      </c>
      <c r="D65" s="146">
        <f>C5</f>
        <v>800</v>
      </c>
      <c r="E65" s="147">
        <f>E5</f>
        <v>5.92</v>
      </c>
      <c r="F65" s="148">
        <f>202.29+583.98</f>
        <v>786.27</v>
      </c>
      <c r="G65" s="149">
        <f t="shared" ref="G65:G78" si="1">ROUND(E65*F65,2)</f>
        <v>4654.72</v>
      </c>
      <c r="H65" s="151"/>
      <c r="I65" s="167" t="s">
        <v>203</v>
      </c>
      <c r="J65" s="168">
        <f>SUM(F70:F72)</f>
        <v>8501.07</v>
      </c>
    </row>
    <row r="66" spans="1:10" s="116" customFormat="1" ht="21" customHeight="1">
      <c r="A66" s="311" t="s">
        <v>204</v>
      </c>
      <c r="B66" s="312"/>
      <c r="C66" s="145">
        <f t="shared" si="0"/>
        <v>0.19</v>
      </c>
      <c r="D66" s="146">
        <f>C11</f>
        <v>1500</v>
      </c>
      <c r="E66" s="147">
        <f>E11</f>
        <v>3.16</v>
      </c>
      <c r="F66" s="148">
        <v>282.27999999999997</v>
      </c>
      <c r="G66" s="149">
        <f t="shared" si="1"/>
        <v>892</v>
      </c>
      <c r="H66" s="150"/>
      <c r="I66" s="167" t="s">
        <v>205</v>
      </c>
      <c r="J66" s="168">
        <f>SUM(F73:F78)</f>
        <v>800.68</v>
      </c>
    </row>
    <row r="67" spans="1:10" s="116" customFormat="1" ht="21" customHeight="1">
      <c r="A67" s="313" t="s">
        <v>175</v>
      </c>
      <c r="B67" s="314"/>
      <c r="C67" s="145">
        <f t="shared" si="0"/>
        <v>0.14000000000000001</v>
      </c>
      <c r="D67" s="152">
        <f>C17</f>
        <v>1000</v>
      </c>
      <c r="E67" s="153">
        <f>E17</f>
        <v>4.7300000000000004</v>
      </c>
      <c r="F67" s="148">
        <v>138.82</v>
      </c>
      <c r="G67" s="149">
        <f t="shared" si="1"/>
        <v>656.62</v>
      </c>
      <c r="H67" s="150"/>
      <c r="J67" s="176">
        <f>SUM(J64:J66)</f>
        <v>11521.34</v>
      </c>
    </row>
    <row r="68" spans="1:10" s="116" customFormat="1" ht="21" customHeight="1">
      <c r="A68" s="288" t="s">
        <v>176</v>
      </c>
      <c r="B68" s="289"/>
      <c r="C68" s="145">
        <f t="shared" si="0"/>
        <v>0.34</v>
      </c>
      <c r="D68" s="152">
        <f>C23</f>
        <v>200</v>
      </c>
      <c r="E68" s="153">
        <f>E23</f>
        <v>26.15</v>
      </c>
      <c r="F68" s="148">
        <f>138.82-71.13</f>
        <v>67.69</v>
      </c>
      <c r="G68" s="149">
        <f t="shared" si="1"/>
        <v>1770.09</v>
      </c>
      <c r="H68" s="150"/>
    </row>
    <row r="69" spans="1:10" s="116" customFormat="1" ht="21" customHeight="1">
      <c r="A69" s="288" t="s">
        <v>206</v>
      </c>
      <c r="B69" s="289"/>
      <c r="C69" s="145">
        <f t="shared" si="0"/>
        <v>0.36</v>
      </c>
      <c r="D69" s="152">
        <f>C23</f>
        <v>200</v>
      </c>
      <c r="E69" s="153">
        <f>E23</f>
        <v>26.15</v>
      </c>
      <c r="F69" s="148">
        <v>71.13</v>
      </c>
      <c r="G69" s="149">
        <f t="shared" si="1"/>
        <v>1860.05</v>
      </c>
      <c r="H69" s="150"/>
    </row>
    <row r="70" spans="1:10" s="116" customFormat="1" ht="21" customHeight="1">
      <c r="A70" s="315" t="s">
        <v>178</v>
      </c>
      <c r="B70" s="316"/>
      <c r="C70" s="145">
        <f t="shared" si="0"/>
        <v>0.64</v>
      </c>
      <c r="D70" s="146">
        <f>C29</f>
        <v>6000</v>
      </c>
      <c r="E70" s="153">
        <f>E29</f>
        <v>0.79</v>
      </c>
      <c r="F70" s="148">
        <v>3831.77</v>
      </c>
      <c r="G70" s="149">
        <f t="shared" si="1"/>
        <v>3027.1</v>
      </c>
      <c r="H70" s="131"/>
    </row>
    <row r="71" spans="1:10" s="116" customFormat="1" ht="21" customHeight="1">
      <c r="A71" s="317" t="s">
        <v>180</v>
      </c>
      <c r="B71" s="318"/>
      <c r="C71" s="145">
        <f t="shared" si="0"/>
        <v>1.33</v>
      </c>
      <c r="D71" s="152">
        <f>C35</f>
        <v>1800</v>
      </c>
      <c r="E71" s="153">
        <f>E35</f>
        <v>2.63</v>
      </c>
      <c r="F71" s="154">
        <v>2400.69</v>
      </c>
      <c r="G71" s="149">
        <f t="shared" si="1"/>
        <v>6313.81</v>
      </c>
      <c r="H71" s="150"/>
    </row>
    <row r="72" spans="1:10" s="116" customFormat="1" ht="21" customHeight="1">
      <c r="A72" s="317" t="s">
        <v>181</v>
      </c>
      <c r="B72" s="318"/>
      <c r="C72" s="145">
        <f t="shared" si="0"/>
        <v>1.26</v>
      </c>
      <c r="D72" s="152">
        <f>C41</f>
        <v>1800</v>
      </c>
      <c r="E72" s="153">
        <f>E41</f>
        <v>2.63</v>
      </c>
      <c r="F72" s="154">
        <v>2268.61</v>
      </c>
      <c r="G72" s="149">
        <f t="shared" si="1"/>
        <v>5966.44</v>
      </c>
      <c r="H72" s="131"/>
    </row>
    <row r="73" spans="1:10" s="116" customFormat="1" ht="21" customHeight="1">
      <c r="A73" s="271" t="s">
        <v>182</v>
      </c>
      <c r="B73" s="272"/>
      <c r="C73" s="145">
        <f t="shared" si="0"/>
        <v>0.53</v>
      </c>
      <c r="D73" s="152">
        <f>C47</f>
        <v>300</v>
      </c>
      <c r="E73" s="147">
        <f>H47</f>
        <v>1.47</v>
      </c>
      <c r="F73" s="154">
        <f>190.8-31.38</f>
        <v>159.42000000000002</v>
      </c>
      <c r="G73" s="149">
        <f t="shared" si="1"/>
        <v>234.35</v>
      </c>
      <c r="H73" s="150"/>
    </row>
    <row r="74" spans="1:10" s="116" customFormat="1" ht="21" customHeight="1">
      <c r="A74" s="271" t="s">
        <v>207</v>
      </c>
      <c r="B74" s="272"/>
      <c r="C74" s="145">
        <f t="shared" si="0"/>
        <v>0.1</v>
      </c>
      <c r="D74" s="155">
        <f>C47</f>
        <v>300</v>
      </c>
      <c r="E74" s="147">
        <f>H47</f>
        <v>1.47</v>
      </c>
      <c r="F74" s="156">
        <v>31.38</v>
      </c>
      <c r="G74" s="149">
        <f t="shared" si="1"/>
        <v>46.13</v>
      </c>
      <c r="H74" s="150"/>
    </row>
    <row r="75" spans="1:10" s="116" customFormat="1" ht="21" customHeight="1">
      <c r="A75" s="273" t="s">
        <v>193</v>
      </c>
      <c r="B75" s="274"/>
      <c r="C75" s="157">
        <f t="shared" si="0"/>
        <v>1.18</v>
      </c>
      <c r="D75" s="155">
        <f>C53</f>
        <v>300</v>
      </c>
      <c r="E75" s="147">
        <f>H53</f>
        <v>1.47</v>
      </c>
      <c r="F75" s="156">
        <f>400.34-46.98</f>
        <v>353.35999999999996</v>
      </c>
      <c r="G75" s="149">
        <f t="shared" si="1"/>
        <v>519.44000000000005</v>
      </c>
      <c r="H75" s="150"/>
    </row>
    <row r="76" spans="1:10" s="116" customFormat="1" ht="21" customHeight="1">
      <c r="A76" s="273" t="s">
        <v>208</v>
      </c>
      <c r="B76" s="274"/>
      <c r="C76" s="157">
        <f t="shared" si="0"/>
        <v>0.16</v>
      </c>
      <c r="D76" s="155">
        <f>C53</f>
        <v>300</v>
      </c>
      <c r="E76" s="147">
        <f>H53</f>
        <v>1.47</v>
      </c>
      <c r="F76" s="156">
        <v>46.98</v>
      </c>
      <c r="G76" s="149">
        <f t="shared" si="1"/>
        <v>69.06</v>
      </c>
      <c r="H76" s="150"/>
    </row>
    <row r="77" spans="1:10" s="116" customFormat="1" ht="21" customHeight="1">
      <c r="A77" s="270" t="s">
        <v>194</v>
      </c>
      <c r="B77" s="270"/>
      <c r="C77" s="147">
        <f t="shared" si="0"/>
        <v>1.49</v>
      </c>
      <c r="D77" s="152">
        <f>C59</f>
        <v>130</v>
      </c>
      <c r="E77" s="147">
        <f>H59</f>
        <v>3.4</v>
      </c>
      <c r="F77" s="154">
        <f>209.54-15.6</f>
        <v>193.94</v>
      </c>
      <c r="G77" s="149">
        <f t="shared" si="1"/>
        <v>659.4</v>
      </c>
      <c r="H77" s="150"/>
    </row>
    <row r="78" spans="1:10" s="116" customFormat="1" ht="21" customHeight="1">
      <c r="A78" s="275" t="s">
        <v>209</v>
      </c>
      <c r="B78" s="276"/>
      <c r="C78" s="147">
        <f t="shared" si="0"/>
        <v>0.12</v>
      </c>
      <c r="D78" s="158">
        <f>C59</f>
        <v>130</v>
      </c>
      <c r="E78" s="147">
        <f>H59</f>
        <v>3.4</v>
      </c>
      <c r="F78" s="159">
        <v>15.6</v>
      </c>
      <c r="G78" s="149">
        <f t="shared" si="1"/>
        <v>53.04</v>
      </c>
      <c r="H78" s="150"/>
    </row>
    <row r="79" spans="1:10" s="116" customFormat="1" ht="21" customHeight="1">
      <c r="A79" s="309" t="s">
        <v>210</v>
      </c>
      <c r="B79" s="310"/>
      <c r="C79" s="160">
        <f>SUM(C64:C78)</f>
        <v>9.91</v>
      </c>
      <c r="D79" s="161"/>
      <c r="E79" s="161"/>
      <c r="F79" s="160">
        <f>SUM(F64:F78)</f>
        <v>11521.340000000002</v>
      </c>
      <c r="G79" s="162">
        <f>SUM(G64:G78)</f>
        <v>31892.780000000002</v>
      </c>
      <c r="H79" s="150"/>
    </row>
    <row r="80" spans="1:10">
      <c r="A80" s="129"/>
      <c r="B80" s="129"/>
      <c r="C80" s="129"/>
      <c r="D80" s="129"/>
      <c r="E80" s="129"/>
      <c r="F80" s="129"/>
      <c r="G80" s="163"/>
      <c r="H80" s="129"/>
    </row>
    <row r="81" spans="1:8">
      <c r="A81" s="260" t="s">
        <v>211</v>
      </c>
      <c r="B81" s="261"/>
      <c r="C81" s="165">
        <f>C79-C65-C69-C74-C76-C78</f>
        <v>8.1900000000000013</v>
      </c>
      <c r="D81" s="164"/>
      <c r="E81" s="164"/>
      <c r="F81" s="165">
        <f>F79-F65-F69-F74-F76-F78</f>
        <v>10569.980000000003</v>
      </c>
      <c r="G81" s="166">
        <f>G79-G65-G69-G74-G76-G78</f>
        <v>25209.78</v>
      </c>
      <c r="H81" s="129"/>
    </row>
    <row r="82" spans="1:8">
      <c r="A82" s="129"/>
      <c r="B82" s="129"/>
      <c r="C82" s="129"/>
      <c r="D82" s="129"/>
      <c r="E82" s="129"/>
      <c r="F82" s="129"/>
      <c r="G82" s="129"/>
      <c r="H82" s="129"/>
    </row>
    <row r="83" spans="1:8">
      <c r="A83" s="127" t="s">
        <v>212</v>
      </c>
      <c r="B83" s="129"/>
      <c r="C83" s="129"/>
      <c r="D83" s="129"/>
      <c r="E83" s="129"/>
      <c r="F83" s="129"/>
      <c r="G83" s="129"/>
      <c r="H83" s="129"/>
    </row>
    <row r="84" spans="1:8">
      <c r="A84" t="s">
        <v>213</v>
      </c>
      <c r="B84" s="129"/>
      <c r="C84" s="129"/>
      <c r="D84" s="129"/>
      <c r="E84" s="129"/>
      <c r="F84" s="129"/>
      <c r="G84" s="129"/>
      <c r="H84" s="129"/>
    </row>
  </sheetData>
  <mergeCells count="73">
    <mergeCell ref="A73:B73"/>
    <mergeCell ref="A75:B75"/>
    <mergeCell ref="A79:B79"/>
    <mergeCell ref="A66:B66"/>
    <mergeCell ref="A67:B67"/>
    <mergeCell ref="A68:B68"/>
    <mergeCell ref="A70:B70"/>
    <mergeCell ref="A71:B71"/>
    <mergeCell ref="A72:B72"/>
    <mergeCell ref="A49:H49"/>
    <mergeCell ref="A50:A52"/>
    <mergeCell ref="B50:C50"/>
    <mergeCell ref="B51:C51"/>
    <mergeCell ref="B52:C52"/>
    <mergeCell ref="F51:F52"/>
    <mergeCell ref="A44:A46"/>
    <mergeCell ref="B44:C44"/>
    <mergeCell ref="B45:C45"/>
    <mergeCell ref="B46:C46"/>
    <mergeCell ref="F45:F46"/>
    <mergeCell ref="B32:C32"/>
    <mergeCell ref="B33:C33"/>
    <mergeCell ref="B34:C34"/>
    <mergeCell ref="A37:E37"/>
    <mergeCell ref="A43:H43"/>
    <mergeCell ref="A1:E1"/>
    <mergeCell ref="A20:A22"/>
    <mergeCell ref="B20:C20"/>
    <mergeCell ref="B21:C21"/>
    <mergeCell ref="B22:C22"/>
    <mergeCell ref="A7:E7"/>
    <mergeCell ref="A8:A10"/>
    <mergeCell ref="B8:C8"/>
    <mergeCell ref="B9:C9"/>
    <mergeCell ref="B10:C10"/>
    <mergeCell ref="A13:E13"/>
    <mergeCell ref="A14:A16"/>
    <mergeCell ref="B14:C14"/>
    <mergeCell ref="B15:C15"/>
    <mergeCell ref="B16:C16"/>
    <mergeCell ref="A19:E19"/>
    <mergeCell ref="A2:A4"/>
    <mergeCell ref="B2:C2"/>
    <mergeCell ref="B3:C3"/>
    <mergeCell ref="B4:C4"/>
    <mergeCell ref="A69:B69"/>
    <mergeCell ref="A38:A40"/>
    <mergeCell ref="B38:C38"/>
    <mergeCell ref="B39:C39"/>
    <mergeCell ref="B40:C40"/>
    <mergeCell ref="A25:E25"/>
    <mergeCell ref="A26:A28"/>
    <mergeCell ref="B26:C26"/>
    <mergeCell ref="B27:C27"/>
    <mergeCell ref="B28:C28"/>
    <mergeCell ref="A31:E31"/>
    <mergeCell ref="A32:A34"/>
    <mergeCell ref="A81:B81"/>
    <mergeCell ref="A55:H55"/>
    <mergeCell ref="A56:A58"/>
    <mergeCell ref="B56:C56"/>
    <mergeCell ref="B57:C57"/>
    <mergeCell ref="F57:F58"/>
    <mergeCell ref="B58:C58"/>
    <mergeCell ref="A77:B77"/>
    <mergeCell ref="A74:B74"/>
    <mergeCell ref="A76:B76"/>
    <mergeCell ref="A78:B78"/>
    <mergeCell ref="A61:B63"/>
    <mergeCell ref="C61:C63"/>
    <mergeCell ref="D61:D63"/>
    <mergeCell ref="A64:B64"/>
    <mergeCell ref="A65:B6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
  <sheetViews>
    <sheetView tabSelected="1" zoomScaleNormal="100" workbookViewId="0">
      <selection activeCell="F4" sqref="F4:F5"/>
    </sheetView>
  </sheetViews>
  <sheetFormatPr defaultRowHeight="12.75"/>
  <cols>
    <col min="1" max="1" width="5.42578125" customWidth="1"/>
    <col min="2" max="2" width="50.42578125" customWidth="1"/>
    <col min="3" max="3" width="14.5703125" customWidth="1"/>
    <col min="4" max="4" width="12.5703125" customWidth="1"/>
    <col min="5" max="5" width="13.28515625" customWidth="1"/>
    <col min="6" max="6" width="18.140625" customWidth="1"/>
    <col min="7" max="7" width="13.7109375" customWidth="1"/>
    <col min="8" max="1026" width="8.7109375" customWidth="1"/>
  </cols>
  <sheetData>
    <row r="1" spans="1:7" ht="13.5" customHeight="1">
      <c r="A1" s="319" t="s">
        <v>214</v>
      </c>
      <c r="B1" s="319"/>
      <c r="C1" s="319"/>
      <c r="D1" s="319"/>
      <c r="E1" s="319"/>
      <c r="F1" s="319"/>
      <c r="G1" s="319"/>
    </row>
    <row r="3" spans="1:7" ht="39" customHeight="1">
      <c r="A3" s="108" t="s">
        <v>215</v>
      </c>
      <c r="B3" s="109" t="s">
        <v>216</v>
      </c>
      <c r="C3" s="109" t="s">
        <v>217</v>
      </c>
      <c r="D3" s="109" t="s">
        <v>218</v>
      </c>
      <c r="E3" s="109" t="s">
        <v>219</v>
      </c>
      <c r="F3" s="109" t="s">
        <v>220</v>
      </c>
      <c r="G3" s="110" t="s">
        <v>221</v>
      </c>
    </row>
    <row r="4" spans="1:7" ht="39" customHeight="1">
      <c r="A4" s="111">
        <v>1</v>
      </c>
      <c r="B4" s="112" t="s">
        <v>222</v>
      </c>
      <c r="C4" s="113">
        <f>ROUND('Resumo Preço m²'!C79,0)</f>
        <v>10</v>
      </c>
      <c r="D4" s="114" t="s">
        <v>223</v>
      </c>
      <c r="E4" s="114">
        <f>'Resumo Preço m²'!G79</f>
        <v>31892.780000000002</v>
      </c>
      <c r="F4" s="177">
        <v>12</v>
      </c>
      <c r="G4" s="115">
        <f>E4*F4</f>
        <v>382713.36000000004</v>
      </c>
    </row>
    <row r="5" spans="1:7" ht="44.25" customHeight="1">
      <c r="A5" s="111">
        <v>2</v>
      </c>
      <c r="B5" s="112" t="s">
        <v>224</v>
      </c>
      <c r="C5" s="113">
        <f>Geral!H17</f>
        <v>6</v>
      </c>
      <c r="D5" s="114">
        <f>'Recepcionista 40h'!D141</f>
        <v>4402.09</v>
      </c>
      <c r="E5" s="114">
        <f>C5*D5</f>
        <v>26412.54</v>
      </c>
      <c r="F5" s="177">
        <v>12</v>
      </c>
      <c r="G5" s="115">
        <f>E5*F5</f>
        <v>316950.48</v>
      </c>
    </row>
  </sheetData>
  <mergeCells count="1">
    <mergeCell ref="A1:G1"/>
  </mergeCells>
  <pageMargins left="0.51180555555555496" right="0.51180555555555496" top="0.78749999999999998" bottom="0.78749999999999998" header="0.51180555555555496" footer="0.51180555555555496"/>
  <pageSetup paperSize="9" firstPageNumber="0"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Franklin Brasil Santos</dc:creator>
  <cp:keywords/>
  <dc:description/>
  <cp:lastModifiedBy/>
  <cp:revision>38</cp:revision>
  <dcterms:created xsi:type="dcterms:W3CDTF">2011-10-09T16:09:02Z</dcterms:created>
  <dcterms:modified xsi:type="dcterms:W3CDTF">2022-10-10T18:20:56Z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0x01010095A18E274C17B244899BE4791DDADA6A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